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7720" windowHeight="167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8" l="1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E8" i="7"/>
  <c r="E8" i="8"/>
  <c r="H8" i="8"/>
  <c r="I8" i="8"/>
  <c r="B9" i="8"/>
  <c r="C9" i="8"/>
  <c r="D9" i="8"/>
  <c r="E9" i="7"/>
  <c r="E9" i="8"/>
  <c r="H9" i="8"/>
  <c r="I9" i="8"/>
  <c r="B10" i="8"/>
  <c r="C10" i="8"/>
  <c r="D10" i="8"/>
  <c r="E10" i="7"/>
  <c r="E10" i="8"/>
  <c r="H10" i="8"/>
  <c r="I10" i="8"/>
  <c r="B11" i="8"/>
  <c r="C11" i="8"/>
  <c r="D11" i="8"/>
  <c r="E11" i="7"/>
  <c r="E11" i="8"/>
  <c r="H11" i="8"/>
  <c r="I11" i="8"/>
  <c r="B12" i="8"/>
  <c r="C12" i="8"/>
  <c r="D12" i="8"/>
  <c r="E12" i="7"/>
  <c r="E12" i="8"/>
  <c r="H12" i="8"/>
  <c r="I12" i="8"/>
  <c r="B13" i="8"/>
  <c r="C13" i="8"/>
  <c r="D13" i="8"/>
  <c r="E13" i="7"/>
  <c r="E13" i="8"/>
  <c r="H13" i="8"/>
  <c r="I13" i="8"/>
  <c r="B14" i="8"/>
  <c r="C14" i="8"/>
  <c r="D14" i="8"/>
  <c r="E14" i="7"/>
  <c r="E14" i="8"/>
  <c r="H14" i="8"/>
  <c r="I14" i="8"/>
  <c r="B15" i="8"/>
  <c r="C15" i="8"/>
  <c r="D15" i="8"/>
  <c r="E15" i="7"/>
  <c r="E15" i="8"/>
  <c r="H15" i="8"/>
  <c r="I15" i="8"/>
  <c r="B16" i="8"/>
  <c r="C16" i="8"/>
  <c r="D16" i="8"/>
  <c r="E16" i="7"/>
  <c r="E16" i="8"/>
  <c r="H16" i="8"/>
  <c r="I16" i="8"/>
  <c r="B17" i="8"/>
  <c r="C17" i="8"/>
  <c r="D17" i="8"/>
  <c r="E17" i="7"/>
  <c r="E17" i="8"/>
  <c r="H17" i="8"/>
  <c r="I17" i="8"/>
  <c r="B18" i="8"/>
  <c r="C18" i="8"/>
  <c r="D18" i="8"/>
  <c r="E18" i="7"/>
  <c r="E18" i="8"/>
  <c r="H18" i="8"/>
  <c r="I18" i="8"/>
  <c r="B19" i="8"/>
  <c r="C19" i="8"/>
  <c r="D19" i="8"/>
  <c r="E19" i="7"/>
  <c r="E19" i="8"/>
  <c r="H19" i="8"/>
  <c r="I19" i="8"/>
  <c r="B20" i="8"/>
  <c r="C20" i="8"/>
  <c r="D20" i="8"/>
  <c r="I20" i="8"/>
  <c r="B21" i="8"/>
  <c r="C21" i="8"/>
  <c r="D21" i="8"/>
  <c r="E21" i="7"/>
  <c r="E21" i="8"/>
  <c r="H21" i="8"/>
  <c r="I21" i="8"/>
  <c r="B22" i="8"/>
  <c r="C22" i="8"/>
  <c r="D22" i="8"/>
  <c r="E22" i="7"/>
  <c r="E22" i="8"/>
  <c r="H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B29" i="8"/>
  <c r="C29" i="8"/>
  <c r="D29" i="8"/>
  <c r="I29" i="8"/>
  <c r="B37" i="8"/>
  <c r="B80" i="8"/>
  <c r="B82" i="8"/>
  <c r="B81" i="8"/>
  <c r="B83" i="8"/>
  <c r="B91" i="8"/>
  <c r="C37" i="8"/>
  <c r="C91" i="8"/>
  <c r="D91" i="8"/>
  <c r="E37" i="7"/>
  <c r="E37" i="8"/>
  <c r="F37" i="7"/>
  <c r="F37" i="8"/>
  <c r="G37" i="7"/>
  <c r="G37" i="8"/>
  <c r="H91" i="8"/>
  <c r="I91" i="8"/>
  <c r="B38" i="8"/>
  <c r="B92" i="8"/>
  <c r="C38" i="8"/>
  <c r="C92" i="8"/>
  <c r="D92" i="8"/>
  <c r="E38" i="7"/>
  <c r="E38" i="8"/>
  <c r="G38" i="8"/>
  <c r="F38" i="7"/>
  <c r="F38" i="8"/>
  <c r="H92" i="8"/>
  <c r="I92" i="8"/>
  <c r="B39" i="8"/>
  <c r="B93" i="8"/>
  <c r="C39" i="8"/>
  <c r="C93" i="8"/>
  <c r="D93" i="8"/>
  <c r="G39" i="8"/>
  <c r="F39" i="7"/>
  <c r="F39" i="8"/>
  <c r="H93" i="8"/>
  <c r="I93" i="8"/>
  <c r="B40" i="8"/>
  <c r="B94" i="8"/>
  <c r="C40" i="8"/>
  <c r="C94" i="8"/>
  <c r="D94" i="8"/>
  <c r="E40" i="1"/>
  <c r="E40" i="7"/>
  <c r="E40" i="8"/>
  <c r="G40" i="8"/>
  <c r="F40" i="7"/>
  <c r="F40" i="8"/>
  <c r="H94" i="8"/>
  <c r="I94" i="8"/>
  <c r="B41" i="8"/>
  <c r="B95" i="8"/>
  <c r="C41" i="8"/>
  <c r="C95" i="8"/>
  <c r="D95" i="8"/>
  <c r="G41" i="8"/>
  <c r="F41" i="7"/>
  <c r="F41" i="8"/>
  <c r="E41" i="1"/>
  <c r="E41" i="7"/>
  <c r="E41" i="8"/>
  <c r="H95" i="8"/>
  <c r="I95" i="8"/>
  <c r="B42" i="8"/>
  <c r="B96" i="8"/>
  <c r="C42" i="8"/>
  <c r="C96" i="8"/>
  <c r="D96" i="8"/>
  <c r="G42" i="8"/>
  <c r="F42" i="7"/>
  <c r="F42" i="8"/>
  <c r="E42" i="1"/>
  <c r="E42" i="7"/>
  <c r="E42" i="8"/>
  <c r="H96" i="8"/>
  <c r="I96" i="8"/>
  <c r="B43" i="8"/>
  <c r="B97" i="8"/>
  <c r="C43" i="8"/>
  <c r="C97" i="8"/>
  <c r="D97" i="8"/>
  <c r="G43" i="8"/>
  <c r="F43" i="7"/>
  <c r="F43" i="8"/>
  <c r="E43" i="1"/>
  <c r="E43" i="7"/>
  <c r="E43" i="8"/>
  <c r="H97" i="8"/>
  <c r="I97" i="8"/>
  <c r="B44" i="8"/>
  <c r="B98" i="8"/>
  <c r="C44" i="8"/>
  <c r="C98" i="8"/>
  <c r="D98" i="8"/>
  <c r="G44" i="8"/>
  <c r="F44" i="7"/>
  <c r="F44" i="8"/>
  <c r="E44" i="1"/>
  <c r="E44" i="7"/>
  <c r="E44" i="8"/>
  <c r="H98" i="8"/>
  <c r="I98" i="8"/>
  <c r="B45" i="8"/>
  <c r="B99" i="8"/>
  <c r="C45" i="8"/>
  <c r="C99" i="8"/>
  <c r="D99" i="8"/>
  <c r="G45" i="8"/>
  <c r="F45" i="7"/>
  <c r="F45" i="8"/>
  <c r="E45" i="1"/>
  <c r="E45" i="7"/>
  <c r="E45" i="8"/>
  <c r="H99" i="8"/>
  <c r="I99" i="8"/>
  <c r="B46" i="8"/>
  <c r="B100" i="8"/>
  <c r="C46" i="8"/>
  <c r="C100" i="8"/>
  <c r="D100" i="8"/>
  <c r="G46" i="8"/>
  <c r="F46" i="7"/>
  <c r="F46" i="8"/>
  <c r="E46" i="1"/>
  <c r="E46" i="7"/>
  <c r="E46" i="8"/>
  <c r="H100" i="8"/>
  <c r="I100" i="8"/>
  <c r="B47" i="8"/>
  <c r="B101" i="8"/>
  <c r="C47" i="8"/>
  <c r="C101" i="8"/>
  <c r="D101" i="8"/>
  <c r="G47" i="8"/>
  <c r="F47" i="7"/>
  <c r="F47" i="8"/>
  <c r="E47" i="7"/>
  <c r="E47" i="8"/>
  <c r="H101" i="8"/>
  <c r="I101" i="8"/>
  <c r="B48" i="8"/>
  <c r="B102" i="8"/>
  <c r="C48" i="8"/>
  <c r="C102" i="8"/>
  <c r="D102" i="8"/>
  <c r="G48" i="8"/>
  <c r="F48" i="7"/>
  <c r="F48" i="8"/>
  <c r="E48" i="7"/>
  <c r="E48" i="8"/>
  <c r="H102" i="8"/>
  <c r="I102" i="8"/>
  <c r="B49" i="8"/>
  <c r="B103" i="8"/>
  <c r="C49" i="8"/>
  <c r="C103" i="8"/>
  <c r="D103" i="8"/>
  <c r="G49" i="8"/>
  <c r="F49" i="7"/>
  <c r="F49" i="8"/>
  <c r="E49" i="7"/>
  <c r="E49" i="8"/>
  <c r="H103" i="8"/>
  <c r="I103" i="8"/>
  <c r="B50" i="8"/>
  <c r="B104" i="8"/>
  <c r="C50" i="8"/>
  <c r="C104" i="8"/>
  <c r="D104" i="8"/>
  <c r="G50" i="8"/>
  <c r="F50" i="7"/>
  <c r="F50" i="8"/>
  <c r="E50" i="7"/>
  <c r="E50" i="8"/>
  <c r="H104" i="8"/>
  <c r="I104" i="8"/>
  <c r="B51" i="8"/>
  <c r="B105" i="8"/>
  <c r="C51" i="8"/>
  <c r="C105" i="8"/>
  <c r="D105" i="8"/>
  <c r="G51" i="8"/>
  <c r="F51" i="7"/>
  <c r="F51" i="8"/>
  <c r="E51" i="7"/>
  <c r="E51" i="8"/>
  <c r="H105" i="8"/>
  <c r="I105" i="8"/>
  <c r="B52" i="8"/>
  <c r="B106" i="8"/>
  <c r="C52" i="8"/>
  <c r="C106" i="8"/>
  <c r="D106" i="8"/>
  <c r="G52" i="8"/>
  <c r="F52" i="7"/>
  <c r="F52" i="8"/>
  <c r="E52" i="7"/>
  <c r="E52" i="8"/>
  <c r="H106" i="8"/>
  <c r="I106" i="8"/>
  <c r="B53" i="8"/>
  <c r="B107" i="8"/>
  <c r="C53" i="8"/>
  <c r="C107" i="8"/>
  <c r="D107" i="8"/>
  <c r="E53" i="7"/>
  <c r="E53" i="8"/>
  <c r="G53" i="8"/>
  <c r="H107" i="8"/>
  <c r="I107" i="8"/>
  <c r="B54" i="8"/>
  <c r="B108" i="8"/>
  <c r="C54" i="8"/>
  <c r="C108" i="8"/>
  <c r="D108" i="8"/>
  <c r="E54" i="7"/>
  <c r="E54" i="8"/>
  <c r="G54" i="8"/>
  <c r="F54" i="7"/>
  <c r="F54" i="8"/>
  <c r="H108" i="8"/>
  <c r="I108" i="8"/>
  <c r="B55" i="8"/>
  <c r="B109" i="8"/>
  <c r="C55" i="8"/>
  <c r="C109" i="8"/>
  <c r="D109" i="8"/>
  <c r="G55" i="8"/>
  <c r="F55" i="7"/>
  <c r="F55" i="8"/>
  <c r="H109" i="8"/>
  <c r="I109" i="8"/>
  <c r="B56" i="8"/>
  <c r="B110" i="8"/>
  <c r="C56" i="8"/>
  <c r="C110" i="8"/>
  <c r="D110" i="8"/>
  <c r="G56" i="8"/>
  <c r="F56" i="7"/>
  <c r="F56" i="8"/>
  <c r="H110" i="8"/>
  <c r="I110" i="8"/>
  <c r="B57" i="8"/>
  <c r="B111" i="8"/>
  <c r="C57" i="8"/>
  <c r="C111" i="8"/>
  <c r="D111" i="8"/>
  <c r="G57" i="8"/>
  <c r="H111" i="8"/>
  <c r="I111" i="8"/>
  <c r="B58" i="8"/>
  <c r="B112" i="8"/>
  <c r="C58" i="8"/>
  <c r="C112" i="8"/>
  <c r="D112" i="8"/>
  <c r="G58" i="8"/>
  <c r="H112" i="8"/>
  <c r="I112" i="8"/>
  <c r="B59" i="8"/>
  <c r="B113" i="8"/>
  <c r="C59" i="8"/>
  <c r="C113" i="8"/>
  <c r="D113" i="8"/>
  <c r="G59" i="8"/>
  <c r="H113" i="8"/>
  <c r="I113" i="8"/>
  <c r="B60" i="8"/>
  <c r="B114" i="8"/>
  <c r="C60" i="8"/>
  <c r="C114" i="8"/>
  <c r="D114" i="8"/>
  <c r="G60" i="8"/>
  <c r="H114" i="8"/>
  <c r="I114" i="8"/>
  <c r="B61" i="8"/>
  <c r="B115" i="8"/>
  <c r="C61" i="8"/>
  <c r="C115" i="8"/>
  <c r="D115" i="8"/>
  <c r="G61" i="8"/>
  <c r="H115" i="8"/>
  <c r="I115" i="8"/>
  <c r="B62" i="8"/>
  <c r="B116" i="8"/>
  <c r="C62" i="8"/>
  <c r="C116" i="8"/>
  <c r="D116" i="8"/>
  <c r="G62" i="8"/>
  <c r="H116" i="8"/>
  <c r="I116" i="8"/>
  <c r="B63" i="8"/>
  <c r="B117" i="8"/>
  <c r="C63" i="8"/>
  <c r="C117" i="8"/>
  <c r="D117" i="8"/>
  <c r="G63" i="8"/>
  <c r="H117" i="8"/>
  <c r="I117" i="8"/>
  <c r="B64" i="8"/>
  <c r="B118" i="8"/>
  <c r="C64" i="8"/>
  <c r="C118" i="8"/>
  <c r="D118" i="8"/>
  <c r="G64" i="8"/>
  <c r="H118" i="8"/>
  <c r="I118" i="8"/>
  <c r="I119" i="8"/>
  <c r="B70" i="8"/>
  <c r="B124" i="8"/>
  <c r="F70" i="7"/>
  <c r="F70" i="8"/>
  <c r="H124" i="8"/>
  <c r="I124" i="8"/>
  <c r="I30" i="8"/>
  <c r="I32" i="8"/>
  <c r="B71" i="8"/>
  <c r="B125" i="8"/>
  <c r="I128" i="8"/>
  <c r="F71" i="7"/>
  <c r="F71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7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B6" i="7"/>
  <c r="C6" i="7"/>
  <c r="D6" i="7"/>
  <c r="H6" i="7"/>
  <c r="I6" i="7"/>
  <c r="B7" i="7"/>
  <c r="C7" i="7"/>
  <c r="D7" i="7"/>
  <c r="H7" i="7"/>
  <c r="I7" i="7"/>
  <c r="B8" i="7"/>
  <c r="C8" i="7"/>
  <c r="D8" i="7"/>
  <c r="H8" i="7"/>
  <c r="I8" i="7"/>
  <c r="B9" i="7"/>
  <c r="C9" i="7"/>
  <c r="D9" i="7"/>
  <c r="H9" i="7"/>
  <c r="I9" i="7"/>
  <c r="B10" i="7"/>
  <c r="C10" i="7"/>
  <c r="D10" i="7"/>
  <c r="H10" i="7"/>
  <c r="I10" i="7"/>
  <c r="B11" i="7"/>
  <c r="C11" i="7"/>
  <c r="D11" i="7"/>
  <c r="H11" i="7"/>
  <c r="I11" i="7"/>
  <c r="B12" i="7"/>
  <c r="C12" i="7"/>
  <c r="D12" i="7"/>
  <c r="H12" i="7"/>
  <c r="I12" i="7"/>
  <c r="B13" i="7"/>
  <c r="C13" i="7"/>
  <c r="D13" i="7"/>
  <c r="H13" i="7"/>
  <c r="I13" i="7"/>
  <c r="B14" i="7"/>
  <c r="C14" i="7"/>
  <c r="D14" i="7"/>
  <c r="H14" i="7"/>
  <c r="I14" i="7"/>
  <c r="B15" i="7"/>
  <c r="C15" i="7"/>
  <c r="D15" i="7"/>
  <c r="H15" i="7"/>
  <c r="I15" i="7"/>
  <c r="B16" i="7"/>
  <c r="C16" i="7"/>
  <c r="D16" i="7"/>
  <c r="H16" i="7"/>
  <c r="I16" i="7"/>
  <c r="B17" i="7"/>
  <c r="C17" i="7"/>
  <c r="D17" i="7"/>
  <c r="H17" i="7"/>
  <c r="I17" i="7"/>
  <c r="B18" i="7"/>
  <c r="C18" i="7"/>
  <c r="D18" i="7"/>
  <c r="H18" i="7"/>
  <c r="I18" i="7"/>
  <c r="B19" i="7"/>
  <c r="C19" i="7"/>
  <c r="D19" i="7"/>
  <c r="H19" i="7"/>
  <c r="I19" i="7"/>
  <c r="B20" i="7"/>
  <c r="C20" i="7"/>
  <c r="D20" i="7"/>
  <c r="I20" i="7"/>
  <c r="B21" i="7"/>
  <c r="C21" i="7"/>
  <c r="D21" i="7"/>
  <c r="H21" i="7"/>
  <c r="I21" i="7"/>
  <c r="B22" i="7"/>
  <c r="C22" i="7"/>
  <c r="D22" i="7"/>
  <c r="H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B29" i="7"/>
  <c r="C29" i="7"/>
  <c r="D29" i="7"/>
  <c r="I29" i="7"/>
  <c r="B37" i="7"/>
  <c r="B80" i="7"/>
  <c r="B82" i="7"/>
  <c r="B81" i="7"/>
  <c r="B83" i="7"/>
  <c r="B91" i="7"/>
  <c r="C37" i="7"/>
  <c r="C91" i="7"/>
  <c r="D91" i="7"/>
  <c r="H91" i="7"/>
  <c r="I91" i="7"/>
  <c r="B38" i="7"/>
  <c r="B92" i="7"/>
  <c r="C38" i="7"/>
  <c r="C92" i="7"/>
  <c r="D92" i="7"/>
  <c r="G38" i="1"/>
  <c r="G38" i="7"/>
  <c r="H92" i="7"/>
  <c r="I92" i="7"/>
  <c r="B39" i="7"/>
  <c r="B93" i="7"/>
  <c r="C39" i="7"/>
  <c r="C93" i="7"/>
  <c r="D93" i="7"/>
  <c r="G39" i="1"/>
  <c r="G39" i="7"/>
  <c r="H93" i="7"/>
  <c r="I93" i="7"/>
  <c r="B40" i="7"/>
  <c r="B94" i="7"/>
  <c r="C40" i="7"/>
  <c r="C94" i="7"/>
  <c r="D94" i="7"/>
  <c r="G40" i="1"/>
  <c r="G40" i="7"/>
  <c r="H94" i="7"/>
  <c r="I94" i="7"/>
  <c r="B41" i="7"/>
  <c r="B95" i="7"/>
  <c r="C41" i="7"/>
  <c r="C95" i="7"/>
  <c r="D95" i="7"/>
  <c r="G41" i="1"/>
  <c r="G41" i="7"/>
  <c r="H95" i="7"/>
  <c r="I95" i="7"/>
  <c r="B42" i="7"/>
  <c r="B96" i="7"/>
  <c r="C42" i="7"/>
  <c r="C96" i="7"/>
  <c r="D96" i="7"/>
  <c r="G42" i="1"/>
  <c r="G42" i="7"/>
  <c r="H96" i="7"/>
  <c r="I96" i="7"/>
  <c r="B43" i="7"/>
  <c r="B97" i="7"/>
  <c r="C43" i="7"/>
  <c r="C97" i="7"/>
  <c r="D97" i="7"/>
  <c r="G43" i="1"/>
  <c r="G43" i="7"/>
  <c r="H97" i="7"/>
  <c r="I97" i="7"/>
  <c r="B44" i="7"/>
  <c r="B98" i="7"/>
  <c r="C44" i="7"/>
  <c r="C98" i="7"/>
  <c r="D98" i="7"/>
  <c r="G44" i="1"/>
  <c r="G44" i="7"/>
  <c r="H98" i="7"/>
  <c r="I98" i="7"/>
  <c r="B45" i="7"/>
  <c r="B99" i="7"/>
  <c r="C45" i="7"/>
  <c r="C99" i="7"/>
  <c r="D99" i="7"/>
  <c r="G45" i="1"/>
  <c r="G45" i="7"/>
  <c r="H99" i="7"/>
  <c r="I99" i="7"/>
  <c r="B46" i="7"/>
  <c r="B100" i="7"/>
  <c r="C46" i="7"/>
  <c r="C100" i="7"/>
  <c r="D100" i="7"/>
  <c r="G46" i="1"/>
  <c r="G46" i="7"/>
  <c r="H100" i="7"/>
  <c r="I100" i="7"/>
  <c r="B47" i="7"/>
  <c r="B101" i="7"/>
  <c r="C47" i="7"/>
  <c r="C101" i="7"/>
  <c r="D101" i="7"/>
  <c r="G47" i="1"/>
  <c r="G47" i="7"/>
  <c r="H101" i="7"/>
  <c r="I101" i="7"/>
  <c r="B48" i="7"/>
  <c r="B102" i="7"/>
  <c r="C48" i="7"/>
  <c r="C102" i="7"/>
  <c r="D102" i="7"/>
  <c r="G48" i="1"/>
  <c r="G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70" i="7"/>
  <c r="B124" i="7"/>
  <c r="H124" i="7"/>
  <c r="I124" i="7"/>
  <c r="I30" i="7"/>
  <c r="I32" i="7"/>
  <c r="B71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7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B6" i="1"/>
  <c r="C6" i="1"/>
  <c r="D6" i="1"/>
  <c r="F7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B29" i="1"/>
  <c r="C29" i="1"/>
  <c r="D29" i="1"/>
  <c r="H29" i="1"/>
  <c r="I29" i="1"/>
  <c r="B37" i="1"/>
  <c r="B80" i="1"/>
  <c r="B82" i="1"/>
  <c r="B81" i="1"/>
  <c r="B83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70" i="1"/>
  <c r="B124" i="1"/>
  <c r="H124" i="1"/>
  <c r="I124" i="1"/>
  <c r="I30" i="1"/>
  <c r="I32" i="1"/>
  <c r="B71" i="1"/>
  <c r="B125" i="1"/>
  <c r="H125" i="1"/>
  <c r="I128" i="1"/>
  <c r="I131" i="1"/>
  <c r="J6" i="1"/>
  <c r="J7" i="1"/>
  <c r="J8" i="1"/>
  <c r="J9" i="1"/>
  <c r="J10" i="1"/>
  <c r="J11" i="1"/>
  <c r="J12" i="1"/>
  <c r="J13" i="1"/>
  <c r="J14" i="1"/>
  <c r="J15" i="1"/>
  <c r="J16" i="1"/>
  <c r="J17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72" i="1"/>
  <c r="B126" i="1"/>
  <c r="H126" i="1"/>
  <c r="B128" i="1"/>
  <c r="K128" i="1"/>
  <c r="L128" i="1"/>
  <c r="L127" i="1"/>
  <c r="J33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E9" i="12"/>
  <c r="H9" i="12"/>
  <c r="I9" i="12"/>
  <c r="B10" i="12"/>
  <c r="C10" i="12"/>
  <c r="D10" i="12"/>
  <c r="E10" i="12"/>
  <c r="H10" i="12"/>
  <c r="I10" i="12"/>
  <c r="B11" i="12"/>
  <c r="C11" i="12"/>
  <c r="D11" i="12"/>
  <c r="E11" i="12"/>
  <c r="H11" i="12"/>
  <c r="I11" i="12"/>
  <c r="B12" i="12"/>
  <c r="C12" i="12"/>
  <c r="D12" i="12"/>
  <c r="E12" i="12"/>
  <c r="H12" i="12"/>
  <c r="I12" i="12"/>
  <c r="B13" i="12"/>
  <c r="C13" i="12"/>
  <c r="D13" i="12"/>
  <c r="E13" i="12"/>
  <c r="H13" i="12"/>
  <c r="I13" i="12"/>
  <c r="B14" i="12"/>
  <c r="C14" i="12"/>
  <c r="D14" i="12"/>
  <c r="E14" i="12"/>
  <c r="H14" i="12"/>
  <c r="I14" i="12"/>
  <c r="B15" i="12"/>
  <c r="C15" i="12"/>
  <c r="D15" i="12"/>
  <c r="E15" i="12"/>
  <c r="H15" i="12"/>
  <c r="I15" i="12"/>
  <c r="B16" i="12"/>
  <c r="C16" i="12"/>
  <c r="D16" i="12"/>
  <c r="E16" i="12"/>
  <c r="H16" i="12"/>
  <c r="I16" i="12"/>
  <c r="B17" i="12"/>
  <c r="C17" i="12"/>
  <c r="D17" i="12"/>
  <c r="E17" i="12"/>
  <c r="H17" i="12"/>
  <c r="I17" i="12"/>
  <c r="B18" i="12"/>
  <c r="C18" i="12"/>
  <c r="D18" i="12"/>
  <c r="E18" i="12"/>
  <c r="H18" i="12"/>
  <c r="I18" i="12"/>
  <c r="B19" i="12"/>
  <c r="C19" i="12"/>
  <c r="D19" i="12"/>
  <c r="E19" i="12"/>
  <c r="H19" i="12"/>
  <c r="I19" i="12"/>
  <c r="B20" i="12"/>
  <c r="C20" i="12"/>
  <c r="D20" i="12"/>
  <c r="I20" i="12"/>
  <c r="B21" i="12"/>
  <c r="C21" i="12"/>
  <c r="D21" i="12"/>
  <c r="E21" i="12"/>
  <c r="H21" i="12"/>
  <c r="I21" i="12"/>
  <c r="B22" i="12"/>
  <c r="C22" i="12"/>
  <c r="D22" i="12"/>
  <c r="E22" i="12"/>
  <c r="H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B29" i="12"/>
  <c r="C29" i="12"/>
  <c r="D29" i="12"/>
  <c r="I29" i="12"/>
  <c r="B37" i="12"/>
  <c r="B80" i="12"/>
  <c r="B82" i="12"/>
  <c r="B81" i="12"/>
  <c r="B83" i="12"/>
  <c r="B91" i="12"/>
  <c r="C37" i="12"/>
  <c r="C91" i="12"/>
  <c r="D91" i="12"/>
  <c r="E37" i="12"/>
  <c r="F37" i="12"/>
  <c r="G37" i="12"/>
  <c r="H91" i="12"/>
  <c r="I91" i="12"/>
  <c r="B38" i="12"/>
  <c r="B92" i="12"/>
  <c r="C38" i="12"/>
  <c r="C92" i="12"/>
  <c r="D92" i="12"/>
  <c r="E38" i="12"/>
  <c r="G38" i="12"/>
  <c r="F38" i="12"/>
  <c r="H92" i="12"/>
  <c r="I92" i="12"/>
  <c r="B39" i="12"/>
  <c r="B93" i="12"/>
  <c r="C39" i="12"/>
  <c r="C93" i="12"/>
  <c r="D93" i="12"/>
  <c r="G39" i="12"/>
  <c r="F39" i="12"/>
  <c r="H93" i="12"/>
  <c r="I93" i="12"/>
  <c r="B40" i="12"/>
  <c r="B94" i="12"/>
  <c r="C40" i="12"/>
  <c r="C94" i="12"/>
  <c r="D94" i="12"/>
  <c r="E40" i="12"/>
  <c r="G40" i="12"/>
  <c r="F40" i="12"/>
  <c r="H94" i="12"/>
  <c r="I94" i="12"/>
  <c r="B41" i="12"/>
  <c r="B95" i="12"/>
  <c r="C41" i="12"/>
  <c r="C95" i="12"/>
  <c r="D95" i="12"/>
  <c r="G41" i="12"/>
  <c r="F41" i="12"/>
  <c r="E41" i="12"/>
  <c r="H95" i="12"/>
  <c r="I95" i="12"/>
  <c r="B42" i="12"/>
  <c r="B96" i="12"/>
  <c r="C42" i="12"/>
  <c r="C96" i="12"/>
  <c r="D96" i="12"/>
  <c r="G42" i="12"/>
  <c r="F42" i="12"/>
  <c r="E42" i="12"/>
  <c r="H96" i="12"/>
  <c r="I96" i="12"/>
  <c r="B43" i="12"/>
  <c r="B97" i="12"/>
  <c r="C43" i="12"/>
  <c r="C97" i="12"/>
  <c r="D97" i="12"/>
  <c r="G43" i="12"/>
  <c r="F43" i="12"/>
  <c r="E43" i="12"/>
  <c r="H97" i="12"/>
  <c r="I97" i="12"/>
  <c r="B44" i="12"/>
  <c r="B98" i="12"/>
  <c r="C44" i="12"/>
  <c r="C98" i="12"/>
  <c r="D98" i="12"/>
  <c r="G44" i="12"/>
  <c r="F44" i="12"/>
  <c r="E44" i="12"/>
  <c r="H98" i="12"/>
  <c r="I98" i="12"/>
  <c r="B45" i="12"/>
  <c r="B99" i="12"/>
  <c r="C45" i="12"/>
  <c r="C99" i="12"/>
  <c r="D99" i="12"/>
  <c r="G45" i="12"/>
  <c r="F45" i="12"/>
  <c r="E45" i="12"/>
  <c r="H99" i="12"/>
  <c r="I99" i="12"/>
  <c r="B46" i="12"/>
  <c r="B100" i="12"/>
  <c r="C46" i="12"/>
  <c r="C100" i="12"/>
  <c r="D100" i="12"/>
  <c r="G46" i="12"/>
  <c r="F46" i="12"/>
  <c r="E46" i="12"/>
  <c r="H100" i="12"/>
  <c r="I100" i="12"/>
  <c r="B47" i="12"/>
  <c r="B101" i="12"/>
  <c r="C47" i="12"/>
  <c r="C101" i="12"/>
  <c r="D101" i="12"/>
  <c r="G47" i="12"/>
  <c r="F47" i="12"/>
  <c r="E47" i="12"/>
  <c r="H101" i="12"/>
  <c r="I101" i="12"/>
  <c r="B48" i="12"/>
  <c r="B102" i="12"/>
  <c r="C48" i="12"/>
  <c r="C102" i="12"/>
  <c r="D102" i="12"/>
  <c r="G48" i="12"/>
  <c r="F48" i="12"/>
  <c r="E48" i="12"/>
  <c r="H102" i="12"/>
  <c r="I102" i="12"/>
  <c r="B49" i="12"/>
  <c r="B103" i="12"/>
  <c r="C49" i="12"/>
  <c r="C103" i="12"/>
  <c r="D103" i="12"/>
  <c r="G49" i="12"/>
  <c r="F49" i="12"/>
  <c r="E49" i="12"/>
  <c r="H103" i="12"/>
  <c r="I103" i="12"/>
  <c r="B50" i="12"/>
  <c r="B104" i="12"/>
  <c r="C50" i="12"/>
  <c r="C104" i="12"/>
  <c r="D104" i="12"/>
  <c r="G50" i="12"/>
  <c r="F50" i="12"/>
  <c r="E50" i="12"/>
  <c r="H104" i="12"/>
  <c r="I104" i="12"/>
  <c r="B51" i="12"/>
  <c r="B105" i="12"/>
  <c r="C51" i="12"/>
  <c r="C105" i="12"/>
  <c r="D105" i="12"/>
  <c r="G51" i="12"/>
  <c r="F51" i="12"/>
  <c r="E51" i="12"/>
  <c r="H105" i="12"/>
  <c r="I105" i="12"/>
  <c r="B52" i="12"/>
  <c r="B106" i="12"/>
  <c r="C52" i="12"/>
  <c r="C106" i="12"/>
  <c r="D106" i="12"/>
  <c r="G52" i="12"/>
  <c r="F52" i="12"/>
  <c r="E52" i="12"/>
  <c r="H106" i="12"/>
  <c r="I106" i="12"/>
  <c r="B53" i="12"/>
  <c r="B107" i="12"/>
  <c r="C53" i="12"/>
  <c r="C107" i="12"/>
  <c r="D107" i="12"/>
  <c r="E53" i="12"/>
  <c r="G53" i="12"/>
  <c r="H107" i="12"/>
  <c r="I107" i="12"/>
  <c r="B54" i="12"/>
  <c r="B108" i="12"/>
  <c r="C54" i="12"/>
  <c r="C108" i="12"/>
  <c r="D108" i="12"/>
  <c r="E54" i="12"/>
  <c r="G54" i="12"/>
  <c r="F54" i="12"/>
  <c r="H108" i="12"/>
  <c r="I108" i="12"/>
  <c r="B55" i="12"/>
  <c r="B109" i="12"/>
  <c r="C55" i="12"/>
  <c r="C109" i="12"/>
  <c r="D109" i="12"/>
  <c r="G55" i="12"/>
  <c r="F55" i="12"/>
  <c r="H109" i="12"/>
  <c r="I109" i="12"/>
  <c r="B56" i="12"/>
  <c r="B110" i="12"/>
  <c r="C56" i="12"/>
  <c r="C110" i="12"/>
  <c r="D110" i="12"/>
  <c r="G56" i="12"/>
  <c r="F56" i="12"/>
  <c r="H110" i="12"/>
  <c r="I110" i="12"/>
  <c r="B57" i="12"/>
  <c r="B111" i="12"/>
  <c r="C57" i="12"/>
  <c r="C111" i="12"/>
  <c r="D111" i="12"/>
  <c r="G57" i="12"/>
  <c r="H111" i="12"/>
  <c r="I111" i="12"/>
  <c r="B58" i="12"/>
  <c r="B112" i="12"/>
  <c r="C58" i="12"/>
  <c r="C112" i="12"/>
  <c r="D112" i="12"/>
  <c r="G58" i="12"/>
  <c r="H112" i="12"/>
  <c r="I112" i="12"/>
  <c r="B59" i="12"/>
  <c r="B113" i="12"/>
  <c r="C59" i="12"/>
  <c r="C113" i="12"/>
  <c r="D113" i="12"/>
  <c r="G59" i="12"/>
  <c r="H113" i="12"/>
  <c r="I113" i="12"/>
  <c r="B60" i="12"/>
  <c r="B114" i="12"/>
  <c r="C60" i="12"/>
  <c r="C114" i="12"/>
  <c r="D114" i="12"/>
  <c r="G60" i="12"/>
  <c r="H114" i="12"/>
  <c r="I114" i="12"/>
  <c r="B61" i="12"/>
  <c r="B115" i="12"/>
  <c r="C61" i="12"/>
  <c r="C115" i="12"/>
  <c r="D115" i="12"/>
  <c r="G61" i="12"/>
  <c r="H115" i="12"/>
  <c r="I115" i="12"/>
  <c r="B62" i="12"/>
  <c r="B116" i="12"/>
  <c r="C62" i="12"/>
  <c r="C116" i="12"/>
  <c r="D116" i="12"/>
  <c r="G62" i="12"/>
  <c r="H116" i="12"/>
  <c r="I116" i="12"/>
  <c r="B63" i="12"/>
  <c r="B117" i="12"/>
  <c r="C63" i="12"/>
  <c r="C117" i="12"/>
  <c r="D117" i="12"/>
  <c r="G63" i="12"/>
  <c r="H117" i="12"/>
  <c r="I117" i="12"/>
  <c r="B64" i="12"/>
  <c r="B118" i="12"/>
  <c r="C64" i="12"/>
  <c r="C118" i="12"/>
  <c r="D118" i="12"/>
  <c r="G64" i="12"/>
  <c r="H118" i="12"/>
  <c r="I118" i="12"/>
  <c r="I119" i="12"/>
  <c r="B70" i="12"/>
  <c r="B124" i="12"/>
  <c r="F70" i="12"/>
  <c r="H124" i="12"/>
  <c r="I124" i="12"/>
  <c r="I30" i="12"/>
  <c r="I32" i="12"/>
  <c r="B71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73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L32" i="12"/>
  <c r="B7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H83" i="8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H83" i="12"/>
  <c r="I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A1" i="1"/>
  <c r="B1" i="1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9" i="12"/>
  <c r="F53" i="12"/>
  <c r="E55" i="12"/>
  <c r="E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20" i="12"/>
  <c r="H20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9" i="7"/>
  <c r="F53" i="7"/>
  <c r="E55" i="7"/>
  <c r="E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20" i="7"/>
  <c r="H20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9" i="8"/>
  <c r="F53" i="8"/>
  <c r="E55" i="8"/>
  <c r="E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20" i="8"/>
  <c r="H20" i="8"/>
  <c r="E23" i="8"/>
  <c r="H23" i="8"/>
  <c r="E24" i="8"/>
  <c r="H24" i="8"/>
  <c r="E73" i="8"/>
  <c r="A38" i="1"/>
  <c r="A38" i="8"/>
  <c r="A92" i="8"/>
  <c r="A39" i="1"/>
  <c r="A39" i="8"/>
  <c r="A93" i="8"/>
  <c r="A40" i="1"/>
  <c r="A40" i="8"/>
  <c r="A94" i="8"/>
  <c r="A41" i="1"/>
  <c r="A41" i="8"/>
  <c r="A95" i="8"/>
  <c r="A42" i="1"/>
  <c r="A42" i="8"/>
  <c r="A96" i="8"/>
  <c r="A43" i="1"/>
  <c r="A43" i="8"/>
  <c r="A97" i="8"/>
  <c r="A44" i="1"/>
  <c r="A44" i="8"/>
  <c r="A98" i="8"/>
  <c r="A45" i="1"/>
  <c r="A45" i="8"/>
  <c r="A99" i="8"/>
  <c r="A46" i="1"/>
  <c r="A46" i="8"/>
  <c r="A100" i="8"/>
  <c r="A47" i="1"/>
  <c r="A47" i="8"/>
  <c r="A101" i="8"/>
  <c r="A48" i="1"/>
  <c r="A48" i="8"/>
  <c r="A102" i="8"/>
  <c r="A49" i="1"/>
  <c r="A49" i="8"/>
  <c r="A103" i="8"/>
  <c r="A50" i="1"/>
  <c r="A50" i="8"/>
  <c r="A104" i="8"/>
  <c r="A51" i="1"/>
  <c r="A51" i="8"/>
  <c r="A105" i="8"/>
  <c r="A52" i="1"/>
  <c r="A52" i="8"/>
  <c r="A106" i="8"/>
  <c r="A53" i="1"/>
  <c r="A53" i="8"/>
  <c r="A107" i="8"/>
  <c r="A54" i="1"/>
  <c r="A54" i="8"/>
  <c r="A108" i="8"/>
  <c r="A55" i="1"/>
  <c r="A55" i="8"/>
  <c r="A109" i="8"/>
  <c r="A56" i="1"/>
  <c r="A56" i="8"/>
  <c r="A110" i="8"/>
  <c r="A57" i="1"/>
  <c r="A57" i="8"/>
  <c r="A111" i="8"/>
  <c r="A58" i="1"/>
  <c r="A58" i="8"/>
  <c r="A112" i="8"/>
  <c r="A59" i="1"/>
  <c r="A59" i="8"/>
  <c r="A113" i="8"/>
  <c r="A60" i="1"/>
  <c r="A60" i="8"/>
  <c r="A114" i="8"/>
  <c r="A61" i="1"/>
  <c r="A61" i="8"/>
  <c r="A115" i="8"/>
  <c r="A62" i="1"/>
  <c r="A62" i="8"/>
  <c r="A116" i="8"/>
  <c r="A63" i="1"/>
  <c r="A63" i="8"/>
  <c r="A117" i="8"/>
  <c r="A64" i="1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1"/>
  <c r="A18" i="8"/>
  <c r="A19" i="1"/>
  <c r="A19" i="8"/>
  <c r="A20" i="1"/>
  <c r="A20" i="8"/>
  <c r="A21" i="1"/>
  <c r="A21" i="8"/>
  <c r="A22" i="1"/>
  <c r="A22" i="8"/>
  <c r="A23" i="1"/>
  <c r="A23" i="8"/>
  <c r="A24" i="1"/>
  <c r="A24" i="8"/>
  <c r="A25" i="1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"/>
  <c r="A16" i="12"/>
  <c r="A17" i="1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37" i="1"/>
  <c r="A30" i="1"/>
  <c r="A7" i="1"/>
  <c r="A8" i="1"/>
  <c r="A9" i="1"/>
  <c r="A10" i="1"/>
  <c r="A11" i="1"/>
  <c r="A12" i="1"/>
  <c r="A13" i="1"/>
  <c r="A14" i="1"/>
  <c r="A15" i="1"/>
  <c r="A26" i="1"/>
  <c r="A27" i="1"/>
  <c r="A28" i="1"/>
  <c r="A29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B87" i="8"/>
  <c r="B79" i="8"/>
  <c r="B87" i="7"/>
  <c r="B79" i="7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B2" i="13"/>
  <c r="E2" i="13"/>
  <c r="D2" i="13"/>
  <c r="C2" i="13"/>
  <c r="B87" i="1"/>
  <c r="B79" i="1"/>
  <c r="A6" i="1"/>
  <c r="B87" i="12"/>
  <c r="B79" i="12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E6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E11" i="13"/>
  <c r="CI33" i="13"/>
  <c r="E4" i="13"/>
  <c r="CM27" i="13"/>
  <c r="E5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E15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18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E7" i="13"/>
  <c r="CI36" i="13"/>
  <c r="E14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E13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E3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J37" i="8"/>
  <c r="J38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C38" i="8"/>
  <c r="AE37" i="8"/>
  <c r="AD37" i="8"/>
  <c r="AF37" i="8"/>
  <c r="AG37" i="8"/>
  <c r="Z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AE8" i="1"/>
  <c r="AE9" i="1"/>
  <c r="AE10" i="1"/>
  <c r="AE11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A9" i="1"/>
  <c r="AA10" i="1"/>
  <c r="AA11" i="1"/>
  <c r="J119" i="1"/>
  <c r="J124" i="1"/>
  <c r="J70" i="1"/>
  <c r="AA70" i="1"/>
  <c r="J39" i="1"/>
  <c r="Y8" i="1"/>
  <c r="Z8" i="1"/>
  <c r="Z39" i="1"/>
  <c r="AA39" i="1"/>
  <c r="J40" i="1"/>
  <c r="Y9" i="1"/>
  <c r="Z9" i="1"/>
  <c r="Z40" i="1"/>
  <c r="AA40" i="1"/>
  <c r="J41" i="1"/>
  <c r="Y1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Y7" i="1"/>
  <c r="Z7" i="1"/>
  <c r="AB7" i="1"/>
  <c r="AD7" i="1"/>
  <c r="AF7" i="1"/>
  <c r="AG7" i="1"/>
  <c r="AC6" i="1"/>
  <c r="AC12" i="1"/>
  <c r="AC13" i="1"/>
  <c r="AC14" i="1"/>
  <c r="AC15" i="1"/>
  <c r="AC16" i="1"/>
  <c r="AC17" i="1"/>
  <c r="AC26" i="1"/>
  <c r="AC27" i="1"/>
  <c r="AC28" i="1"/>
  <c r="AC29" i="1"/>
  <c r="AC8" i="1"/>
  <c r="AB8" i="1"/>
  <c r="AD8" i="1"/>
  <c r="AF8" i="1"/>
  <c r="AG8" i="1"/>
  <c r="AC9" i="1"/>
  <c r="AB9" i="1"/>
  <c r="AD9" i="1"/>
  <c r="AF9" i="1"/>
  <c r="AG9" i="1"/>
  <c r="Y10" i="1"/>
  <c r="Z10" i="1"/>
  <c r="AC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B37" i="1"/>
  <c r="AD37" i="1"/>
  <c r="AF37" i="1"/>
  <c r="AG37" i="1"/>
  <c r="J38" i="1"/>
  <c r="Z38" i="1"/>
  <c r="AC11" i="1"/>
  <c r="AC70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8" i="1"/>
  <c r="AB38" i="1"/>
  <c r="AE70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8" i="1"/>
  <c r="AD38" i="1"/>
  <c r="AF38" i="1"/>
  <c r="AG38" i="1"/>
  <c r="AB39" i="1"/>
  <c r="AD39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39" i="1"/>
  <c r="AC37" i="1"/>
  <c r="AC65" i="1"/>
  <c r="AC79" i="1"/>
  <c r="AC30" i="1"/>
  <c r="AC74" i="1"/>
  <c r="AE39" i="1"/>
  <c r="AE37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B38" i="12"/>
  <c r="AD38" i="12"/>
  <c r="AF38" i="12"/>
  <c r="AG38" i="12"/>
  <c r="AB39" i="12"/>
  <c r="AD39" i="12"/>
  <c r="AF39" i="12"/>
  <c r="AG39" i="12"/>
  <c r="AB40" i="12"/>
  <c r="AD40" i="12"/>
  <c r="AF40" i="12"/>
  <c r="AG40" i="12"/>
  <c r="AB41" i="12"/>
  <c r="AD41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70" i="12"/>
  <c r="AC39" i="12"/>
  <c r="AC40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C38" i="12"/>
  <c r="AC65" i="12"/>
  <c r="AC79" i="12"/>
  <c r="AC30" i="12"/>
  <c r="AC74" i="12"/>
  <c r="AE70" i="12"/>
  <c r="AE39" i="12"/>
  <c r="AE40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E38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<sst xmlns="http://schemas.openxmlformats.org/spreadsheetml/2006/main" count="790" uniqueCount="145">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</sst>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1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1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Normal" xfId="0" builtinId="0"/>
    <cellStyle name="Percent" xfId="6" builtinId="5"/>
    <cellStyle name="Total" xfId="7" builtinId="25" customBuiltin="1"/>
  </cellStyles>
  <dxfs count="348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0.00834371108343711</c:v>
                </c:pt>
                <c:pt idx="1">
                  <c:v>0.00166874221668742</c:v>
                </c:pt>
                <c:pt idx="2" formatCode="0.0%">
                  <c:v>0.00166874221668742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0.0261715733966376</c:v>
                </c:pt>
                <c:pt idx="1">
                  <c:v>0.00523431467932752</c:v>
                </c:pt>
                <c:pt idx="2" formatCode="0.0%">
                  <c:v>0.00523431467932752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0.0425</c:v>
                </c:pt>
                <c:pt idx="1">
                  <c:v>0.0085</c:v>
                </c:pt>
                <c:pt idx="2" formatCode="0.0%">
                  <c:v>0.0085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0.0887185787671233</c:v>
                </c:pt>
                <c:pt idx="1">
                  <c:v>0.026615573630137</c:v>
                </c:pt>
                <c:pt idx="2" formatCode="0.0%">
                  <c:v>0.026615573630137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0.0828528876089664</c:v>
                </c:pt>
                <c:pt idx="1">
                  <c:v>0.0165705775217933</c:v>
                </c:pt>
                <c:pt idx="2" formatCode="0.0%">
                  <c:v>0.0165705775217933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0.0219963418430884</c:v>
                </c:pt>
                <c:pt idx="1">
                  <c:v>0.00439926836861768</c:v>
                </c:pt>
                <c:pt idx="2" formatCode="0.0%">
                  <c:v>0.00439926836861768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0.0259884806973848</c:v>
                </c:pt>
                <c:pt idx="1">
                  <c:v>0.00519769613947696</c:v>
                </c:pt>
                <c:pt idx="2" formatCode="0.0%">
                  <c:v>0.00519769613947696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0.0584907169987546</c:v>
                </c:pt>
                <c:pt idx="1">
                  <c:v>0.0116981433997509</c:v>
                </c:pt>
                <c:pt idx="2" formatCode="0.0%">
                  <c:v>0.0211321300124533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0.00830946450809464</c:v>
                </c:pt>
                <c:pt idx="1">
                  <c:v>0.00166189290161893</c:v>
                </c:pt>
                <c:pt idx="2" formatCode="0.0%">
                  <c:v>0.0024813982974702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0.0208223069738481</c:v>
                </c:pt>
                <c:pt idx="1">
                  <c:v>0.00416446139476961</c:v>
                </c:pt>
                <c:pt idx="2" formatCode="0.0%">
                  <c:v>0.00416446139476961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0.0567798904109589</c:v>
                </c:pt>
                <c:pt idx="1">
                  <c:v>0.0283899452054794</c:v>
                </c:pt>
                <c:pt idx="2" formatCode="0.0%">
                  <c:v>0.0283899452054794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0.0189266301369863</c:v>
                </c:pt>
                <c:pt idx="1">
                  <c:v>0.00946331506849315</c:v>
                </c:pt>
                <c:pt idx="2" formatCode="0.0%">
                  <c:v>0.00946331506849315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0.197158914694894</c:v>
                </c:pt>
                <c:pt idx="1">
                  <c:v>0.197158914694894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0.570487345890411</c:v>
                </c:pt>
                <c:pt idx="1">
                  <c:v>0.257819366685091</c:v>
                </c:pt>
                <c:pt idx="2" formatCode="0.0%">
                  <c:v>0.522498184475678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9087896"/>
        <c:axId val="-2089097064"/>
      </c:barChart>
      <c:catAx>
        <c:axId val="-2089087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9097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9097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90878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0.0580500972339129</c:v>
                </c:pt>
                <c:pt idx="1">
                  <c:v>0.0342495573680086</c:v>
                </c:pt>
                <c:pt idx="2">
                  <c:v>0.0342495573680086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0.0435375729254346</c:v>
                </c:pt>
                <c:pt idx="1">
                  <c:v>0.0256871680260064</c:v>
                </c:pt>
                <c:pt idx="2">
                  <c:v>0.0428119467100107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0.0145125243084782</c:v>
                </c:pt>
                <c:pt idx="1">
                  <c:v>0.00609526020956085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0.0362813107711955</c:v>
                </c:pt>
                <c:pt idx="1">
                  <c:v>0.0101587670159347</c:v>
                </c:pt>
                <c:pt idx="2">
                  <c:v>0.0248889791890401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0.00287347981307869</c:v>
                </c:pt>
                <c:pt idx="1">
                  <c:v>0.000804574347662032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0.00725626215423911</c:v>
                </c:pt>
                <c:pt idx="1">
                  <c:v>0.00203175340318695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0.00725626215423911</c:v>
                </c:pt>
                <c:pt idx="1">
                  <c:v>0.00203175340318695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0.0224073375322904</c:v>
                </c:pt>
                <c:pt idx="1">
                  <c:v>0.0062740545090413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0.0116100194467826</c:v>
                </c:pt>
                <c:pt idx="1">
                  <c:v>0.00325080544509912</c:v>
                </c:pt>
                <c:pt idx="2">
                  <c:v>0.00325080544509912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0.00290250486169564</c:v>
                </c:pt>
                <c:pt idx="1">
                  <c:v>0.00081270136127478</c:v>
                </c:pt>
                <c:pt idx="2">
                  <c:v>0.00081270136127478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0.0218268365599512</c:v>
                </c:pt>
                <c:pt idx="1">
                  <c:v>0.0121138942907729</c:v>
                </c:pt>
                <c:pt idx="2">
                  <c:v>0.0121138942907729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0.0124517458566743</c:v>
                </c:pt>
                <c:pt idx="1">
                  <c:v>0.00996139668533945</c:v>
                </c:pt>
                <c:pt idx="2">
                  <c:v>0.0119536760224073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0.0626941050126259</c:v>
                </c:pt>
                <c:pt idx="1">
                  <c:v>0.0591832351319188</c:v>
                </c:pt>
                <c:pt idx="2">
                  <c:v>0.0591832351319188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0.639131570545381</c:v>
                </c:pt>
                <c:pt idx="1">
                  <c:v>0.754175253243549</c:v>
                </c:pt>
                <c:pt idx="2">
                  <c:v>0.754175253243549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0.0107682930368908</c:v>
                </c:pt>
                <c:pt idx="1">
                  <c:v>0.0127065857835312</c:v>
                </c:pt>
                <c:pt idx="2">
                  <c:v>0.0127065857835312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0.0464400777871303</c:v>
                </c:pt>
                <c:pt idx="1">
                  <c:v>0.0464400777871303</c:v>
                </c:pt>
                <c:pt idx="2">
                  <c:v>0.0464400777871303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5235336"/>
        <c:axId val="2115247656"/>
      </c:barChart>
      <c:catAx>
        <c:axId val="2115235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247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5247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2353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0.138537734215357</c:v>
                </c:pt>
                <c:pt idx="1">
                  <c:v>0.0817372631870605</c:v>
                </c:pt>
                <c:pt idx="2">
                  <c:v>0.102171578983826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0.043293041942299</c:v>
                </c:pt>
                <c:pt idx="1">
                  <c:v>0.0255428947459564</c:v>
                </c:pt>
                <c:pt idx="2">
                  <c:v>0.0306514736951477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0.00952446922730578</c:v>
                </c:pt>
                <c:pt idx="1">
                  <c:v>0.0112388736882208</c:v>
                </c:pt>
                <c:pt idx="2">
                  <c:v>0.0112388736882208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0.0113427769888823</c:v>
                </c:pt>
                <c:pt idx="1">
                  <c:v>0.00476396633533058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0.0216465209711495</c:v>
                </c:pt>
                <c:pt idx="1">
                  <c:v>0.00606102587192186</c:v>
                </c:pt>
                <c:pt idx="2">
                  <c:v>0.0112735081217747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0.00171440446091504</c:v>
                </c:pt>
                <c:pt idx="1">
                  <c:v>0.000480033249056211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0.0129879125826897</c:v>
                </c:pt>
                <c:pt idx="1">
                  <c:v>0.00363661552315312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0.0197416271256884</c:v>
                </c:pt>
                <c:pt idx="1">
                  <c:v>0.00552765559519274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0.00484882069753749</c:v>
                </c:pt>
                <c:pt idx="1">
                  <c:v>0.0013576697953105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0.0086586083884598</c:v>
                </c:pt>
                <c:pt idx="1">
                  <c:v>0.00242441034876874</c:v>
                </c:pt>
                <c:pt idx="2">
                  <c:v>0.00242441034876874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0.00519516503307588</c:v>
                </c:pt>
                <c:pt idx="1">
                  <c:v>0.00145464620926125</c:v>
                </c:pt>
                <c:pt idx="2">
                  <c:v>0.00145464620926125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0.0086586083884598</c:v>
                </c:pt>
                <c:pt idx="1">
                  <c:v>0.00242441034876874</c:v>
                </c:pt>
                <c:pt idx="2">
                  <c:v>0.00242441034876874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0.00519516503307588</c:v>
                </c:pt>
                <c:pt idx="1">
                  <c:v>0.00145464620926125</c:v>
                </c:pt>
                <c:pt idx="2">
                  <c:v>0.00145464620926125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0.190489384546116</c:v>
                </c:pt>
                <c:pt idx="1">
                  <c:v>0.0899109895057666</c:v>
                </c:pt>
                <c:pt idx="2">
                  <c:v>0.0899109895057666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0.41145707061961</c:v>
                </c:pt>
                <c:pt idx="1">
                  <c:v>0.291311605998684</c:v>
                </c:pt>
                <c:pt idx="2">
                  <c:v>0.291311605998684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0.106708689779379</c:v>
                </c:pt>
                <c:pt idx="1">
                  <c:v>0.125916253939667</c:v>
                </c:pt>
                <c:pt idx="2">
                  <c:v>0.125916253939667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9411224"/>
        <c:axId val="2089408472"/>
      </c:barChart>
      <c:catAx>
        <c:axId val="2089411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9408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9408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94112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1.0</c:v>
                </c:pt>
                <c:pt idx="1">
                  <c:v>1.18</c:v>
                </c:pt>
                <c:pt idx="2">
                  <c:v>1.18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8955800"/>
        <c:axId val="2088936568"/>
      </c:barChart>
      <c:catAx>
        <c:axId val="2088955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8936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8936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89558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ZACNI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3956.457536089572</c:v>
                </c:pt>
                <c:pt idx="1">
                  <c:v>4381.242391933897</c:v>
                </c:pt>
                <c:pt idx="2">
                  <c:v>6097.863728234184</c:v>
                </c:pt>
                <c:pt idx="3">
                  <c:v>6166.844189451946</c:v>
                </c:pt>
                <c:pt idx="4">
                  <c:v>1039.937966272888</c:v>
                </c:pt>
                <c:pt idx="5">
                  <c:v>1242.863194411793</c:v>
                </c:pt>
                <c:pt idx="6">
                  <c:v>1967.19723687314</c:v>
                </c:pt>
                <c:pt idx="7">
                  <c:v>2120.510002373273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1238.462844042475</c:v>
                </c:pt>
                <c:pt idx="2">
                  <c:v>5364.203299375361</c:v>
                </c:pt>
                <c:pt idx="3">
                  <c:v>7603.279597555821</c:v>
                </c:pt>
                <c:pt idx="4">
                  <c:v>0.0</c:v>
                </c:pt>
                <c:pt idx="5">
                  <c:v>42.0</c:v>
                </c:pt>
                <c:pt idx="6">
                  <c:v>997.4999999999999</c:v>
                </c:pt>
                <c:pt idx="7">
                  <c:v>976.8888888888887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279.818960936849</c:v>
                </c:pt>
                <c:pt idx="1">
                  <c:v>432.453546821816</c:v>
                </c:pt>
                <c:pt idx="2">
                  <c:v>745.1667650758195</c:v>
                </c:pt>
                <c:pt idx="3">
                  <c:v>1940.86242615123</c:v>
                </c:pt>
                <c:pt idx="4">
                  <c:v>62.33247554789808</c:v>
                </c:pt>
                <c:pt idx="5">
                  <c:v>96.33335797768255</c:v>
                </c:pt>
                <c:pt idx="6">
                  <c:v>165.9933587333901</c:v>
                </c:pt>
                <c:pt idx="7">
                  <c:v>432.3465404733914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740.7074426091356</c:v>
                </c:pt>
                <c:pt idx="2">
                  <c:v>5184.95209826395</c:v>
                </c:pt>
                <c:pt idx="3">
                  <c:v>14550.78620592169</c:v>
                </c:pt>
                <c:pt idx="4">
                  <c:v>0.0</c:v>
                </c:pt>
                <c:pt idx="5">
                  <c:v>295.0</c:v>
                </c:pt>
                <c:pt idx="6">
                  <c:v>2655.0</c:v>
                </c:pt>
                <c:pt idx="7">
                  <c:v>7394.666666666666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146.6696698647767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210.6121970387661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2591.441432327124</c:v>
                </c:pt>
                <c:pt idx="2">
                  <c:v>1114.02399368414</c:v>
                </c:pt>
                <c:pt idx="3">
                  <c:v>0.0</c:v>
                </c:pt>
                <c:pt idx="4">
                  <c:v>0.0</c:v>
                </c:pt>
                <c:pt idx="5">
                  <c:v>1143.743821866164</c:v>
                </c:pt>
                <c:pt idx="6">
                  <c:v>417.3600000000001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45772.42792016633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19568.07111111111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549.6049224159786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437.78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635.5269857586383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411.84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3199.856152071466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2039.04</c:v>
                </c:pt>
                <c:pt idx="7">
                  <c:v>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1325.855509415914</c:v>
                </c:pt>
                <c:pt idx="4">
                  <c:v>1661.330201222238</c:v>
                </c:pt>
                <c:pt idx="5">
                  <c:v>1661.330201222238</c:v>
                </c:pt>
                <c:pt idx="6">
                  <c:v>1661.330201222238</c:v>
                </c:pt>
                <c:pt idx="7">
                  <c:v>1476.73795664199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510.7529794196042</c:v>
                </c:pt>
                <c:pt idx="3">
                  <c:v>991.2052584987073</c:v>
                </c:pt>
                <c:pt idx="4">
                  <c:v>0.0</c:v>
                </c:pt>
                <c:pt idx="5">
                  <c:v>0.0</c:v>
                </c:pt>
                <c:pt idx="6">
                  <c:v>568.876703245882</c:v>
                </c:pt>
                <c:pt idx="7">
                  <c:v>1104.004484389864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8114.203131302213</c:v>
                </c:pt>
                <c:pt idx="4">
                  <c:v>25983.6</c:v>
                </c:pt>
                <c:pt idx="5">
                  <c:v>25983.6</c:v>
                </c:pt>
                <c:pt idx="6">
                  <c:v>25983.6</c:v>
                </c:pt>
                <c:pt idx="7">
                  <c:v>6463.253333333333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2370.263816349234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1600.0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0334760"/>
        <c:axId val="-2120598184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29831.10902214857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29831.10902214856</c:v>
                </c:pt>
                <c:pt idx="5" formatCode="#,##0">
                  <c:v>29831.10902214856</c:v>
                </c:pt>
                <c:pt idx="6" formatCode="#,##0">
                  <c:v>29831.10902214856</c:v>
                </c:pt>
                <c:pt idx="7" formatCode="#,##0">
                  <c:v>29831.10902214857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46325.93568881523</c:v>
                </c:pt>
                <c:pt idx="1">
                  <c:v>46325.93568881523</c:v>
                </c:pt>
                <c:pt idx="2">
                  <c:v>46325.93568881523</c:v>
                </c:pt>
                <c:pt idx="3">
                  <c:v>46325.93568881523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46325.93568881523</c:v>
                </c:pt>
                <c:pt idx="5" formatCode="#,##0">
                  <c:v>46325.93568881523</c:v>
                </c:pt>
                <c:pt idx="6" formatCode="#,##0">
                  <c:v>46325.93568881523</c:v>
                </c:pt>
                <c:pt idx="7" formatCode="#,##0">
                  <c:v>46325.93568881523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79063.8556888152</c:v>
                </c:pt>
                <c:pt idx="1">
                  <c:v>79063.8556888152</c:v>
                </c:pt>
                <c:pt idx="2">
                  <c:v>79063.8556888152</c:v>
                </c:pt>
                <c:pt idx="3">
                  <c:v>79063.85568881523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79063.8556888152</c:v>
                </c:pt>
                <c:pt idx="5" formatCode="#,##0">
                  <c:v>79063.8556888152</c:v>
                </c:pt>
                <c:pt idx="6" formatCode="#,##0">
                  <c:v>79063.8556888152</c:v>
                </c:pt>
                <c:pt idx="7" formatCode="#,##0">
                  <c:v>79063.85568881523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334760"/>
        <c:axId val="-2120598184"/>
      </c:lineChart>
      <c:catAx>
        <c:axId val="-2120334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20598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0598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203347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ZACNI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3956.457536089572</c:v>
                </c:pt>
                <c:pt idx="1">
                  <c:v>4381.242391933897</c:v>
                </c:pt>
                <c:pt idx="2">
                  <c:v>6097.863728234184</c:v>
                </c:pt>
                <c:pt idx="3">
                  <c:v>6166.844189451946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1238.462844042475</c:v>
                </c:pt>
                <c:pt idx="2">
                  <c:v>5364.203299375361</c:v>
                </c:pt>
                <c:pt idx="3">
                  <c:v>7603.279597555821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279.818960936849</c:v>
                </c:pt>
                <c:pt idx="1">
                  <c:v>432.453546821816</c:v>
                </c:pt>
                <c:pt idx="2">
                  <c:v>745.1667650758195</c:v>
                </c:pt>
                <c:pt idx="3">
                  <c:v>1940.86242615123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740.7074426091356</c:v>
                </c:pt>
                <c:pt idx="2">
                  <c:v>5184.95209826395</c:v>
                </c:pt>
                <c:pt idx="3">
                  <c:v>14550.78620592169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146.6696698647767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2591.441432327124</c:v>
                </c:pt>
                <c:pt idx="2">
                  <c:v>1114.02399368414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45772.42792016633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549.6049224159786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635.5269857586383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3199.856152071466</c:v>
                </c:pt>
                <c:pt idx="3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1325.855509415914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510.7529794196042</c:v>
                </c:pt>
                <c:pt idx="3">
                  <c:v>991.2052584987073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8114.203131302213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2370.263816349234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0301144"/>
        <c:axId val="-2120302680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29831.10902214857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46325.93568881523</c:v>
                </c:pt>
                <c:pt idx="1">
                  <c:v>46325.93568881523</c:v>
                </c:pt>
                <c:pt idx="2">
                  <c:v>46325.93568881523</c:v>
                </c:pt>
                <c:pt idx="3">
                  <c:v>46325.93568881523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79063.8556888152</c:v>
                </c:pt>
                <c:pt idx="1">
                  <c:v>79063.8556888152</c:v>
                </c:pt>
                <c:pt idx="2">
                  <c:v>79063.8556888152</c:v>
                </c:pt>
                <c:pt idx="3">
                  <c:v>79063.85568881523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301144"/>
        <c:axId val="-2120302680"/>
      </c:lineChart>
      <c:catAx>
        <c:axId val="-2120301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20302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0302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203011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3956.457536089572</c:v>
                </c:pt>
                <c:pt idx="1">
                  <c:v>3956.457536089572</c:v>
                </c:pt>
                <c:pt idx="2">
                  <c:v>3956.457536089572</c:v>
                </c:pt>
                <c:pt idx="3">
                  <c:v>3956.457536089572</c:v>
                </c:pt>
                <c:pt idx="4">
                  <c:v>3956.457536089572</c:v>
                </c:pt>
                <c:pt idx="5">
                  <c:v>3956.457536089572</c:v>
                </c:pt>
                <c:pt idx="6">
                  <c:v>3956.457536089572</c:v>
                </c:pt>
                <c:pt idx="7">
                  <c:v>3956.457536089572</c:v>
                </c:pt>
                <c:pt idx="8">
                  <c:v>3956.457536089572</c:v>
                </c:pt>
                <c:pt idx="9">
                  <c:v>3956.457536089572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279.818960936849</c:v>
                </c:pt>
                <c:pt idx="1">
                  <c:v>279.818960936849</c:v>
                </c:pt>
                <c:pt idx="2">
                  <c:v>279.818960936849</c:v>
                </c:pt>
                <c:pt idx="3">
                  <c:v>279.818960936849</c:v>
                </c:pt>
                <c:pt idx="4">
                  <c:v>279.818960936849</c:v>
                </c:pt>
                <c:pt idx="5">
                  <c:v>279.818960936849</c:v>
                </c:pt>
                <c:pt idx="6">
                  <c:v>279.818960936849</c:v>
                </c:pt>
                <c:pt idx="7">
                  <c:v>279.818960936849</c:v>
                </c:pt>
                <c:pt idx="8">
                  <c:v>279.818960936849</c:v>
                </c:pt>
                <c:pt idx="9">
                  <c:v>279.818960936849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1491.587448092903</c:v>
                </c:pt>
                <c:pt idx="4">
                  <c:v>1491.587448092903</c:v>
                </c:pt>
                <c:pt idx="5">
                  <c:v>1491.587448092903</c:v>
                </c:pt>
                <c:pt idx="6">
                  <c:v>1491.587448092903</c:v>
                </c:pt>
                <c:pt idx="7">
                  <c:v>1491.587448092903</c:v>
                </c:pt>
                <c:pt idx="8">
                  <c:v>1491.587448092903</c:v>
                </c:pt>
                <c:pt idx="9">
                  <c:v>1491.587448092903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0477560"/>
        <c:axId val="-212048704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29831.10902214857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46325.93568881523</c:v>
                </c:pt>
                <c:pt idx="1">
                  <c:v>46325.93568881523</c:v>
                </c:pt>
                <c:pt idx="2">
                  <c:v>46325.93568881523</c:v>
                </c:pt>
                <c:pt idx="3">
                  <c:v>46325.93568881523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477560"/>
        <c:axId val="-2120487048"/>
      </c:lineChart>
      <c:catAx>
        <c:axId val="-212047756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0487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0487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0477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0.555043079894413</c:v>
                </c:pt>
                <c:pt idx="1">
                  <c:v>0.777060311852178</c:v>
                </c:pt>
                <c:pt idx="2">
                  <c:v>0.777060311852178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0.571374071803256</c:v>
                </c:pt>
                <c:pt idx="1">
                  <c:v>0.33179621788418</c:v>
                </c:pt>
                <c:pt idx="2">
                  <c:v>0.32394500186129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1.1340282035561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0.152871449008788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0.197220519108931</c:v>
                </c:pt>
                <c:pt idx="1">
                  <c:v>0.147063725436543</c:v>
                </c:pt>
                <c:pt idx="2">
                  <c:v>0.298040176464629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-0.674221404727842</c:v>
                </c:pt>
                <c:pt idx="2">
                  <c:v>-0.648316579331181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20606360"/>
        <c:axId val="-2120615960"/>
      </c:barChart>
      <c:catAx>
        <c:axId val="-2120606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20615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0615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206063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0.394134877938548</c:v>
                </c:pt>
                <c:pt idx="1">
                  <c:v>0.551788829113968</c:v>
                </c:pt>
                <c:pt idx="2">
                  <c:v>0.551788829113968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0.13859392323813</c:v>
                </c:pt>
                <c:pt idx="1">
                  <c:v>0.0993221385170218</c:v>
                </c:pt>
                <c:pt idx="2">
                  <c:v>0.187412735976849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0.217978115113343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0.805270948828839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0.13859392323813</c:v>
                </c:pt>
                <c:pt idx="1">
                  <c:v>0.0993221385170218</c:v>
                </c:pt>
                <c:pt idx="2">
                  <c:v>0.187412735976849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-0.478763145928269</c:v>
                </c:pt>
                <c:pt idx="2">
                  <c:v>-0.215377998686343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20767752"/>
        <c:axId val="-2120780712"/>
      </c:barChart>
      <c:catAx>
        <c:axId val="-2120767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20780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0780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207677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0.264546809620041</c:v>
                </c:pt>
                <c:pt idx="1">
                  <c:v>0.370365533468058</c:v>
                </c:pt>
                <c:pt idx="2">
                  <c:v>0.370365533468058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0.0997870155938903</c:v>
                </c:pt>
                <c:pt idx="1">
                  <c:v>0.0386524508025106</c:v>
                </c:pt>
                <c:pt idx="2">
                  <c:v>0.10668499940669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0.199321165102345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0.0997870155938903</c:v>
                </c:pt>
                <c:pt idx="1">
                  <c:v>0.0386524508025106</c:v>
                </c:pt>
                <c:pt idx="2">
                  <c:v>0.10668499940669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-0.321350050219929</c:v>
                </c:pt>
                <c:pt idx="2">
                  <c:v>-0.12816818604553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20870120"/>
        <c:axId val="-2120877688"/>
      </c:barChart>
      <c:catAx>
        <c:axId val="-2120870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20877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0877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208701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0.616672522689228</c:v>
                </c:pt>
                <c:pt idx="1">
                  <c:v>0.86334153176492</c:v>
                </c:pt>
                <c:pt idx="2">
                  <c:v>0.86334153176492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0.634816833181956</c:v>
                </c:pt>
                <c:pt idx="1">
                  <c:v>0.31665846823508</c:v>
                </c:pt>
                <c:pt idx="2">
                  <c:v>0.31665846823508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1.259945504087193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0.127157129881926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0.22092134949331</c:v>
                </c:pt>
                <c:pt idx="1">
                  <c:v>0.182498308291798</c:v>
                </c:pt>
                <c:pt idx="2">
                  <c:v>0.31665846823508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-0.749083863154708</c:v>
                </c:pt>
                <c:pt idx="2">
                  <c:v>-0.749083863154708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0203672"/>
        <c:axId val="-2140854024"/>
      </c:barChart>
      <c:catAx>
        <c:axId val="-2140203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0854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0854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02036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0.0130370485678705</c:v>
                </c:pt>
                <c:pt idx="1">
                  <c:v>0.0026074097135741</c:v>
                </c:pt>
                <c:pt idx="2" formatCode="0.0%">
                  <c:v>0.0026074097135741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0.0464367216687422</c:v>
                </c:pt>
                <c:pt idx="1">
                  <c:v>0.00928734433374844</c:v>
                </c:pt>
                <c:pt idx="2" formatCode="0.0%">
                  <c:v>0.00928734433374844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0.0425</c:v>
                </c:pt>
                <c:pt idx="1">
                  <c:v>0.0085</c:v>
                </c:pt>
                <c:pt idx="2" formatCode="0.0%">
                  <c:v>0.0085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0.133077868150685</c:v>
                </c:pt>
                <c:pt idx="1">
                  <c:v>0.0399233604452055</c:v>
                </c:pt>
                <c:pt idx="2" formatCode="0.0%">
                  <c:v>0.0621030051369863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0.107708753891656</c:v>
                </c:pt>
                <c:pt idx="1">
                  <c:v>0.0215417507783313</c:v>
                </c:pt>
                <c:pt idx="2" formatCode="0.0%">
                  <c:v>0.0135326383094645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0.00224851494396015</c:v>
                </c:pt>
                <c:pt idx="1">
                  <c:v>0.00044970298879203</c:v>
                </c:pt>
                <c:pt idx="2" formatCode="0.0%">
                  <c:v>0.000674554483188045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0.0612585616438356</c:v>
                </c:pt>
                <c:pt idx="1">
                  <c:v>0.0122517123287671</c:v>
                </c:pt>
                <c:pt idx="2" formatCode="0.0%">
                  <c:v>0.0141080323785803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0.0943398661270237</c:v>
                </c:pt>
                <c:pt idx="1">
                  <c:v>0.0188679732254047</c:v>
                </c:pt>
                <c:pt idx="2" formatCode="0.0%">
                  <c:v>0.0283019598381071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0.024561799501868</c:v>
                </c:pt>
                <c:pt idx="1">
                  <c:v>0.0049123599003736</c:v>
                </c:pt>
                <c:pt idx="2" formatCode="0.0%">
                  <c:v>0.00954693372549234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0.0209915940224159</c:v>
                </c:pt>
                <c:pt idx="1">
                  <c:v>0.00419831880448319</c:v>
                </c:pt>
                <c:pt idx="2" formatCode="0.0%">
                  <c:v>0.00419831880448319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0.0176948349937733</c:v>
                </c:pt>
                <c:pt idx="1">
                  <c:v>0.0176948349937733</c:v>
                </c:pt>
                <c:pt idx="2" formatCode="0.0%">
                  <c:v>0.0176948349937733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0.0230697384806974</c:v>
                </c:pt>
                <c:pt idx="1">
                  <c:v>0.0230697384806974</c:v>
                </c:pt>
                <c:pt idx="2" formatCode="0.0%">
                  <c:v>0.0230697384806974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0.211423949719801</c:v>
                </c:pt>
                <c:pt idx="1">
                  <c:v>0.211423949719801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0.564572773972603</c:v>
                </c:pt>
                <c:pt idx="1">
                  <c:v>0.245209820692782</c:v>
                </c:pt>
                <c:pt idx="2" formatCode="0.0%">
                  <c:v>0.462690836812289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9308248"/>
        <c:axId val="-2089402552"/>
      </c:barChart>
      <c:catAx>
        <c:axId val="-2089308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9402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9402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93082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3956.457536089572</c:v>
                </c:pt>
                <c:pt idx="1">
                  <c:v>3956.457536089572</c:v>
                </c:pt>
                <c:pt idx="2">
                  <c:v>3956.457536089572</c:v>
                </c:pt>
                <c:pt idx="3">
                  <c:v>3956.457536089572</c:v>
                </c:pt>
                <c:pt idx="4">
                  <c:v>3956.457536089572</c:v>
                </c:pt>
                <c:pt idx="5">
                  <c:v>3956.457536089572</c:v>
                </c:pt>
                <c:pt idx="6">
                  <c:v>3956.457536089572</c:v>
                </c:pt>
                <c:pt idx="7">
                  <c:v>3956.457536089572</c:v>
                </c:pt>
                <c:pt idx="8">
                  <c:v>3956.457536089572</c:v>
                </c:pt>
                <c:pt idx="9">
                  <c:v>3956.457536089572</c:v>
                </c:pt>
                <c:pt idx="10">
                  <c:v>3956.457536089572</c:v>
                </c:pt>
                <c:pt idx="11">
                  <c:v>3956.457536089572</c:v>
                </c:pt>
                <c:pt idx="12">
                  <c:v>3956.457536089572</c:v>
                </c:pt>
                <c:pt idx="13">
                  <c:v>3956.457536089572</c:v>
                </c:pt>
                <c:pt idx="14">
                  <c:v>3956.457536089572</c:v>
                </c:pt>
                <c:pt idx="15">
                  <c:v>3956.457536089572</c:v>
                </c:pt>
                <c:pt idx="16">
                  <c:v>3956.457536089572</c:v>
                </c:pt>
                <c:pt idx="17">
                  <c:v>3956.457536089572</c:v>
                </c:pt>
                <c:pt idx="18">
                  <c:v>3956.457536089572</c:v>
                </c:pt>
                <c:pt idx="19">
                  <c:v>3956.457536089572</c:v>
                </c:pt>
                <c:pt idx="20">
                  <c:v>3956.457536089572</c:v>
                </c:pt>
                <c:pt idx="21">
                  <c:v>3956.457536089572</c:v>
                </c:pt>
                <c:pt idx="22">
                  <c:v>3956.457536089572</c:v>
                </c:pt>
                <c:pt idx="23">
                  <c:v>3956.457536089572</c:v>
                </c:pt>
                <c:pt idx="24">
                  <c:v>3956.457536089572</c:v>
                </c:pt>
                <c:pt idx="25">
                  <c:v>3956.457536089572</c:v>
                </c:pt>
                <c:pt idx="26">
                  <c:v>3956.457536089572</c:v>
                </c:pt>
                <c:pt idx="27">
                  <c:v>3956.457536089572</c:v>
                </c:pt>
                <c:pt idx="28">
                  <c:v>3956.457536089572</c:v>
                </c:pt>
                <c:pt idx="29">
                  <c:v>3956.457536089572</c:v>
                </c:pt>
                <c:pt idx="30">
                  <c:v>3956.457536089572</c:v>
                </c:pt>
                <c:pt idx="31">
                  <c:v>3956.457536089572</c:v>
                </c:pt>
                <c:pt idx="32">
                  <c:v>3956.457536089572</c:v>
                </c:pt>
                <c:pt idx="33">
                  <c:v>3956.457536089572</c:v>
                </c:pt>
                <c:pt idx="34">
                  <c:v>3956.457536089572</c:v>
                </c:pt>
                <c:pt idx="35">
                  <c:v>3956.457536089572</c:v>
                </c:pt>
                <c:pt idx="36">
                  <c:v>3956.457536089572</c:v>
                </c:pt>
                <c:pt idx="37">
                  <c:v>3956.457536089572</c:v>
                </c:pt>
                <c:pt idx="38">
                  <c:v>3956.457536089572</c:v>
                </c:pt>
                <c:pt idx="39">
                  <c:v>3956.457536089572</c:v>
                </c:pt>
                <c:pt idx="40">
                  <c:v>3956.457536089572</c:v>
                </c:pt>
                <c:pt idx="41">
                  <c:v>3956.457536089572</c:v>
                </c:pt>
                <c:pt idx="42">
                  <c:v>3956.457536089572</c:v>
                </c:pt>
                <c:pt idx="43">
                  <c:v>3956.457536089572</c:v>
                </c:pt>
                <c:pt idx="44">
                  <c:v>3956.457536089572</c:v>
                </c:pt>
                <c:pt idx="45">
                  <c:v>3956.457536089572</c:v>
                </c:pt>
                <c:pt idx="46">
                  <c:v>3956.457536089572</c:v>
                </c:pt>
                <c:pt idx="47">
                  <c:v>3956.457536089572</c:v>
                </c:pt>
                <c:pt idx="48">
                  <c:v>3956.457536089572</c:v>
                </c:pt>
                <c:pt idx="49">
                  <c:v>3956.457536089572</c:v>
                </c:pt>
                <c:pt idx="50">
                  <c:v>4381.242391933897</c:v>
                </c:pt>
                <c:pt idx="51">
                  <c:v>4381.242391933897</c:v>
                </c:pt>
                <c:pt idx="52">
                  <c:v>4381.242391933897</c:v>
                </c:pt>
                <c:pt idx="53">
                  <c:v>4381.242391933897</c:v>
                </c:pt>
                <c:pt idx="54">
                  <c:v>4381.242391933897</c:v>
                </c:pt>
                <c:pt idx="55">
                  <c:v>4381.242391933897</c:v>
                </c:pt>
                <c:pt idx="56">
                  <c:v>4381.242391933897</c:v>
                </c:pt>
                <c:pt idx="57">
                  <c:v>4381.242391933897</c:v>
                </c:pt>
                <c:pt idx="58">
                  <c:v>4381.242391933897</c:v>
                </c:pt>
                <c:pt idx="59">
                  <c:v>4381.242391933897</c:v>
                </c:pt>
                <c:pt idx="60">
                  <c:v>4381.242391933897</c:v>
                </c:pt>
                <c:pt idx="61">
                  <c:v>4381.242391933897</c:v>
                </c:pt>
                <c:pt idx="62">
                  <c:v>4381.242391933897</c:v>
                </c:pt>
                <c:pt idx="63">
                  <c:v>4381.242391933897</c:v>
                </c:pt>
                <c:pt idx="64">
                  <c:v>4381.242391933897</c:v>
                </c:pt>
                <c:pt idx="65">
                  <c:v>4381.242391933897</c:v>
                </c:pt>
                <c:pt idx="66">
                  <c:v>4381.242391933897</c:v>
                </c:pt>
                <c:pt idx="67">
                  <c:v>4381.242391933897</c:v>
                </c:pt>
                <c:pt idx="68">
                  <c:v>4381.242391933897</c:v>
                </c:pt>
                <c:pt idx="69">
                  <c:v>4381.242391933897</c:v>
                </c:pt>
                <c:pt idx="70">
                  <c:v>4381.242391933897</c:v>
                </c:pt>
                <c:pt idx="71">
                  <c:v>4381.242391933897</c:v>
                </c:pt>
                <c:pt idx="72">
                  <c:v>4381.242391933897</c:v>
                </c:pt>
                <c:pt idx="73">
                  <c:v>4381.242391933897</c:v>
                </c:pt>
                <c:pt idx="74">
                  <c:v>4381.242391933897</c:v>
                </c:pt>
                <c:pt idx="75">
                  <c:v>4381.242391933897</c:v>
                </c:pt>
                <c:pt idx="76">
                  <c:v>4381.242391933897</c:v>
                </c:pt>
                <c:pt idx="77">
                  <c:v>4381.242391933897</c:v>
                </c:pt>
                <c:pt idx="78">
                  <c:v>4381.242391933897</c:v>
                </c:pt>
                <c:pt idx="79">
                  <c:v>4381.242391933897</c:v>
                </c:pt>
                <c:pt idx="80">
                  <c:v>6097.863728234184</c:v>
                </c:pt>
                <c:pt idx="81">
                  <c:v>6097.863728234184</c:v>
                </c:pt>
                <c:pt idx="82">
                  <c:v>6097.863728234184</c:v>
                </c:pt>
                <c:pt idx="83">
                  <c:v>6097.863728234184</c:v>
                </c:pt>
                <c:pt idx="84">
                  <c:v>6097.863728234184</c:v>
                </c:pt>
                <c:pt idx="85">
                  <c:v>6097.863728234184</c:v>
                </c:pt>
                <c:pt idx="86">
                  <c:v>6097.863728234184</c:v>
                </c:pt>
                <c:pt idx="87">
                  <c:v>6097.863728234184</c:v>
                </c:pt>
                <c:pt idx="88">
                  <c:v>6097.863728234184</c:v>
                </c:pt>
                <c:pt idx="89">
                  <c:v>6097.863728234184</c:v>
                </c:pt>
                <c:pt idx="90">
                  <c:v>6097.863728234184</c:v>
                </c:pt>
                <c:pt idx="91">
                  <c:v>6097.863728234184</c:v>
                </c:pt>
                <c:pt idx="92">
                  <c:v>6097.863728234184</c:v>
                </c:pt>
                <c:pt idx="93">
                  <c:v>6097.863728234184</c:v>
                </c:pt>
                <c:pt idx="94">
                  <c:v>6097.863728234184</c:v>
                </c:pt>
                <c:pt idx="95">
                  <c:v>6166.844189451946</c:v>
                </c:pt>
                <c:pt idx="96">
                  <c:v>6166.844189451946</c:v>
                </c:pt>
                <c:pt idx="97">
                  <c:v>6166.844189451946</c:v>
                </c:pt>
                <c:pt idx="98">
                  <c:v>6166.844189451946</c:v>
                </c:pt>
                <c:pt idx="99">
                  <c:v>6166.844189451946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1238.462844042475</c:v>
                </c:pt>
                <c:pt idx="51">
                  <c:v>1238.462844042475</c:v>
                </c:pt>
                <c:pt idx="52">
                  <c:v>1238.462844042475</c:v>
                </c:pt>
                <c:pt idx="53">
                  <c:v>1238.462844042475</c:v>
                </c:pt>
                <c:pt idx="54">
                  <c:v>1238.462844042475</c:v>
                </c:pt>
                <c:pt idx="55">
                  <c:v>1238.462844042475</c:v>
                </c:pt>
                <c:pt idx="56">
                  <c:v>1238.462844042475</c:v>
                </c:pt>
                <c:pt idx="57">
                  <c:v>1238.462844042475</c:v>
                </c:pt>
                <c:pt idx="58">
                  <c:v>1238.462844042475</c:v>
                </c:pt>
                <c:pt idx="59">
                  <c:v>1238.462844042475</c:v>
                </c:pt>
                <c:pt idx="60">
                  <c:v>1238.462844042475</c:v>
                </c:pt>
                <c:pt idx="61">
                  <c:v>1238.462844042475</c:v>
                </c:pt>
                <c:pt idx="62">
                  <c:v>1238.462844042475</c:v>
                </c:pt>
                <c:pt idx="63">
                  <c:v>1238.462844042475</c:v>
                </c:pt>
                <c:pt idx="64">
                  <c:v>1238.462844042475</c:v>
                </c:pt>
                <c:pt idx="65">
                  <c:v>1238.462844042475</c:v>
                </c:pt>
                <c:pt idx="66">
                  <c:v>1238.462844042475</c:v>
                </c:pt>
                <c:pt idx="67">
                  <c:v>1238.462844042475</c:v>
                </c:pt>
                <c:pt idx="68">
                  <c:v>1238.462844042475</c:v>
                </c:pt>
                <c:pt idx="69">
                  <c:v>1238.462844042475</c:v>
                </c:pt>
                <c:pt idx="70">
                  <c:v>1238.462844042475</c:v>
                </c:pt>
                <c:pt idx="71">
                  <c:v>1238.462844042475</c:v>
                </c:pt>
                <c:pt idx="72">
                  <c:v>1238.462844042475</c:v>
                </c:pt>
                <c:pt idx="73">
                  <c:v>1238.462844042475</c:v>
                </c:pt>
                <c:pt idx="74">
                  <c:v>1238.462844042475</c:v>
                </c:pt>
                <c:pt idx="75">
                  <c:v>1238.462844042475</c:v>
                </c:pt>
                <c:pt idx="76">
                  <c:v>1238.462844042475</c:v>
                </c:pt>
                <c:pt idx="77">
                  <c:v>1238.462844042475</c:v>
                </c:pt>
                <c:pt idx="78">
                  <c:v>1238.462844042475</c:v>
                </c:pt>
                <c:pt idx="79">
                  <c:v>1238.462844042475</c:v>
                </c:pt>
                <c:pt idx="80">
                  <c:v>5364.203299375361</c:v>
                </c:pt>
                <c:pt idx="81">
                  <c:v>5364.203299375361</c:v>
                </c:pt>
                <c:pt idx="82">
                  <c:v>5364.203299375361</c:v>
                </c:pt>
                <c:pt idx="83">
                  <c:v>5364.203299375361</c:v>
                </c:pt>
                <c:pt idx="84">
                  <c:v>5364.203299375361</c:v>
                </c:pt>
                <c:pt idx="85">
                  <c:v>5364.203299375361</c:v>
                </c:pt>
                <c:pt idx="86">
                  <c:v>5364.203299375361</c:v>
                </c:pt>
                <c:pt idx="87">
                  <c:v>5364.203299375361</c:v>
                </c:pt>
                <c:pt idx="88">
                  <c:v>5364.203299375361</c:v>
                </c:pt>
                <c:pt idx="89">
                  <c:v>5364.203299375361</c:v>
                </c:pt>
                <c:pt idx="90">
                  <c:v>5364.203299375361</c:v>
                </c:pt>
                <c:pt idx="91">
                  <c:v>5364.203299375361</c:v>
                </c:pt>
                <c:pt idx="92">
                  <c:v>5364.203299375361</c:v>
                </c:pt>
                <c:pt idx="93">
                  <c:v>5364.203299375361</c:v>
                </c:pt>
                <c:pt idx="94">
                  <c:v>5364.203299375361</c:v>
                </c:pt>
                <c:pt idx="95">
                  <c:v>7603.279597555821</c:v>
                </c:pt>
                <c:pt idx="96">
                  <c:v>7603.279597555821</c:v>
                </c:pt>
                <c:pt idx="97">
                  <c:v>7603.279597555821</c:v>
                </c:pt>
                <c:pt idx="98">
                  <c:v>7603.279597555821</c:v>
                </c:pt>
                <c:pt idx="99">
                  <c:v>7603.279597555821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279.818960936849</c:v>
                </c:pt>
                <c:pt idx="1">
                  <c:v>279.818960936849</c:v>
                </c:pt>
                <c:pt idx="2">
                  <c:v>279.818960936849</c:v>
                </c:pt>
                <c:pt idx="3">
                  <c:v>279.818960936849</c:v>
                </c:pt>
                <c:pt idx="4">
                  <c:v>279.818960936849</c:v>
                </c:pt>
                <c:pt idx="5">
                  <c:v>279.818960936849</c:v>
                </c:pt>
                <c:pt idx="6">
                  <c:v>279.818960936849</c:v>
                </c:pt>
                <c:pt idx="7">
                  <c:v>279.818960936849</c:v>
                </c:pt>
                <c:pt idx="8">
                  <c:v>279.818960936849</c:v>
                </c:pt>
                <c:pt idx="9">
                  <c:v>279.818960936849</c:v>
                </c:pt>
                <c:pt idx="10">
                  <c:v>279.818960936849</c:v>
                </c:pt>
                <c:pt idx="11">
                  <c:v>279.818960936849</c:v>
                </c:pt>
                <c:pt idx="12">
                  <c:v>279.818960936849</c:v>
                </c:pt>
                <c:pt idx="13">
                  <c:v>279.818960936849</c:v>
                </c:pt>
                <c:pt idx="14">
                  <c:v>279.818960936849</c:v>
                </c:pt>
                <c:pt idx="15">
                  <c:v>279.818960936849</c:v>
                </c:pt>
                <c:pt idx="16">
                  <c:v>279.818960936849</c:v>
                </c:pt>
                <c:pt idx="17">
                  <c:v>279.818960936849</c:v>
                </c:pt>
                <c:pt idx="18">
                  <c:v>279.818960936849</c:v>
                </c:pt>
                <c:pt idx="19">
                  <c:v>279.818960936849</c:v>
                </c:pt>
                <c:pt idx="20">
                  <c:v>279.818960936849</c:v>
                </c:pt>
                <c:pt idx="21">
                  <c:v>279.818960936849</c:v>
                </c:pt>
                <c:pt idx="22">
                  <c:v>279.818960936849</c:v>
                </c:pt>
                <c:pt idx="23">
                  <c:v>279.818960936849</c:v>
                </c:pt>
                <c:pt idx="24">
                  <c:v>279.818960936849</c:v>
                </c:pt>
                <c:pt idx="25">
                  <c:v>279.818960936849</c:v>
                </c:pt>
                <c:pt idx="26">
                  <c:v>279.818960936849</c:v>
                </c:pt>
                <c:pt idx="27">
                  <c:v>279.818960936849</c:v>
                </c:pt>
                <c:pt idx="28">
                  <c:v>279.818960936849</c:v>
                </c:pt>
                <c:pt idx="29">
                  <c:v>279.818960936849</c:v>
                </c:pt>
                <c:pt idx="30">
                  <c:v>279.818960936849</c:v>
                </c:pt>
                <c:pt idx="31">
                  <c:v>279.818960936849</c:v>
                </c:pt>
                <c:pt idx="32">
                  <c:v>279.818960936849</c:v>
                </c:pt>
                <c:pt idx="33">
                  <c:v>279.818960936849</c:v>
                </c:pt>
                <c:pt idx="34">
                  <c:v>279.818960936849</c:v>
                </c:pt>
                <c:pt idx="35">
                  <c:v>279.818960936849</c:v>
                </c:pt>
                <c:pt idx="36">
                  <c:v>279.818960936849</c:v>
                </c:pt>
                <c:pt idx="37">
                  <c:v>279.818960936849</c:v>
                </c:pt>
                <c:pt idx="38">
                  <c:v>279.818960936849</c:v>
                </c:pt>
                <c:pt idx="39">
                  <c:v>279.818960936849</c:v>
                </c:pt>
                <c:pt idx="40">
                  <c:v>279.818960936849</c:v>
                </c:pt>
                <c:pt idx="41">
                  <c:v>279.818960936849</c:v>
                </c:pt>
                <c:pt idx="42">
                  <c:v>279.818960936849</c:v>
                </c:pt>
                <c:pt idx="43">
                  <c:v>279.818960936849</c:v>
                </c:pt>
                <c:pt idx="44">
                  <c:v>279.818960936849</c:v>
                </c:pt>
                <c:pt idx="45">
                  <c:v>279.818960936849</c:v>
                </c:pt>
                <c:pt idx="46">
                  <c:v>279.818960936849</c:v>
                </c:pt>
                <c:pt idx="47">
                  <c:v>279.818960936849</c:v>
                </c:pt>
                <c:pt idx="48">
                  <c:v>279.818960936849</c:v>
                </c:pt>
                <c:pt idx="49">
                  <c:v>279.818960936849</c:v>
                </c:pt>
                <c:pt idx="50">
                  <c:v>432.453546821816</c:v>
                </c:pt>
                <c:pt idx="51">
                  <c:v>432.453546821816</c:v>
                </c:pt>
                <c:pt idx="52">
                  <c:v>432.453546821816</c:v>
                </c:pt>
                <c:pt idx="53">
                  <c:v>432.453546821816</c:v>
                </c:pt>
                <c:pt idx="54">
                  <c:v>432.453546821816</c:v>
                </c:pt>
                <c:pt idx="55">
                  <c:v>432.453546821816</c:v>
                </c:pt>
                <c:pt idx="56">
                  <c:v>432.453546821816</c:v>
                </c:pt>
                <c:pt idx="57">
                  <c:v>432.453546821816</c:v>
                </c:pt>
                <c:pt idx="58">
                  <c:v>432.453546821816</c:v>
                </c:pt>
                <c:pt idx="59">
                  <c:v>432.453546821816</c:v>
                </c:pt>
                <c:pt idx="60">
                  <c:v>432.453546821816</c:v>
                </c:pt>
                <c:pt idx="61">
                  <c:v>432.453546821816</c:v>
                </c:pt>
                <c:pt idx="62">
                  <c:v>432.453546821816</c:v>
                </c:pt>
                <c:pt idx="63">
                  <c:v>432.453546821816</c:v>
                </c:pt>
                <c:pt idx="64">
                  <c:v>432.453546821816</c:v>
                </c:pt>
                <c:pt idx="65">
                  <c:v>432.453546821816</c:v>
                </c:pt>
                <c:pt idx="66">
                  <c:v>432.453546821816</c:v>
                </c:pt>
                <c:pt idx="67">
                  <c:v>432.453546821816</c:v>
                </c:pt>
                <c:pt idx="68">
                  <c:v>432.453546821816</c:v>
                </c:pt>
                <c:pt idx="69">
                  <c:v>432.453546821816</c:v>
                </c:pt>
                <c:pt idx="70">
                  <c:v>432.453546821816</c:v>
                </c:pt>
                <c:pt idx="71">
                  <c:v>432.453546821816</c:v>
                </c:pt>
                <c:pt idx="72">
                  <c:v>432.453546821816</c:v>
                </c:pt>
                <c:pt idx="73">
                  <c:v>432.453546821816</c:v>
                </c:pt>
                <c:pt idx="74">
                  <c:v>432.453546821816</c:v>
                </c:pt>
                <c:pt idx="75">
                  <c:v>432.453546821816</c:v>
                </c:pt>
                <c:pt idx="76">
                  <c:v>432.453546821816</c:v>
                </c:pt>
                <c:pt idx="77">
                  <c:v>432.453546821816</c:v>
                </c:pt>
                <c:pt idx="78">
                  <c:v>432.453546821816</c:v>
                </c:pt>
                <c:pt idx="79">
                  <c:v>432.453546821816</c:v>
                </c:pt>
                <c:pt idx="80">
                  <c:v>745.1667650758195</c:v>
                </c:pt>
                <c:pt idx="81">
                  <c:v>745.1667650758195</c:v>
                </c:pt>
                <c:pt idx="82">
                  <c:v>745.1667650758195</c:v>
                </c:pt>
                <c:pt idx="83">
                  <c:v>745.1667650758195</c:v>
                </c:pt>
                <c:pt idx="84">
                  <c:v>745.1667650758195</c:v>
                </c:pt>
                <c:pt idx="85">
                  <c:v>745.1667650758195</c:v>
                </c:pt>
                <c:pt idx="86">
                  <c:v>745.1667650758195</c:v>
                </c:pt>
                <c:pt idx="87">
                  <c:v>745.1667650758195</c:v>
                </c:pt>
                <c:pt idx="88">
                  <c:v>745.1667650758195</c:v>
                </c:pt>
                <c:pt idx="89">
                  <c:v>745.1667650758195</c:v>
                </c:pt>
                <c:pt idx="90">
                  <c:v>745.1667650758195</c:v>
                </c:pt>
                <c:pt idx="91">
                  <c:v>745.1667650758195</c:v>
                </c:pt>
                <c:pt idx="92">
                  <c:v>745.1667650758195</c:v>
                </c:pt>
                <c:pt idx="93">
                  <c:v>745.1667650758195</c:v>
                </c:pt>
                <c:pt idx="94">
                  <c:v>745.1667650758195</c:v>
                </c:pt>
                <c:pt idx="95">
                  <c:v>1940.86242615123</c:v>
                </c:pt>
                <c:pt idx="96">
                  <c:v>1940.86242615123</c:v>
                </c:pt>
                <c:pt idx="97">
                  <c:v>1940.86242615123</c:v>
                </c:pt>
                <c:pt idx="98">
                  <c:v>1940.86242615123</c:v>
                </c:pt>
                <c:pt idx="99">
                  <c:v>1940.86242615123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740.7074426091356</c:v>
                </c:pt>
                <c:pt idx="51">
                  <c:v>740.7074426091356</c:v>
                </c:pt>
                <c:pt idx="52">
                  <c:v>740.7074426091356</c:v>
                </c:pt>
                <c:pt idx="53">
                  <c:v>740.7074426091356</c:v>
                </c:pt>
                <c:pt idx="54">
                  <c:v>740.7074426091356</c:v>
                </c:pt>
                <c:pt idx="55">
                  <c:v>740.7074426091356</c:v>
                </c:pt>
                <c:pt idx="56">
                  <c:v>740.7074426091356</c:v>
                </c:pt>
                <c:pt idx="57">
                  <c:v>740.7074426091356</c:v>
                </c:pt>
                <c:pt idx="58">
                  <c:v>740.7074426091356</c:v>
                </c:pt>
                <c:pt idx="59">
                  <c:v>740.7074426091356</c:v>
                </c:pt>
                <c:pt idx="60">
                  <c:v>740.7074426091356</c:v>
                </c:pt>
                <c:pt idx="61">
                  <c:v>740.7074426091356</c:v>
                </c:pt>
                <c:pt idx="62">
                  <c:v>740.7074426091356</c:v>
                </c:pt>
                <c:pt idx="63">
                  <c:v>740.7074426091356</c:v>
                </c:pt>
                <c:pt idx="64">
                  <c:v>740.7074426091356</c:v>
                </c:pt>
                <c:pt idx="65">
                  <c:v>740.7074426091356</c:v>
                </c:pt>
                <c:pt idx="66">
                  <c:v>740.7074426091356</c:v>
                </c:pt>
                <c:pt idx="67">
                  <c:v>740.7074426091356</c:v>
                </c:pt>
                <c:pt idx="68">
                  <c:v>740.7074426091356</c:v>
                </c:pt>
                <c:pt idx="69">
                  <c:v>740.7074426091356</c:v>
                </c:pt>
                <c:pt idx="70">
                  <c:v>740.7074426091356</c:v>
                </c:pt>
                <c:pt idx="71">
                  <c:v>740.7074426091356</c:v>
                </c:pt>
                <c:pt idx="72">
                  <c:v>740.7074426091356</c:v>
                </c:pt>
                <c:pt idx="73">
                  <c:v>740.7074426091356</c:v>
                </c:pt>
                <c:pt idx="74">
                  <c:v>740.7074426091356</c:v>
                </c:pt>
                <c:pt idx="75">
                  <c:v>740.7074426091356</c:v>
                </c:pt>
                <c:pt idx="76">
                  <c:v>740.7074426091356</c:v>
                </c:pt>
                <c:pt idx="77">
                  <c:v>740.7074426091356</c:v>
                </c:pt>
                <c:pt idx="78">
                  <c:v>740.7074426091356</c:v>
                </c:pt>
                <c:pt idx="79">
                  <c:v>740.7074426091356</c:v>
                </c:pt>
                <c:pt idx="80">
                  <c:v>5184.95209826395</c:v>
                </c:pt>
                <c:pt idx="81">
                  <c:v>5184.95209826395</c:v>
                </c:pt>
                <c:pt idx="82">
                  <c:v>5184.95209826395</c:v>
                </c:pt>
                <c:pt idx="83">
                  <c:v>5184.95209826395</c:v>
                </c:pt>
                <c:pt idx="84">
                  <c:v>5184.95209826395</c:v>
                </c:pt>
                <c:pt idx="85">
                  <c:v>5184.95209826395</c:v>
                </c:pt>
                <c:pt idx="86">
                  <c:v>5184.95209826395</c:v>
                </c:pt>
                <c:pt idx="87">
                  <c:v>5184.95209826395</c:v>
                </c:pt>
                <c:pt idx="88">
                  <c:v>5184.95209826395</c:v>
                </c:pt>
                <c:pt idx="89">
                  <c:v>5184.95209826395</c:v>
                </c:pt>
                <c:pt idx="90">
                  <c:v>5184.95209826395</c:v>
                </c:pt>
                <c:pt idx="91">
                  <c:v>5184.95209826395</c:v>
                </c:pt>
                <c:pt idx="92">
                  <c:v>5184.95209826395</c:v>
                </c:pt>
                <c:pt idx="93">
                  <c:v>5184.95209826395</c:v>
                </c:pt>
                <c:pt idx="94">
                  <c:v>5184.95209826395</c:v>
                </c:pt>
                <c:pt idx="95">
                  <c:v>14550.78620592169</c:v>
                </c:pt>
                <c:pt idx="96">
                  <c:v>14550.78620592169</c:v>
                </c:pt>
                <c:pt idx="97">
                  <c:v>14550.78620592169</c:v>
                </c:pt>
                <c:pt idx="98">
                  <c:v>14550.78620592169</c:v>
                </c:pt>
                <c:pt idx="99">
                  <c:v>14550.78620592169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146.6696698647767</c:v>
                </c:pt>
                <c:pt idx="96">
                  <c:v>146.6696698647767</c:v>
                </c:pt>
                <c:pt idx="97">
                  <c:v>146.6696698647767</c:v>
                </c:pt>
                <c:pt idx="98">
                  <c:v>146.6696698647767</c:v>
                </c:pt>
                <c:pt idx="99">
                  <c:v>146.6696698647767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2591.441432327124</c:v>
                </c:pt>
                <c:pt idx="51">
                  <c:v>2591.441432327124</c:v>
                </c:pt>
                <c:pt idx="52">
                  <c:v>2591.441432327124</c:v>
                </c:pt>
                <c:pt idx="53">
                  <c:v>2591.441432327124</c:v>
                </c:pt>
                <c:pt idx="54">
                  <c:v>2591.441432327124</c:v>
                </c:pt>
                <c:pt idx="55">
                  <c:v>2591.441432327124</c:v>
                </c:pt>
                <c:pt idx="56">
                  <c:v>2591.441432327124</c:v>
                </c:pt>
                <c:pt idx="57">
                  <c:v>2591.441432327124</c:v>
                </c:pt>
                <c:pt idx="58">
                  <c:v>2591.441432327124</c:v>
                </c:pt>
                <c:pt idx="59">
                  <c:v>2591.441432327124</c:v>
                </c:pt>
                <c:pt idx="60">
                  <c:v>2591.441432327124</c:v>
                </c:pt>
                <c:pt idx="61">
                  <c:v>2591.441432327124</c:v>
                </c:pt>
                <c:pt idx="62">
                  <c:v>2591.441432327124</c:v>
                </c:pt>
                <c:pt idx="63">
                  <c:v>2591.441432327124</c:v>
                </c:pt>
                <c:pt idx="64">
                  <c:v>2591.441432327124</c:v>
                </c:pt>
                <c:pt idx="65">
                  <c:v>2591.441432327124</c:v>
                </c:pt>
                <c:pt idx="66">
                  <c:v>2591.441432327124</c:v>
                </c:pt>
                <c:pt idx="67">
                  <c:v>2591.441432327124</c:v>
                </c:pt>
                <c:pt idx="68">
                  <c:v>2591.441432327124</c:v>
                </c:pt>
                <c:pt idx="69">
                  <c:v>2591.441432327124</c:v>
                </c:pt>
                <c:pt idx="70">
                  <c:v>2591.441432327124</c:v>
                </c:pt>
                <c:pt idx="71">
                  <c:v>2591.441432327124</c:v>
                </c:pt>
                <c:pt idx="72">
                  <c:v>2591.441432327124</c:v>
                </c:pt>
                <c:pt idx="73">
                  <c:v>2591.441432327124</c:v>
                </c:pt>
                <c:pt idx="74">
                  <c:v>2591.441432327124</c:v>
                </c:pt>
                <c:pt idx="75">
                  <c:v>2591.441432327124</c:v>
                </c:pt>
                <c:pt idx="76">
                  <c:v>2591.441432327124</c:v>
                </c:pt>
                <c:pt idx="77">
                  <c:v>2591.441432327124</c:v>
                </c:pt>
                <c:pt idx="78">
                  <c:v>2591.441432327124</c:v>
                </c:pt>
                <c:pt idx="79">
                  <c:v>2591.441432327124</c:v>
                </c:pt>
                <c:pt idx="80">
                  <c:v>1114.02399368414</c:v>
                </c:pt>
                <c:pt idx="81">
                  <c:v>1114.02399368414</c:v>
                </c:pt>
                <c:pt idx="82">
                  <c:v>1114.02399368414</c:v>
                </c:pt>
                <c:pt idx="83">
                  <c:v>1114.02399368414</c:v>
                </c:pt>
                <c:pt idx="84">
                  <c:v>1114.02399368414</c:v>
                </c:pt>
                <c:pt idx="85">
                  <c:v>1114.02399368414</c:v>
                </c:pt>
                <c:pt idx="86">
                  <c:v>1114.02399368414</c:v>
                </c:pt>
                <c:pt idx="87">
                  <c:v>1114.02399368414</c:v>
                </c:pt>
                <c:pt idx="88">
                  <c:v>1114.02399368414</c:v>
                </c:pt>
                <c:pt idx="89">
                  <c:v>1114.02399368414</c:v>
                </c:pt>
                <c:pt idx="90">
                  <c:v>1114.02399368414</c:v>
                </c:pt>
                <c:pt idx="91">
                  <c:v>1114.02399368414</c:v>
                </c:pt>
                <c:pt idx="92">
                  <c:v>1114.02399368414</c:v>
                </c:pt>
                <c:pt idx="93">
                  <c:v>1114.02399368414</c:v>
                </c:pt>
                <c:pt idx="94">
                  <c:v>1114.02399368414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45772.42792016633</c:v>
                </c:pt>
                <c:pt idx="96">
                  <c:v>45772.42792016633</c:v>
                </c:pt>
                <c:pt idx="97">
                  <c:v>45772.42792016633</c:v>
                </c:pt>
                <c:pt idx="98">
                  <c:v>45772.42792016633</c:v>
                </c:pt>
                <c:pt idx="99">
                  <c:v>45772.42792016633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635.5269857586383</c:v>
                </c:pt>
                <c:pt idx="81">
                  <c:v>635.5269857586383</c:v>
                </c:pt>
                <c:pt idx="82">
                  <c:v>635.5269857586383</c:v>
                </c:pt>
                <c:pt idx="83">
                  <c:v>635.5269857586383</c:v>
                </c:pt>
                <c:pt idx="84">
                  <c:v>635.5269857586383</c:v>
                </c:pt>
                <c:pt idx="85">
                  <c:v>635.5269857586383</c:v>
                </c:pt>
                <c:pt idx="86">
                  <c:v>635.5269857586383</c:v>
                </c:pt>
                <c:pt idx="87">
                  <c:v>635.5269857586383</c:v>
                </c:pt>
                <c:pt idx="88">
                  <c:v>635.5269857586383</c:v>
                </c:pt>
                <c:pt idx="89">
                  <c:v>635.5269857586383</c:v>
                </c:pt>
                <c:pt idx="90">
                  <c:v>635.5269857586383</c:v>
                </c:pt>
                <c:pt idx="91">
                  <c:v>635.5269857586383</c:v>
                </c:pt>
                <c:pt idx="92">
                  <c:v>635.5269857586383</c:v>
                </c:pt>
                <c:pt idx="93">
                  <c:v>635.5269857586383</c:v>
                </c:pt>
                <c:pt idx="94">
                  <c:v>635.5269857586383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3199.856152071466</c:v>
                </c:pt>
                <c:pt idx="81">
                  <c:v>3199.856152071466</c:v>
                </c:pt>
                <c:pt idx="82">
                  <c:v>3199.856152071466</c:v>
                </c:pt>
                <c:pt idx="83">
                  <c:v>3199.856152071466</c:v>
                </c:pt>
                <c:pt idx="84">
                  <c:v>3199.856152071466</c:v>
                </c:pt>
                <c:pt idx="85">
                  <c:v>3199.856152071466</c:v>
                </c:pt>
                <c:pt idx="86">
                  <c:v>3199.856152071466</c:v>
                </c:pt>
                <c:pt idx="87">
                  <c:v>3199.856152071466</c:v>
                </c:pt>
                <c:pt idx="88">
                  <c:v>3199.856152071466</c:v>
                </c:pt>
                <c:pt idx="89">
                  <c:v>3199.856152071466</c:v>
                </c:pt>
                <c:pt idx="90">
                  <c:v>3199.856152071466</c:v>
                </c:pt>
                <c:pt idx="91">
                  <c:v>3199.856152071466</c:v>
                </c:pt>
                <c:pt idx="92">
                  <c:v>3199.856152071466</c:v>
                </c:pt>
                <c:pt idx="93">
                  <c:v>3199.856152071466</c:v>
                </c:pt>
                <c:pt idx="94">
                  <c:v>3199.856152071466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1491.587448092903</c:v>
                </c:pt>
                <c:pt idx="4">
                  <c:v>1491.587448092903</c:v>
                </c:pt>
                <c:pt idx="5">
                  <c:v>1491.587448092903</c:v>
                </c:pt>
                <c:pt idx="6">
                  <c:v>1491.587448092903</c:v>
                </c:pt>
                <c:pt idx="7">
                  <c:v>1491.587448092903</c:v>
                </c:pt>
                <c:pt idx="8">
                  <c:v>1491.587448092903</c:v>
                </c:pt>
                <c:pt idx="9">
                  <c:v>1491.587448092903</c:v>
                </c:pt>
                <c:pt idx="10">
                  <c:v>1491.587448092903</c:v>
                </c:pt>
                <c:pt idx="11">
                  <c:v>1491.587448092903</c:v>
                </c:pt>
                <c:pt idx="12">
                  <c:v>1491.587448092903</c:v>
                </c:pt>
                <c:pt idx="13">
                  <c:v>1491.587448092903</c:v>
                </c:pt>
                <c:pt idx="14">
                  <c:v>1491.587448092903</c:v>
                </c:pt>
                <c:pt idx="15">
                  <c:v>1491.587448092903</c:v>
                </c:pt>
                <c:pt idx="16">
                  <c:v>1491.587448092903</c:v>
                </c:pt>
                <c:pt idx="17">
                  <c:v>1491.587448092903</c:v>
                </c:pt>
                <c:pt idx="18">
                  <c:v>1491.587448092903</c:v>
                </c:pt>
                <c:pt idx="19">
                  <c:v>1491.587448092903</c:v>
                </c:pt>
                <c:pt idx="20">
                  <c:v>1491.587448092903</c:v>
                </c:pt>
                <c:pt idx="21">
                  <c:v>1491.587448092903</c:v>
                </c:pt>
                <c:pt idx="22">
                  <c:v>1491.587448092903</c:v>
                </c:pt>
                <c:pt idx="23">
                  <c:v>1491.587448092903</c:v>
                </c:pt>
                <c:pt idx="24">
                  <c:v>1491.587448092903</c:v>
                </c:pt>
                <c:pt idx="25">
                  <c:v>1491.587448092903</c:v>
                </c:pt>
                <c:pt idx="26">
                  <c:v>1491.587448092903</c:v>
                </c:pt>
                <c:pt idx="27">
                  <c:v>1491.587448092903</c:v>
                </c:pt>
                <c:pt idx="28">
                  <c:v>1491.587448092903</c:v>
                </c:pt>
                <c:pt idx="29">
                  <c:v>1491.587448092903</c:v>
                </c:pt>
                <c:pt idx="30">
                  <c:v>1491.587448092903</c:v>
                </c:pt>
                <c:pt idx="31">
                  <c:v>1491.587448092903</c:v>
                </c:pt>
                <c:pt idx="32">
                  <c:v>1491.587448092903</c:v>
                </c:pt>
                <c:pt idx="33">
                  <c:v>1491.587448092903</c:v>
                </c:pt>
                <c:pt idx="34">
                  <c:v>1491.587448092903</c:v>
                </c:pt>
                <c:pt idx="35">
                  <c:v>1491.587448092903</c:v>
                </c:pt>
                <c:pt idx="36">
                  <c:v>1491.587448092903</c:v>
                </c:pt>
                <c:pt idx="37">
                  <c:v>1491.587448092903</c:v>
                </c:pt>
                <c:pt idx="38">
                  <c:v>1491.587448092903</c:v>
                </c:pt>
                <c:pt idx="39">
                  <c:v>1491.587448092903</c:v>
                </c:pt>
                <c:pt idx="40">
                  <c:v>1491.587448092903</c:v>
                </c:pt>
                <c:pt idx="41">
                  <c:v>1491.587448092903</c:v>
                </c:pt>
                <c:pt idx="42">
                  <c:v>1491.587448092903</c:v>
                </c:pt>
                <c:pt idx="43">
                  <c:v>1491.587448092903</c:v>
                </c:pt>
                <c:pt idx="44">
                  <c:v>1491.587448092903</c:v>
                </c:pt>
                <c:pt idx="45">
                  <c:v>1491.587448092903</c:v>
                </c:pt>
                <c:pt idx="46">
                  <c:v>1491.587448092903</c:v>
                </c:pt>
                <c:pt idx="47">
                  <c:v>1491.587448092903</c:v>
                </c:pt>
                <c:pt idx="48">
                  <c:v>1491.587448092903</c:v>
                </c:pt>
                <c:pt idx="49">
                  <c:v>1491.587448092903</c:v>
                </c:pt>
                <c:pt idx="50">
                  <c:v>1491.587448092903</c:v>
                </c:pt>
                <c:pt idx="51">
                  <c:v>1491.587448092903</c:v>
                </c:pt>
                <c:pt idx="52">
                  <c:v>1491.587448092903</c:v>
                </c:pt>
                <c:pt idx="53">
                  <c:v>1491.587448092903</c:v>
                </c:pt>
                <c:pt idx="54">
                  <c:v>1491.587448092903</c:v>
                </c:pt>
                <c:pt idx="55">
                  <c:v>1491.587448092903</c:v>
                </c:pt>
                <c:pt idx="56">
                  <c:v>1491.587448092903</c:v>
                </c:pt>
                <c:pt idx="57">
                  <c:v>1491.587448092903</c:v>
                </c:pt>
                <c:pt idx="58">
                  <c:v>1491.587448092903</c:v>
                </c:pt>
                <c:pt idx="59">
                  <c:v>1491.587448092903</c:v>
                </c:pt>
                <c:pt idx="60">
                  <c:v>1491.587448092903</c:v>
                </c:pt>
                <c:pt idx="61">
                  <c:v>1491.587448092903</c:v>
                </c:pt>
                <c:pt idx="62">
                  <c:v>1491.587448092903</c:v>
                </c:pt>
                <c:pt idx="63">
                  <c:v>1491.587448092903</c:v>
                </c:pt>
                <c:pt idx="64">
                  <c:v>1491.587448092903</c:v>
                </c:pt>
                <c:pt idx="65">
                  <c:v>1491.587448092903</c:v>
                </c:pt>
                <c:pt idx="66">
                  <c:v>1491.587448092903</c:v>
                </c:pt>
                <c:pt idx="67">
                  <c:v>1491.587448092903</c:v>
                </c:pt>
                <c:pt idx="68">
                  <c:v>1491.587448092903</c:v>
                </c:pt>
                <c:pt idx="69">
                  <c:v>1491.587448092903</c:v>
                </c:pt>
                <c:pt idx="70">
                  <c:v>1491.587448092903</c:v>
                </c:pt>
                <c:pt idx="71">
                  <c:v>1491.587448092903</c:v>
                </c:pt>
                <c:pt idx="72">
                  <c:v>1491.587448092903</c:v>
                </c:pt>
                <c:pt idx="73">
                  <c:v>1491.587448092903</c:v>
                </c:pt>
                <c:pt idx="74">
                  <c:v>1491.587448092903</c:v>
                </c:pt>
                <c:pt idx="75">
                  <c:v>1491.587448092903</c:v>
                </c:pt>
                <c:pt idx="76">
                  <c:v>1491.587448092903</c:v>
                </c:pt>
                <c:pt idx="77">
                  <c:v>1491.587448092903</c:v>
                </c:pt>
                <c:pt idx="78">
                  <c:v>1491.587448092903</c:v>
                </c:pt>
                <c:pt idx="79">
                  <c:v>1491.587448092903</c:v>
                </c:pt>
                <c:pt idx="80">
                  <c:v>1491.587448092903</c:v>
                </c:pt>
                <c:pt idx="81">
                  <c:v>1491.587448092903</c:v>
                </c:pt>
                <c:pt idx="82">
                  <c:v>1491.587448092903</c:v>
                </c:pt>
                <c:pt idx="83">
                  <c:v>1491.587448092903</c:v>
                </c:pt>
                <c:pt idx="84">
                  <c:v>1491.587448092903</c:v>
                </c:pt>
                <c:pt idx="85">
                  <c:v>1491.587448092903</c:v>
                </c:pt>
                <c:pt idx="86">
                  <c:v>1491.587448092903</c:v>
                </c:pt>
                <c:pt idx="87">
                  <c:v>1491.587448092903</c:v>
                </c:pt>
                <c:pt idx="88">
                  <c:v>1491.587448092903</c:v>
                </c:pt>
                <c:pt idx="89">
                  <c:v>1491.587448092903</c:v>
                </c:pt>
                <c:pt idx="90">
                  <c:v>1491.587448092903</c:v>
                </c:pt>
                <c:pt idx="91">
                  <c:v>1491.587448092903</c:v>
                </c:pt>
                <c:pt idx="92">
                  <c:v>1491.587448092903</c:v>
                </c:pt>
                <c:pt idx="93">
                  <c:v>1491.587448092903</c:v>
                </c:pt>
                <c:pt idx="94">
                  <c:v>1491.587448092903</c:v>
                </c:pt>
                <c:pt idx="95">
                  <c:v>1325.855509415914</c:v>
                </c:pt>
                <c:pt idx="96">
                  <c:v>1325.855509415914</c:v>
                </c:pt>
                <c:pt idx="97">
                  <c:v>1325.855509415914</c:v>
                </c:pt>
                <c:pt idx="98">
                  <c:v>1325.855509415914</c:v>
                </c:pt>
                <c:pt idx="99">
                  <c:v>1325.855509415914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32620.75577250633</c:v>
                </c:pt>
                <c:pt idx="4">
                  <c:v>32620.75577250633</c:v>
                </c:pt>
                <c:pt idx="5">
                  <c:v>32620.75577250633</c:v>
                </c:pt>
                <c:pt idx="6">
                  <c:v>32620.75577250633</c:v>
                </c:pt>
                <c:pt idx="7">
                  <c:v>32620.75577250633</c:v>
                </c:pt>
                <c:pt idx="8">
                  <c:v>32620.75577250633</c:v>
                </c:pt>
                <c:pt idx="9">
                  <c:v>32620.75577250633</c:v>
                </c:pt>
                <c:pt idx="10">
                  <c:v>32620.75577250633</c:v>
                </c:pt>
                <c:pt idx="11">
                  <c:v>32620.75577250633</c:v>
                </c:pt>
                <c:pt idx="12">
                  <c:v>32620.75577250633</c:v>
                </c:pt>
                <c:pt idx="13">
                  <c:v>32620.75577250633</c:v>
                </c:pt>
                <c:pt idx="14">
                  <c:v>32620.75577250633</c:v>
                </c:pt>
                <c:pt idx="15">
                  <c:v>32620.75577250633</c:v>
                </c:pt>
                <c:pt idx="16">
                  <c:v>32620.75577250633</c:v>
                </c:pt>
                <c:pt idx="17">
                  <c:v>32620.75577250633</c:v>
                </c:pt>
                <c:pt idx="18">
                  <c:v>32620.75577250633</c:v>
                </c:pt>
                <c:pt idx="19">
                  <c:v>32620.75577250633</c:v>
                </c:pt>
                <c:pt idx="20">
                  <c:v>32620.75577250633</c:v>
                </c:pt>
                <c:pt idx="21">
                  <c:v>32620.75577250633</c:v>
                </c:pt>
                <c:pt idx="22">
                  <c:v>32620.75577250633</c:v>
                </c:pt>
                <c:pt idx="23">
                  <c:v>32620.75577250633</c:v>
                </c:pt>
                <c:pt idx="24">
                  <c:v>32620.75577250633</c:v>
                </c:pt>
                <c:pt idx="25">
                  <c:v>32620.75577250633</c:v>
                </c:pt>
                <c:pt idx="26">
                  <c:v>32620.75577250633</c:v>
                </c:pt>
                <c:pt idx="27">
                  <c:v>32620.75577250633</c:v>
                </c:pt>
                <c:pt idx="28">
                  <c:v>32620.75577250633</c:v>
                </c:pt>
                <c:pt idx="29">
                  <c:v>32620.75577250633</c:v>
                </c:pt>
                <c:pt idx="30">
                  <c:v>32620.75577250633</c:v>
                </c:pt>
                <c:pt idx="31">
                  <c:v>32620.75577250633</c:v>
                </c:pt>
                <c:pt idx="32">
                  <c:v>32620.75577250633</c:v>
                </c:pt>
                <c:pt idx="33">
                  <c:v>32620.75577250633</c:v>
                </c:pt>
                <c:pt idx="34">
                  <c:v>32620.75577250633</c:v>
                </c:pt>
                <c:pt idx="35">
                  <c:v>32620.75577250633</c:v>
                </c:pt>
                <c:pt idx="36">
                  <c:v>32620.75577250633</c:v>
                </c:pt>
                <c:pt idx="37">
                  <c:v>32620.75577250633</c:v>
                </c:pt>
                <c:pt idx="38">
                  <c:v>32620.75577250633</c:v>
                </c:pt>
                <c:pt idx="39">
                  <c:v>32620.75577250633</c:v>
                </c:pt>
                <c:pt idx="40">
                  <c:v>32620.75577250633</c:v>
                </c:pt>
                <c:pt idx="41">
                  <c:v>32620.75577250633</c:v>
                </c:pt>
                <c:pt idx="42">
                  <c:v>32620.75577250633</c:v>
                </c:pt>
                <c:pt idx="43">
                  <c:v>32620.75577250633</c:v>
                </c:pt>
                <c:pt idx="44">
                  <c:v>32620.75577250633</c:v>
                </c:pt>
                <c:pt idx="45">
                  <c:v>32620.75577250633</c:v>
                </c:pt>
                <c:pt idx="46">
                  <c:v>32620.75577250633</c:v>
                </c:pt>
                <c:pt idx="47">
                  <c:v>32620.75577250633</c:v>
                </c:pt>
                <c:pt idx="48">
                  <c:v>32620.75577250633</c:v>
                </c:pt>
                <c:pt idx="49">
                  <c:v>32620.75577250633</c:v>
                </c:pt>
                <c:pt idx="50">
                  <c:v>32620.75577250633</c:v>
                </c:pt>
                <c:pt idx="51">
                  <c:v>32620.75577250633</c:v>
                </c:pt>
                <c:pt idx="52">
                  <c:v>32620.75577250633</c:v>
                </c:pt>
                <c:pt idx="53">
                  <c:v>32620.75577250633</c:v>
                </c:pt>
                <c:pt idx="54">
                  <c:v>32620.75577250633</c:v>
                </c:pt>
                <c:pt idx="55">
                  <c:v>32620.75577250633</c:v>
                </c:pt>
                <c:pt idx="56">
                  <c:v>32620.75577250633</c:v>
                </c:pt>
                <c:pt idx="57">
                  <c:v>32620.75577250633</c:v>
                </c:pt>
                <c:pt idx="58">
                  <c:v>32620.75577250633</c:v>
                </c:pt>
                <c:pt idx="59">
                  <c:v>32620.75577250633</c:v>
                </c:pt>
                <c:pt idx="60">
                  <c:v>32620.75577250633</c:v>
                </c:pt>
                <c:pt idx="61">
                  <c:v>32620.75577250633</c:v>
                </c:pt>
                <c:pt idx="62">
                  <c:v>32620.75577250633</c:v>
                </c:pt>
                <c:pt idx="63">
                  <c:v>32620.75577250633</c:v>
                </c:pt>
                <c:pt idx="64">
                  <c:v>32620.75577250633</c:v>
                </c:pt>
                <c:pt idx="65">
                  <c:v>32620.75577250633</c:v>
                </c:pt>
                <c:pt idx="66">
                  <c:v>32620.75577250633</c:v>
                </c:pt>
                <c:pt idx="67">
                  <c:v>32620.75577250633</c:v>
                </c:pt>
                <c:pt idx="68">
                  <c:v>32620.75577250633</c:v>
                </c:pt>
                <c:pt idx="69">
                  <c:v>32620.75577250633</c:v>
                </c:pt>
                <c:pt idx="70">
                  <c:v>32620.75577250633</c:v>
                </c:pt>
                <c:pt idx="71">
                  <c:v>32620.75577250633</c:v>
                </c:pt>
                <c:pt idx="72">
                  <c:v>32620.75577250633</c:v>
                </c:pt>
                <c:pt idx="73">
                  <c:v>32620.75577250633</c:v>
                </c:pt>
                <c:pt idx="74">
                  <c:v>32620.75577250633</c:v>
                </c:pt>
                <c:pt idx="75">
                  <c:v>32620.75577250633</c:v>
                </c:pt>
                <c:pt idx="76">
                  <c:v>32620.75577250633</c:v>
                </c:pt>
                <c:pt idx="77">
                  <c:v>32620.75577250633</c:v>
                </c:pt>
                <c:pt idx="78">
                  <c:v>32620.75577250633</c:v>
                </c:pt>
                <c:pt idx="79">
                  <c:v>32620.75577250633</c:v>
                </c:pt>
                <c:pt idx="80">
                  <c:v>32620.75577250633</c:v>
                </c:pt>
                <c:pt idx="81">
                  <c:v>32620.75577250633</c:v>
                </c:pt>
                <c:pt idx="82">
                  <c:v>32620.75577250633</c:v>
                </c:pt>
                <c:pt idx="83">
                  <c:v>32620.75577250633</c:v>
                </c:pt>
                <c:pt idx="84">
                  <c:v>32620.75577250633</c:v>
                </c:pt>
                <c:pt idx="85">
                  <c:v>32620.75577250633</c:v>
                </c:pt>
                <c:pt idx="86">
                  <c:v>32620.75577250633</c:v>
                </c:pt>
                <c:pt idx="87">
                  <c:v>32620.75577250633</c:v>
                </c:pt>
                <c:pt idx="88">
                  <c:v>32620.75577250633</c:v>
                </c:pt>
                <c:pt idx="89">
                  <c:v>32620.75577250633</c:v>
                </c:pt>
                <c:pt idx="90">
                  <c:v>32620.75577250633</c:v>
                </c:pt>
                <c:pt idx="91">
                  <c:v>32620.75577250633</c:v>
                </c:pt>
                <c:pt idx="92">
                  <c:v>32620.75577250633</c:v>
                </c:pt>
                <c:pt idx="93">
                  <c:v>32620.75577250633</c:v>
                </c:pt>
                <c:pt idx="94">
                  <c:v>32620.75577250633</c:v>
                </c:pt>
                <c:pt idx="95">
                  <c:v>8114.203131302213</c:v>
                </c:pt>
                <c:pt idx="96">
                  <c:v>8114.203131302213</c:v>
                </c:pt>
                <c:pt idx="97">
                  <c:v>8114.203131302213</c:v>
                </c:pt>
                <c:pt idx="98">
                  <c:v>8114.203131302213</c:v>
                </c:pt>
                <c:pt idx="99">
                  <c:v>8114.203131302213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9417000"/>
        <c:axId val="213940500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29831.10902214856</c:v>
                </c:pt>
                <c:pt idx="4">
                  <c:v>29831.10902214856</c:v>
                </c:pt>
                <c:pt idx="5">
                  <c:v>29831.10902214856</c:v>
                </c:pt>
                <c:pt idx="6">
                  <c:v>29831.10902214856</c:v>
                </c:pt>
                <c:pt idx="7">
                  <c:v>29831.10902214856</c:v>
                </c:pt>
                <c:pt idx="8">
                  <c:v>29831.10902214856</c:v>
                </c:pt>
                <c:pt idx="9">
                  <c:v>29831.10902214856</c:v>
                </c:pt>
                <c:pt idx="10">
                  <c:v>29831.10902214856</c:v>
                </c:pt>
                <c:pt idx="11">
                  <c:v>29831.10902214856</c:v>
                </c:pt>
                <c:pt idx="12">
                  <c:v>29831.10902214856</c:v>
                </c:pt>
                <c:pt idx="13">
                  <c:v>29831.10902214856</c:v>
                </c:pt>
                <c:pt idx="14">
                  <c:v>29831.10902214856</c:v>
                </c:pt>
                <c:pt idx="15">
                  <c:v>29831.10902214856</c:v>
                </c:pt>
                <c:pt idx="16">
                  <c:v>29831.10902214856</c:v>
                </c:pt>
                <c:pt idx="17">
                  <c:v>29831.10902214856</c:v>
                </c:pt>
                <c:pt idx="18">
                  <c:v>29831.10902214856</c:v>
                </c:pt>
                <c:pt idx="19">
                  <c:v>29831.10902214856</c:v>
                </c:pt>
                <c:pt idx="20">
                  <c:v>29831.10902214856</c:v>
                </c:pt>
                <c:pt idx="21">
                  <c:v>29831.10902214856</c:v>
                </c:pt>
                <c:pt idx="22">
                  <c:v>29831.10902214856</c:v>
                </c:pt>
                <c:pt idx="23">
                  <c:v>29831.10902214856</c:v>
                </c:pt>
                <c:pt idx="24">
                  <c:v>29831.10902214856</c:v>
                </c:pt>
                <c:pt idx="25">
                  <c:v>29831.10902214856</c:v>
                </c:pt>
                <c:pt idx="26">
                  <c:v>29831.10902214856</c:v>
                </c:pt>
                <c:pt idx="27">
                  <c:v>29831.10902214856</c:v>
                </c:pt>
                <c:pt idx="28">
                  <c:v>29831.10902214856</c:v>
                </c:pt>
                <c:pt idx="29">
                  <c:v>29831.10902214856</c:v>
                </c:pt>
                <c:pt idx="30">
                  <c:v>29831.10902214856</c:v>
                </c:pt>
                <c:pt idx="31">
                  <c:v>29831.10902214856</c:v>
                </c:pt>
                <c:pt idx="32">
                  <c:v>29831.10902214856</c:v>
                </c:pt>
                <c:pt idx="33">
                  <c:v>29831.10902214856</c:v>
                </c:pt>
                <c:pt idx="34">
                  <c:v>29831.10902214856</c:v>
                </c:pt>
                <c:pt idx="35">
                  <c:v>29831.10902214856</c:v>
                </c:pt>
                <c:pt idx="36">
                  <c:v>29831.10902214856</c:v>
                </c:pt>
                <c:pt idx="37">
                  <c:v>29831.10902214856</c:v>
                </c:pt>
                <c:pt idx="38">
                  <c:v>29831.10902214856</c:v>
                </c:pt>
                <c:pt idx="39">
                  <c:v>29831.10902214856</c:v>
                </c:pt>
                <c:pt idx="40">
                  <c:v>29831.10902214856</c:v>
                </c:pt>
                <c:pt idx="41">
                  <c:v>29831.10902214856</c:v>
                </c:pt>
                <c:pt idx="42">
                  <c:v>29831.10902214856</c:v>
                </c:pt>
                <c:pt idx="43">
                  <c:v>29831.10902214856</c:v>
                </c:pt>
                <c:pt idx="44">
                  <c:v>29831.10902214856</c:v>
                </c:pt>
                <c:pt idx="45">
                  <c:v>29831.10902214856</c:v>
                </c:pt>
                <c:pt idx="46">
                  <c:v>29831.10902214856</c:v>
                </c:pt>
                <c:pt idx="47">
                  <c:v>29831.10902214856</c:v>
                </c:pt>
                <c:pt idx="48">
                  <c:v>29831.10902214856</c:v>
                </c:pt>
                <c:pt idx="49">
                  <c:v>29831.10902214856</c:v>
                </c:pt>
                <c:pt idx="50">
                  <c:v>29831.10902214856</c:v>
                </c:pt>
                <c:pt idx="51">
                  <c:v>29831.10902214856</c:v>
                </c:pt>
                <c:pt idx="52">
                  <c:v>29831.10902214856</c:v>
                </c:pt>
                <c:pt idx="53">
                  <c:v>29831.10902214856</c:v>
                </c:pt>
                <c:pt idx="54">
                  <c:v>29831.10902214856</c:v>
                </c:pt>
                <c:pt idx="55">
                  <c:v>29831.10902214856</c:v>
                </c:pt>
                <c:pt idx="56">
                  <c:v>29831.10902214856</c:v>
                </c:pt>
                <c:pt idx="57">
                  <c:v>29831.10902214856</c:v>
                </c:pt>
                <c:pt idx="58">
                  <c:v>29831.10902214856</c:v>
                </c:pt>
                <c:pt idx="59">
                  <c:v>29831.10902214856</c:v>
                </c:pt>
                <c:pt idx="60">
                  <c:v>29831.10902214856</c:v>
                </c:pt>
                <c:pt idx="61">
                  <c:v>29831.10902214856</c:v>
                </c:pt>
                <c:pt idx="62">
                  <c:v>29831.10902214856</c:v>
                </c:pt>
                <c:pt idx="63">
                  <c:v>29831.10902214856</c:v>
                </c:pt>
                <c:pt idx="64">
                  <c:v>29831.10902214856</c:v>
                </c:pt>
                <c:pt idx="65">
                  <c:v>29831.10902214856</c:v>
                </c:pt>
                <c:pt idx="66">
                  <c:v>29831.10902214856</c:v>
                </c:pt>
                <c:pt idx="67">
                  <c:v>29831.10902214856</c:v>
                </c:pt>
                <c:pt idx="68">
                  <c:v>29831.10902214856</c:v>
                </c:pt>
                <c:pt idx="69">
                  <c:v>29831.10902214856</c:v>
                </c:pt>
                <c:pt idx="70">
                  <c:v>29831.10902214856</c:v>
                </c:pt>
                <c:pt idx="71">
                  <c:v>29831.10902214856</c:v>
                </c:pt>
                <c:pt idx="72">
                  <c:v>29831.10902214856</c:v>
                </c:pt>
                <c:pt idx="73">
                  <c:v>29831.10902214856</c:v>
                </c:pt>
                <c:pt idx="74">
                  <c:v>29831.10902214856</c:v>
                </c:pt>
                <c:pt idx="75">
                  <c:v>29831.10902214856</c:v>
                </c:pt>
                <c:pt idx="76">
                  <c:v>29831.10902214856</c:v>
                </c:pt>
                <c:pt idx="77">
                  <c:v>29831.10902214856</c:v>
                </c:pt>
                <c:pt idx="78">
                  <c:v>29831.10902214856</c:v>
                </c:pt>
                <c:pt idx="79">
                  <c:v>29831.10902214856</c:v>
                </c:pt>
                <c:pt idx="80">
                  <c:v>29831.10902214856</c:v>
                </c:pt>
                <c:pt idx="81">
                  <c:v>29831.10902214856</c:v>
                </c:pt>
                <c:pt idx="82">
                  <c:v>29831.10902214856</c:v>
                </c:pt>
                <c:pt idx="83">
                  <c:v>29831.10902214856</c:v>
                </c:pt>
                <c:pt idx="84">
                  <c:v>29831.10902214856</c:v>
                </c:pt>
                <c:pt idx="85">
                  <c:v>29831.10902214856</c:v>
                </c:pt>
                <c:pt idx="86">
                  <c:v>29831.10902214856</c:v>
                </c:pt>
                <c:pt idx="87">
                  <c:v>29831.10902214856</c:v>
                </c:pt>
                <c:pt idx="88">
                  <c:v>29831.10902214856</c:v>
                </c:pt>
                <c:pt idx="89">
                  <c:v>29831.10902214856</c:v>
                </c:pt>
                <c:pt idx="90">
                  <c:v>29831.10902214856</c:v>
                </c:pt>
                <c:pt idx="91">
                  <c:v>29831.10902214856</c:v>
                </c:pt>
                <c:pt idx="92">
                  <c:v>29831.10902214856</c:v>
                </c:pt>
                <c:pt idx="93">
                  <c:v>29831.10902214856</c:v>
                </c:pt>
                <c:pt idx="94">
                  <c:v>29831.10902214856</c:v>
                </c:pt>
                <c:pt idx="95">
                  <c:v>29831.10902214857</c:v>
                </c:pt>
                <c:pt idx="96">
                  <c:v>29831.10902214857</c:v>
                </c:pt>
                <c:pt idx="97">
                  <c:v>29831.10902214857</c:v>
                </c:pt>
                <c:pt idx="98">
                  <c:v>29831.10902214857</c:v>
                </c:pt>
                <c:pt idx="99">
                  <c:v>29831.10902214857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417000"/>
        <c:axId val="213940500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38348.61971762566</c:v>
                </c:pt>
                <c:pt idx="13">
                  <c:v>38477.32049664336</c:v>
                </c:pt>
                <c:pt idx="14">
                  <c:v>38606.02127566106</c:v>
                </c:pt>
                <c:pt idx="15">
                  <c:v>38734.72205467876</c:v>
                </c:pt>
                <c:pt idx="16">
                  <c:v>38863.42283369646</c:v>
                </c:pt>
                <c:pt idx="17">
                  <c:v>38992.12361271416</c:v>
                </c:pt>
                <c:pt idx="18">
                  <c:v>39120.82439173186</c:v>
                </c:pt>
                <c:pt idx="19">
                  <c:v>39249.52517074956</c:v>
                </c:pt>
                <c:pt idx="20">
                  <c:v>39378.22594976726</c:v>
                </c:pt>
                <c:pt idx="21">
                  <c:v>39506.92672878497</c:v>
                </c:pt>
                <c:pt idx="22">
                  <c:v>39635.62750780267</c:v>
                </c:pt>
                <c:pt idx="23">
                  <c:v>39764.32828682037</c:v>
                </c:pt>
                <c:pt idx="24">
                  <c:v>39893.02906583807</c:v>
                </c:pt>
                <c:pt idx="25">
                  <c:v>40021.72984485577</c:v>
                </c:pt>
                <c:pt idx="26">
                  <c:v>40150.43062387347</c:v>
                </c:pt>
                <c:pt idx="27">
                  <c:v>40279.13140289117</c:v>
                </c:pt>
                <c:pt idx="28">
                  <c:v>40407.83218190887</c:v>
                </c:pt>
                <c:pt idx="29">
                  <c:v>40536.53296092657</c:v>
                </c:pt>
                <c:pt idx="30">
                  <c:v>40665.23373994427</c:v>
                </c:pt>
                <c:pt idx="31">
                  <c:v>40793.93451896197</c:v>
                </c:pt>
                <c:pt idx="32">
                  <c:v>40922.63529797967</c:v>
                </c:pt>
                <c:pt idx="33">
                  <c:v>41051.33607699737</c:v>
                </c:pt>
                <c:pt idx="34">
                  <c:v>41180.03685601507</c:v>
                </c:pt>
                <c:pt idx="35">
                  <c:v>41308.73763503278</c:v>
                </c:pt>
                <c:pt idx="36">
                  <c:v>41437.43841405047</c:v>
                </c:pt>
                <c:pt idx="37">
                  <c:v>41566.13919306817</c:v>
                </c:pt>
                <c:pt idx="38">
                  <c:v>41694.83997208587</c:v>
                </c:pt>
                <c:pt idx="39">
                  <c:v>41823.54075110357</c:v>
                </c:pt>
                <c:pt idx="40">
                  <c:v>41952.24153012127</c:v>
                </c:pt>
                <c:pt idx="41">
                  <c:v>42080.94230913897</c:v>
                </c:pt>
                <c:pt idx="42">
                  <c:v>42209.64308815668</c:v>
                </c:pt>
                <c:pt idx="43">
                  <c:v>42338.34386717437</c:v>
                </c:pt>
                <c:pt idx="44">
                  <c:v>42467.04464619208</c:v>
                </c:pt>
                <c:pt idx="45">
                  <c:v>42595.74542520978</c:v>
                </c:pt>
                <c:pt idx="46">
                  <c:v>42724.44620422748</c:v>
                </c:pt>
                <c:pt idx="47">
                  <c:v>42853.14698324518</c:v>
                </c:pt>
                <c:pt idx="48">
                  <c:v>42981.84776226288</c:v>
                </c:pt>
                <c:pt idx="49">
                  <c:v>43110.54854128057</c:v>
                </c:pt>
                <c:pt idx="50">
                  <c:v>43239.24932029828</c:v>
                </c:pt>
                <c:pt idx="51">
                  <c:v>43367.95009931598</c:v>
                </c:pt>
                <c:pt idx="52">
                  <c:v>43496.65087833368</c:v>
                </c:pt>
                <c:pt idx="53">
                  <c:v>44225.00230424096</c:v>
                </c:pt>
                <c:pt idx="54">
                  <c:v>44953.35373014825</c:v>
                </c:pt>
                <c:pt idx="55">
                  <c:v>45681.70515605554</c:v>
                </c:pt>
                <c:pt idx="56">
                  <c:v>46410.05658196282</c:v>
                </c:pt>
                <c:pt idx="57">
                  <c:v>47138.40800787011</c:v>
                </c:pt>
                <c:pt idx="58">
                  <c:v>47866.7594337774</c:v>
                </c:pt>
                <c:pt idx="59">
                  <c:v>48595.11085968468</c:v>
                </c:pt>
                <c:pt idx="60">
                  <c:v>49323.46228559197</c:v>
                </c:pt>
                <c:pt idx="61">
                  <c:v>50051.81371149925</c:v>
                </c:pt>
                <c:pt idx="62">
                  <c:v>50780.16513740654</c:v>
                </c:pt>
                <c:pt idx="63">
                  <c:v>51508.51656331382</c:v>
                </c:pt>
                <c:pt idx="64">
                  <c:v>52236.86798922111</c:v>
                </c:pt>
                <c:pt idx="65">
                  <c:v>52965.2194151284</c:v>
                </c:pt>
                <c:pt idx="66">
                  <c:v>53693.57084103569</c:v>
                </c:pt>
                <c:pt idx="67">
                  <c:v>54421.92226694297</c:v>
                </c:pt>
                <c:pt idx="68">
                  <c:v>55150.27369285026</c:v>
                </c:pt>
                <c:pt idx="69">
                  <c:v>55878.62511875754</c:v>
                </c:pt>
                <c:pt idx="70">
                  <c:v>56606.97654466482</c:v>
                </c:pt>
                <c:pt idx="71">
                  <c:v>57335.32797057211</c:v>
                </c:pt>
                <c:pt idx="72">
                  <c:v>58063.6793964794</c:v>
                </c:pt>
                <c:pt idx="73">
                  <c:v>58792.03082238669</c:v>
                </c:pt>
                <c:pt idx="74">
                  <c:v>59520.38224829397</c:v>
                </c:pt>
                <c:pt idx="75">
                  <c:v>61220.93675860167</c:v>
                </c:pt>
                <c:pt idx="76">
                  <c:v>63893.69435330977</c:v>
                </c:pt>
                <c:pt idx="77">
                  <c:v>66566.45194801787</c:v>
                </c:pt>
                <c:pt idx="78">
                  <c:v>69239.20954272596</c:v>
                </c:pt>
                <c:pt idx="79">
                  <c:v>71911.96713743407</c:v>
                </c:pt>
                <c:pt idx="80">
                  <c:v>74584.72473214217</c:v>
                </c:pt>
                <c:pt idx="81">
                  <c:v>77257.48232685026</c:v>
                </c:pt>
                <c:pt idx="82">
                  <c:v>79930.23992155837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417000"/>
        <c:axId val="2139405000"/>
      </c:scatterChart>
      <c:catAx>
        <c:axId val="213941700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940500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3940500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941700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3956.457536089572</c:v>
                </c:pt>
                <c:pt idx="1">
                  <c:v>3956.457536089572</c:v>
                </c:pt>
                <c:pt idx="2">
                  <c:v>3956.457536089572</c:v>
                </c:pt>
                <c:pt idx="3">
                  <c:v>3956.457536089572</c:v>
                </c:pt>
                <c:pt idx="4">
                  <c:v>3956.457536089572</c:v>
                </c:pt>
                <c:pt idx="5">
                  <c:v>3956.457536089572</c:v>
                </c:pt>
                <c:pt idx="6">
                  <c:v>3956.457536089572</c:v>
                </c:pt>
                <c:pt idx="7">
                  <c:v>3956.457536089572</c:v>
                </c:pt>
                <c:pt idx="8">
                  <c:v>3956.457536089572</c:v>
                </c:pt>
                <c:pt idx="9">
                  <c:v>3956.457536089572</c:v>
                </c:pt>
                <c:pt idx="10">
                  <c:v>3956.457536089572</c:v>
                </c:pt>
                <c:pt idx="11">
                  <c:v>3956.457536089572</c:v>
                </c:pt>
                <c:pt idx="12">
                  <c:v>3956.457536089572</c:v>
                </c:pt>
                <c:pt idx="13">
                  <c:v>3956.457536089572</c:v>
                </c:pt>
                <c:pt idx="14">
                  <c:v>3956.457536089572</c:v>
                </c:pt>
                <c:pt idx="15">
                  <c:v>3956.457536089572</c:v>
                </c:pt>
                <c:pt idx="16">
                  <c:v>3956.457536089572</c:v>
                </c:pt>
                <c:pt idx="17">
                  <c:v>3956.457536089572</c:v>
                </c:pt>
                <c:pt idx="18">
                  <c:v>3956.457536089572</c:v>
                </c:pt>
                <c:pt idx="19">
                  <c:v>3956.457536089572</c:v>
                </c:pt>
                <c:pt idx="20">
                  <c:v>3956.457536089572</c:v>
                </c:pt>
                <c:pt idx="21">
                  <c:v>3956.457536089572</c:v>
                </c:pt>
                <c:pt idx="22">
                  <c:v>3956.457536089572</c:v>
                </c:pt>
                <c:pt idx="23">
                  <c:v>3956.457536089572</c:v>
                </c:pt>
                <c:pt idx="24">
                  <c:v>3956.457536089572</c:v>
                </c:pt>
                <c:pt idx="25">
                  <c:v>3956.457536089572</c:v>
                </c:pt>
                <c:pt idx="26">
                  <c:v>3967.07715748568</c:v>
                </c:pt>
                <c:pt idx="27">
                  <c:v>3977.696778881789</c:v>
                </c:pt>
                <c:pt idx="28">
                  <c:v>3988.316400277897</c:v>
                </c:pt>
                <c:pt idx="29">
                  <c:v>3998.936021674005</c:v>
                </c:pt>
                <c:pt idx="30">
                  <c:v>4009.555643070113</c:v>
                </c:pt>
                <c:pt idx="31">
                  <c:v>4020.175264466221</c:v>
                </c:pt>
                <c:pt idx="32">
                  <c:v>4030.794885862329</c:v>
                </c:pt>
                <c:pt idx="33">
                  <c:v>4041.414507258437</c:v>
                </c:pt>
                <c:pt idx="34">
                  <c:v>4052.034128654545</c:v>
                </c:pt>
                <c:pt idx="35">
                  <c:v>4062.653750050654</c:v>
                </c:pt>
                <c:pt idx="36">
                  <c:v>4073.273371446762</c:v>
                </c:pt>
                <c:pt idx="37">
                  <c:v>4083.89299284287</c:v>
                </c:pt>
                <c:pt idx="38">
                  <c:v>4094.512614238978</c:v>
                </c:pt>
                <c:pt idx="39">
                  <c:v>4105.132235635085</c:v>
                </c:pt>
                <c:pt idx="40">
                  <c:v>4115.751857031194</c:v>
                </c:pt>
                <c:pt idx="41">
                  <c:v>4126.371478427302</c:v>
                </c:pt>
                <c:pt idx="42">
                  <c:v>4136.99109982341</c:v>
                </c:pt>
                <c:pt idx="43">
                  <c:v>4147.610721219518</c:v>
                </c:pt>
                <c:pt idx="44">
                  <c:v>4158.230342615627</c:v>
                </c:pt>
                <c:pt idx="45">
                  <c:v>4168.849964011735</c:v>
                </c:pt>
                <c:pt idx="46">
                  <c:v>4179.469585407842</c:v>
                </c:pt>
                <c:pt idx="47">
                  <c:v>4190.08920680395</c:v>
                </c:pt>
                <c:pt idx="48">
                  <c:v>4200.708828200059</c:v>
                </c:pt>
                <c:pt idx="49">
                  <c:v>4211.328449596167</c:v>
                </c:pt>
                <c:pt idx="50">
                  <c:v>4221.948070992275</c:v>
                </c:pt>
                <c:pt idx="51">
                  <c:v>4232.567692388384</c:v>
                </c:pt>
                <c:pt idx="52">
                  <c:v>4243.187313784491</c:v>
                </c:pt>
                <c:pt idx="53">
                  <c:v>4253.8069351806</c:v>
                </c:pt>
                <c:pt idx="54">
                  <c:v>4264.426556576708</c:v>
                </c:pt>
                <c:pt idx="55">
                  <c:v>4275.046177972816</c:v>
                </c:pt>
                <c:pt idx="56">
                  <c:v>4285.665799368924</c:v>
                </c:pt>
                <c:pt idx="57">
                  <c:v>4296.285420765032</c:v>
                </c:pt>
                <c:pt idx="58">
                  <c:v>4306.90504216114</c:v>
                </c:pt>
                <c:pt idx="59">
                  <c:v>4317.524663557248</c:v>
                </c:pt>
                <c:pt idx="60">
                  <c:v>4328.144284953356</c:v>
                </c:pt>
                <c:pt idx="61">
                  <c:v>4338.763906349464</c:v>
                </c:pt>
                <c:pt idx="62">
                  <c:v>4349.383527745573</c:v>
                </c:pt>
                <c:pt idx="63">
                  <c:v>4360.003149141681</c:v>
                </c:pt>
                <c:pt idx="64">
                  <c:v>4370.622770537788</c:v>
                </c:pt>
                <c:pt idx="65">
                  <c:v>4381.242391933897</c:v>
                </c:pt>
                <c:pt idx="66">
                  <c:v>4457.536673547243</c:v>
                </c:pt>
                <c:pt idx="67">
                  <c:v>4533.830955160589</c:v>
                </c:pt>
                <c:pt idx="68">
                  <c:v>4610.125236773935</c:v>
                </c:pt>
                <c:pt idx="69">
                  <c:v>4686.419518387282</c:v>
                </c:pt>
                <c:pt idx="70">
                  <c:v>4762.713800000627</c:v>
                </c:pt>
                <c:pt idx="71">
                  <c:v>4839.008081613973</c:v>
                </c:pt>
                <c:pt idx="72">
                  <c:v>4915.30236322732</c:v>
                </c:pt>
                <c:pt idx="73">
                  <c:v>4991.596644840666</c:v>
                </c:pt>
                <c:pt idx="74">
                  <c:v>5067.89092645401</c:v>
                </c:pt>
                <c:pt idx="75">
                  <c:v>5144.185208067357</c:v>
                </c:pt>
                <c:pt idx="76">
                  <c:v>5220.479489680704</c:v>
                </c:pt>
                <c:pt idx="77">
                  <c:v>5296.773771294051</c:v>
                </c:pt>
                <c:pt idx="78">
                  <c:v>5373.068052907396</c:v>
                </c:pt>
                <c:pt idx="79">
                  <c:v>5449.362334520742</c:v>
                </c:pt>
                <c:pt idx="80">
                  <c:v>5525.656616134088</c:v>
                </c:pt>
                <c:pt idx="81">
                  <c:v>5601.950897747434</c:v>
                </c:pt>
                <c:pt idx="82">
                  <c:v>5678.24517936078</c:v>
                </c:pt>
                <c:pt idx="83">
                  <c:v>5754.539460974127</c:v>
                </c:pt>
                <c:pt idx="84">
                  <c:v>5830.833742587472</c:v>
                </c:pt>
                <c:pt idx="85">
                  <c:v>5907.128024200818</c:v>
                </c:pt>
                <c:pt idx="86">
                  <c:v>5983.422305814165</c:v>
                </c:pt>
                <c:pt idx="87">
                  <c:v>6059.716587427511</c:v>
                </c:pt>
                <c:pt idx="88">
                  <c:v>6101.312751295072</c:v>
                </c:pt>
                <c:pt idx="89">
                  <c:v>6108.210797416848</c:v>
                </c:pt>
                <c:pt idx="90">
                  <c:v>6115.108843538625</c:v>
                </c:pt>
                <c:pt idx="91">
                  <c:v>6122.0068896604</c:v>
                </c:pt>
                <c:pt idx="92">
                  <c:v>6128.904935782177</c:v>
                </c:pt>
                <c:pt idx="93">
                  <c:v>6135.802981903953</c:v>
                </c:pt>
                <c:pt idx="94">
                  <c:v>6142.70102802573</c:v>
                </c:pt>
                <c:pt idx="95">
                  <c:v>6149.599074147506</c:v>
                </c:pt>
                <c:pt idx="96">
                  <c:v>6156.497120269282</c:v>
                </c:pt>
                <c:pt idx="97">
                  <c:v>6163.395166391058</c:v>
                </c:pt>
                <c:pt idx="98">
                  <c:v>6166.844189451946</c:v>
                </c:pt>
                <c:pt idx="99">
                  <c:v>6166.844189451946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30.96157110106187</c:v>
                </c:pt>
                <c:pt idx="27">
                  <c:v>61.92314220212374</c:v>
                </c:pt>
                <c:pt idx="28">
                  <c:v>92.88471330318562</c:v>
                </c:pt>
                <c:pt idx="29">
                  <c:v>123.8462844042475</c:v>
                </c:pt>
                <c:pt idx="30">
                  <c:v>154.8078555053094</c:v>
                </c:pt>
                <c:pt idx="31">
                  <c:v>185.7694266063712</c:v>
                </c:pt>
                <c:pt idx="32">
                  <c:v>216.7309977074331</c:v>
                </c:pt>
                <c:pt idx="33">
                  <c:v>247.692568808495</c:v>
                </c:pt>
                <c:pt idx="34">
                  <c:v>278.6541399095569</c:v>
                </c:pt>
                <c:pt idx="35">
                  <c:v>309.6157110106187</c:v>
                </c:pt>
                <c:pt idx="36">
                  <c:v>340.5772821116806</c:v>
                </c:pt>
                <c:pt idx="37">
                  <c:v>371.5388532127425</c:v>
                </c:pt>
                <c:pt idx="38">
                  <c:v>402.5004243138043</c:v>
                </c:pt>
                <c:pt idx="39">
                  <c:v>433.4619954148662</c:v>
                </c:pt>
                <c:pt idx="40">
                  <c:v>464.4235665159281</c:v>
                </c:pt>
                <c:pt idx="41">
                  <c:v>495.3851376169899</c:v>
                </c:pt>
                <c:pt idx="42">
                  <c:v>526.3467087180518</c:v>
                </c:pt>
                <c:pt idx="43">
                  <c:v>557.3082798191137</c:v>
                </c:pt>
                <c:pt idx="44">
                  <c:v>588.2698509201755</c:v>
                </c:pt>
                <c:pt idx="45">
                  <c:v>619.2314220212374</c:v>
                </c:pt>
                <c:pt idx="46">
                  <c:v>650.1929931222993</c:v>
                </c:pt>
                <c:pt idx="47">
                  <c:v>681.1545642233611</c:v>
                </c:pt>
                <c:pt idx="48">
                  <c:v>712.1161353244231</c:v>
                </c:pt>
                <c:pt idx="49">
                  <c:v>743.077706425485</c:v>
                </c:pt>
                <c:pt idx="50">
                  <c:v>774.0392775265468</c:v>
                </c:pt>
                <c:pt idx="51">
                  <c:v>805.0008486276086</c:v>
                </c:pt>
                <c:pt idx="52">
                  <c:v>835.9624197286706</c:v>
                </c:pt>
                <c:pt idx="53">
                  <c:v>866.9239908297324</c:v>
                </c:pt>
                <c:pt idx="54">
                  <c:v>897.8855619307942</c:v>
                </c:pt>
                <c:pt idx="55">
                  <c:v>928.8471330318562</c:v>
                </c:pt>
                <c:pt idx="56">
                  <c:v>959.8087041329181</c:v>
                </c:pt>
                <c:pt idx="57">
                  <c:v>990.7702752339798</c:v>
                </c:pt>
                <c:pt idx="58">
                  <c:v>1021.731846335042</c:v>
                </c:pt>
                <c:pt idx="59">
                  <c:v>1052.693417436104</c:v>
                </c:pt>
                <c:pt idx="60">
                  <c:v>1083.654988537166</c:v>
                </c:pt>
                <c:pt idx="61">
                  <c:v>1114.616559638227</c:v>
                </c:pt>
                <c:pt idx="62">
                  <c:v>1145.578130739289</c:v>
                </c:pt>
                <c:pt idx="63">
                  <c:v>1176.539701840351</c:v>
                </c:pt>
                <c:pt idx="64">
                  <c:v>1207.501272941413</c:v>
                </c:pt>
                <c:pt idx="65">
                  <c:v>1238.462844042475</c:v>
                </c:pt>
                <c:pt idx="66">
                  <c:v>1421.829086501714</c:v>
                </c:pt>
                <c:pt idx="67">
                  <c:v>1605.195328960954</c:v>
                </c:pt>
                <c:pt idx="68">
                  <c:v>1788.561571420193</c:v>
                </c:pt>
                <c:pt idx="69">
                  <c:v>1971.927813879433</c:v>
                </c:pt>
                <c:pt idx="70">
                  <c:v>2155.294056338672</c:v>
                </c:pt>
                <c:pt idx="71">
                  <c:v>2338.660298797911</c:v>
                </c:pt>
                <c:pt idx="72">
                  <c:v>2522.026541257151</c:v>
                </c:pt>
                <c:pt idx="73">
                  <c:v>2705.39278371639</c:v>
                </c:pt>
                <c:pt idx="74">
                  <c:v>2888.75902617563</c:v>
                </c:pt>
                <c:pt idx="75">
                  <c:v>3072.125268634869</c:v>
                </c:pt>
                <c:pt idx="76">
                  <c:v>3255.491511094108</c:v>
                </c:pt>
                <c:pt idx="77">
                  <c:v>3438.857753553347</c:v>
                </c:pt>
                <c:pt idx="78">
                  <c:v>3622.223996012587</c:v>
                </c:pt>
                <c:pt idx="79">
                  <c:v>3805.590238471827</c:v>
                </c:pt>
                <c:pt idx="80">
                  <c:v>3988.956480931065</c:v>
                </c:pt>
                <c:pt idx="81">
                  <c:v>4172.322723390305</c:v>
                </c:pt>
                <c:pt idx="82">
                  <c:v>4355.688965849544</c:v>
                </c:pt>
                <c:pt idx="83">
                  <c:v>4539.055208308784</c:v>
                </c:pt>
                <c:pt idx="84">
                  <c:v>4722.421450768023</c:v>
                </c:pt>
                <c:pt idx="85">
                  <c:v>4905.787693227263</c:v>
                </c:pt>
                <c:pt idx="86">
                  <c:v>5089.153935686502</c:v>
                </c:pt>
                <c:pt idx="87">
                  <c:v>5272.520178145741</c:v>
                </c:pt>
                <c:pt idx="88">
                  <c:v>5476.157114284384</c:v>
                </c:pt>
                <c:pt idx="89">
                  <c:v>5700.06474410243</c:v>
                </c:pt>
                <c:pt idx="90">
                  <c:v>5923.972373920476</c:v>
                </c:pt>
                <c:pt idx="91">
                  <c:v>6147.880003738522</c:v>
                </c:pt>
                <c:pt idx="92">
                  <c:v>6371.787633556567</c:v>
                </c:pt>
                <c:pt idx="93">
                  <c:v>6595.695263374614</c:v>
                </c:pt>
                <c:pt idx="94">
                  <c:v>6819.60289319266</c:v>
                </c:pt>
                <c:pt idx="95">
                  <c:v>7043.510523010705</c:v>
                </c:pt>
                <c:pt idx="96">
                  <c:v>7267.418152828752</c:v>
                </c:pt>
                <c:pt idx="97">
                  <c:v>7491.325782646798</c:v>
                </c:pt>
                <c:pt idx="98">
                  <c:v>7603.279597555821</c:v>
                </c:pt>
                <c:pt idx="99">
                  <c:v>7603.279597555821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279.818960936849</c:v>
                </c:pt>
                <c:pt idx="1">
                  <c:v>279.818960936849</c:v>
                </c:pt>
                <c:pt idx="2">
                  <c:v>279.818960936849</c:v>
                </c:pt>
                <c:pt idx="3">
                  <c:v>279.818960936849</c:v>
                </c:pt>
                <c:pt idx="4">
                  <c:v>279.818960936849</c:v>
                </c:pt>
                <c:pt idx="5">
                  <c:v>279.818960936849</c:v>
                </c:pt>
                <c:pt idx="6">
                  <c:v>279.818960936849</c:v>
                </c:pt>
                <c:pt idx="7">
                  <c:v>279.818960936849</c:v>
                </c:pt>
                <c:pt idx="8">
                  <c:v>279.818960936849</c:v>
                </c:pt>
                <c:pt idx="9">
                  <c:v>279.818960936849</c:v>
                </c:pt>
                <c:pt idx="10">
                  <c:v>279.818960936849</c:v>
                </c:pt>
                <c:pt idx="11">
                  <c:v>279.818960936849</c:v>
                </c:pt>
                <c:pt idx="12">
                  <c:v>279.818960936849</c:v>
                </c:pt>
                <c:pt idx="13">
                  <c:v>279.818960936849</c:v>
                </c:pt>
                <c:pt idx="14">
                  <c:v>279.818960936849</c:v>
                </c:pt>
                <c:pt idx="15">
                  <c:v>279.818960936849</c:v>
                </c:pt>
                <c:pt idx="16">
                  <c:v>279.818960936849</c:v>
                </c:pt>
                <c:pt idx="17">
                  <c:v>279.818960936849</c:v>
                </c:pt>
                <c:pt idx="18">
                  <c:v>279.818960936849</c:v>
                </c:pt>
                <c:pt idx="19">
                  <c:v>279.818960936849</c:v>
                </c:pt>
                <c:pt idx="20">
                  <c:v>279.818960936849</c:v>
                </c:pt>
                <c:pt idx="21">
                  <c:v>279.818960936849</c:v>
                </c:pt>
                <c:pt idx="22">
                  <c:v>279.818960936849</c:v>
                </c:pt>
                <c:pt idx="23">
                  <c:v>279.818960936849</c:v>
                </c:pt>
                <c:pt idx="24">
                  <c:v>279.818960936849</c:v>
                </c:pt>
                <c:pt idx="25">
                  <c:v>279.818960936849</c:v>
                </c:pt>
                <c:pt idx="26">
                  <c:v>283.6348255839731</c:v>
                </c:pt>
                <c:pt idx="27">
                  <c:v>287.4506902310973</c:v>
                </c:pt>
                <c:pt idx="28">
                  <c:v>291.2665548782215</c:v>
                </c:pt>
                <c:pt idx="29">
                  <c:v>295.0824195253456</c:v>
                </c:pt>
                <c:pt idx="30">
                  <c:v>298.8982841724699</c:v>
                </c:pt>
                <c:pt idx="31">
                  <c:v>302.714148819594</c:v>
                </c:pt>
                <c:pt idx="32">
                  <c:v>306.5300134667182</c:v>
                </c:pt>
                <c:pt idx="33">
                  <c:v>310.3458781138423</c:v>
                </c:pt>
                <c:pt idx="34">
                  <c:v>314.1617427609665</c:v>
                </c:pt>
                <c:pt idx="35">
                  <c:v>317.9776074080907</c:v>
                </c:pt>
                <c:pt idx="36">
                  <c:v>321.7934720552149</c:v>
                </c:pt>
                <c:pt idx="37">
                  <c:v>325.6093367023391</c:v>
                </c:pt>
                <c:pt idx="38">
                  <c:v>329.4252013494632</c:v>
                </c:pt>
                <c:pt idx="39">
                  <c:v>333.2410659965875</c:v>
                </c:pt>
                <c:pt idx="40">
                  <c:v>337.0569306437116</c:v>
                </c:pt>
                <c:pt idx="41">
                  <c:v>340.8727952908358</c:v>
                </c:pt>
                <c:pt idx="42">
                  <c:v>344.68865993796</c:v>
                </c:pt>
                <c:pt idx="43">
                  <c:v>348.5045245850841</c:v>
                </c:pt>
                <c:pt idx="44">
                  <c:v>352.3203892322083</c:v>
                </c:pt>
                <c:pt idx="45">
                  <c:v>356.1362538793325</c:v>
                </c:pt>
                <c:pt idx="46">
                  <c:v>359.9521185264567</c:v>
                </c:pt>
                <c:pt idx="47">
                  <c:v>363.7679831735808</c:v>
                </c:pt>
                <c:pt idx="48">
                  <c:v>367.583847820705</c:v>
                </c:pt>
                <c:pt idx="49">
                  <c:v>371.3997124678292</c:v>
                </c:pt>
                <c:pt idx="50">
                  <c:v>375.2155771149534</c:v>
                </c:pt>
                <c:pt idx="51">
                  <c:v>379.0314417620775</c:v>
                </c:pt>
                <c:pt idx="52">
                  <c:v>382.8473064092017</c:v>
                </c:pt>
                <c:pt idx="53">
                  <c:v>386.6631710563259</c:v>
                </c:pt>
                <c:pt idx="54">
                  <c:v>390.4790357034501</c:v>
                </c:pt>
                <c:pt idx="55">
                  <c:v>394.2949003505743</c:v>
                </c:pt>
                <c:pt idx="56">
                  <c:v>398.1107649976984</c:v>
                </c:pt>
                <c:pt idx="57">
                  <c:v>401.9266296448226</c:v>
                </c:pt>
                <c:pt idx="58">
                  <c:v>405.7424942919468</c:v>
                </c:pt>
                <c:pt idx="59">
                  <c:v>409.558358939071</c:v>
                </c:pt>
                <c:pt idx="60">
                  <c:v>413.3742235861951</c:v>
                </c:pt>
                <c:pt idx="61">
                  <c:v>417.1900882333193</c:v>
                </c:pt>
                <c:pt idx="62">
                  <c:v>421.0059528804435</c:v>
                </c:pt>
                <c:pt idx="63">
                  <c:v>424.8218175275676</c:v>
                </c:pt>
                <c:pt idx="64">
                  <c:v>428.6376821746918</c:v>
                </c:pt>
                <c:pt idx="65">
                  <c:v>432.453546821816</c:v>
                </c:pt>
                <c:pt idx="66">
                  <c:v>446.3519120775495</c:v>
                </c:pt>
                <c:pt idx="67">
                  <c:v>460.250277333283</c:v>
                </c:pt>
                <c:pt idx="68">
                  <c:v>474.1486425890165</c:v>
                </c:pt>
                <c:pt idx="69">
                  <c:v>488.04700784475</c:v>
                </c:pt>
                <c:pt idx="70">
                  <c:v>501.9453731004835</c:v>
                </c:pt>
                <c:pt idx="71">
                  <c:v>515.843738356217</c:v>
                </c:pt>
                <c:pt idx="72">
                  <c:v>529.7421036119505</c:v>
                </c:pt>
                <c:pt idx="73">
                  <c:v>543.640468867684</c:v>
                </c:pt>
                <c:pt idx="74">
                  <c:v>557.5388341234174</c:v>
                </c:pt>
                <c:pt idx="75">
                  <c:v>571.437199379151</c:v>
                </c:pt>
                <c:pt idx="76">
                  <c:v>585.3355646348843</c:v>
                </c:pt>
                <c:pt idx="77">
                  <c:v>599.233929890618</c:v>
                </c:pt>
                <c:pt idx="78">
                  <c:v>613.1322951463513</c:v>
                </c:pt>
                <c:pt idx="79">
                  <c:v>627.0306604020849</c:v>
                </c:pt>
                <c:pt idx="80">
                  <c:v>640.9290256578183</c:v>
                </c:pt>
                <c:pt idx="81">
                  <c:v>654.8273909135519</c:v>
                </c:pt>
                <c:pt idx="82">
                  <c:v>668.7257561692853</c:v>
                </c:pt>
                <c:pt idx="83">
                  <c:v>682.6241214250188</c:v>
                </c:pt>
                <c:pt idx="84">
                  <c:v>696.5224866807523</c:v>
                </c:pt>
                <c:pt idx="85">
                  <c:v>710.4208519364858</c:v>
                </c:pt>
                <c:pt idx="86">
                  <c:v>724.3192171922193</c:v>
                </c:pt>
                <c:pt idx="87">
                  <c:v>738.2175824479527</c:v>
                </c:pt>
                <c:pt idx="88">
                  <c:v>804.95154812959</c:v>
                </c:pt>
                <c:pt idx="89">
                  <c:v>924.521114237131</c:v>
                </c:pt>
                <c:pt idx="90">
                  <c:v>1044.090680344672</c:v>
                </c:pt>
                <c:pt idx="91">
                  <c:v>1163.660246452213</c:v>
                </c:pt>
                <c:pt idx="92">
                  <c:v>1283.229812559754</c:v>
                </c:pt>
                <c:pt idx="93">
                  <c:v>1402.799378667296</c:v>
                </c:pt>
                <c:pt idx="94">
                  <c:v>1522.368944774837</c:v>
                </c:pt>
                <c:pt idx="95">
                  <c:v>1641.938510882378</c:v>
                </c:pt>
                <c:pt idx="96">
                  <c:v>1761.508076989919</c:v>
                </c:pt>
                <c:pt idx="97">
                  <c:v>1881.07764309746</c:v>
                </c:pt>
                <c:pt idx="98">
                  <c:v>1940.86242615123</c:v>
                </c:pt>
                <c:pt idx="99">
                  <c:v>1940.86242615123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18.51768606522839</c:v>
                </c:pt>
                <c:pt idx="27">
                  <c:v>37.03537213045678</c:v>
                </c:pt>
                <c:pt idx="28">
                  <c:v>55.55305819568517</c:v>
                </c:pt>
                <c:pt idx="29">
                  <c:v>74.07074426091357</c:v>
                </c:pt>
                <c:pt idx="30">
                  <c:v>92.58843032614196</c:v>
                </c:pt>
                <c:pt idx="31">
                  <c:v>111.1061163913703</c:v>
                </c:pt>
                <c:pt idx="32">
                  <c:v>129.6238024565988</c:v>
                </c:pt>
                <c:pt idx="33">
                  <c:v>148.1414885218271</c:v>
                </c:pt>
                <c:pt idx="34">
                  <c:v>166.6591745870555</c:v>
                </c:pt>
                <c:pt idx="35">
                  <c:v>185.176860652284</c:v>
                </c:pt>
                <c:pt idx="36">
                  <c:v>203.6945467175123</c:v>
                </c:pt>
                <c:pt idx="37">
                  <c:v>222.2122327827407</c:v>
                </c:pt>
                <c:pt idx="38">
                  <c:v>240.7299188479691</c:v>
                </c:pt>
                <c:pt idx="39">
                  <c:v>259.2476049131975</c:v>
                </c:pt>
                <c:pt idx="40">
                  <c:v>277.7652909784259</c:v>
                </c:pt>
                <c:pt idx="41">
                  <c:v>296.2829770436543</c:v>
                </c:pt>
                <c:pt idx="42">
                  <c:v>314.8006631088826</c:v>
                </c:pt>
                <c:pt idx="43">
                  <c:v>333.3183491741111</c:v>
                </c:pt>
                <c:pt idx="44">
                  <c:v>351.8360352393394</c:v>
                </c:pt>
                <c:pt idx="45">
                  <c:v>370.3537213045678</c:v>
                </c:pt>
                <c:pt idx="46">
                  <c:v>388.8714073697962</c:v>
                </c:pt>
                <c:pt idx="47">
                  <c:v>407.3890934350246</c:v>
                </c:pt>
                <c:pt idx="48">
                  <c:v>425.906779500253</c:v>
                </c:pt>
                <c:pt idx="49">
                  <c:v>444.4244655654814</c:v>
                </c:pt>
                <c:pt idx="50">
                  <c:v>462.9421516307098</c:v>
                </c:pt>
                <c:pt idx="51">
                  <c:v>481.4598376959382</c:v>
                </c:pt>
                <c:pt idx="52">
                  <c:v>499.9775237611666</c:v>
                </c:pt>
                <c:pt idx="53">
                  <c:v>518.495209826395</c:v>
                </c:pt>
                <c:pt idx="54">
                  <c:v>537.0128958916233</c:v>
                </c:pt>
                <c:pt idx="55">
                  <c:v>555.5305819568518</c:v>
                </c:pt>
                <c:pt idx="56">
                  <c:v>574.0482680220802</c:v>
                </c:pt>
                <c:pt idx="57">
                  <c:v>592.5659540873086</c:v>
                </c:pt>
                <c:pt idx="58">
                  <c:v>611.0836401525368</c:v>
                </c:pt>
                <c:pt idx="59">
                  <c:v>629.6013262177652</c:v>
                </c:pt>
                <c:pt idx="60">
                  <c:v>648.1190122829937</c:v>
                </c:pt>
                <c:pt idx="61">
                  <c:v>666.6366983482221</c:v>
                </c:pt>
                <c:pt idx="62">
                  <c:v>685.1543844134505</c:v>
                </c:pt>
                <c:pt idx="63">
                  <c:v>703.6720704786788</c:v>
                </c:pt>
                <c:pt idx="64">
                  <c:v>722.1897565439073</c:v>
                </c:pt>
                <c:pt idx="65">
                  <c:v>740.7074426091356</c:v>
                </c:pt>
                <c:pt idx="66">
                  <c:v>938.2294273049051</c:v>
                </c:pt>
                <c:pt idx="67">
                  <c:v>1135.751412000675</c:v>
                </c:pt>
                <c:pt idx="68">
                  <c:v>1333.273396696444</c:v>
                </c:pt>
                <c:pt idx="69">
                  <c:v>1530.795381392214</c:v>
                </c:pt>
                <c:pt idx="70">
                  <c:v>1728.317366087983</c:v>
                </c:pt>
                <c:pt idx="71">
                  <c:v>1925.839350783753</c:v>
                </c:pt>
                <c:pt idx="72">
                  <c:v>2123.361335479522</c:v>
                </c:pt>
                <c:pt idx="73">
                  <c:v>2320.883320175292</c:v>
                </c:pt>
                <c:pt idx="74">
                  <c:v>2518.405304871061</c:v>
                </c:pt>
                <c:pt idx="75">
                  <c:v>2715.92728956683</c:v>
                </c:pt>
                <c:pt idx="76">
                  <c:v>2913.4492742626</c:v>
                </c:pt>
                <c:pt idx="77">
                  <c:v>3110.97125895837</c:v>
                </c:pt>
                <c:pt idx="78">
                  <c:v>3308.49324365414</c:v>
                </c:pt>
                <c:pt idx="79">
                  <c:v>3506.015228349909</c:v>
                </c:pt>
                <c:pt idx="80">
                  <c:v>3703.537213045678</c:v>
                </c:pt>
                <c:pt idx="81">
                  <c:v>3901.059197741448</c:v>
                </c:pt>
                <c:pt idx="82">
                  <c:v>4098.581182437216</c:v>
                </c:pt>
                <c:pt idx="83">
                  <c:v>4296.103167132986</c:v>
                </c:pt>
                <c:pt idx="84">
                  <c:v>4493.625151828756</c:v>
                </c:pt>
                <c:pt idx="85">
                  <c:v>4691.147136524525</c:v>
                </c:pt>
                <c:pt idx="86">
                  <c:v>4888.669121220295</c:v>
                </c:pt>
                <c:pt idx="87">
                  <c:v>5086.191105916065</c:v>
                </c:pt>
                <c:pt idx="88">
                  <c:v>5653.243803646837</c:v>
                </c:pt>
                <c:pt idx="89">
                  <c:v>6589.82721441261</c:v>
                </c:pt>
                <c:pt idx="90">
                  <c:v>7526.410625178385</c:v>
                </c:pt>
                <c:pt idx="91">
                  <c:v>8462.994035944159</c:v>
                </c:pt>
                <c:pt idx="92">
                  <c:v>9399.577446709932</c:v>
                </c:pt>
                <c:pt idx="93">
                  <c:v>10336.16085747571</c:v>
                </c:pt>
                <c:pt idx="94">
                  <c:v>11272.74426824148</c:v>
                </c:pt>
                <c:pt idx="95">
                  <c:v>12209.32767900725</c:v>
                </c:pt>
                <c:pt idx="96">
                  <c:v>13145.91108977303</c:v>
                </c:pt>
                <c:pt idx="97">
                  <c:v>14082.4945005388</c:v>
                </c:pt>
                <c:pt idx="98">
                  <c:v>14550.78620592169</c:v>
                </c:pt>
                <c:pt idx="99">
                  <c:v>14550.78620592169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7.333483493238833</c:v>
                </c:pt>
                <c:pt idx="89">
                  <c:v>22.0004504797165</c:v>
                </c:pt>
                <c:pt idx="90">
                  <c:v>36.66741746619417</c:v>
                </c:pt>
                <c:pt idx="91">
                  <c:v>51.33438445267184</c:v>
                </c:pt>
                <c:pt idx="92">
                  <c:v>66.00135143914948</c:v>
                </c:pt>
                <c:pt idx="93">
                  <c:v>80.66831842562718</c:v>
                </c:pt>
                <c:pt idx="94">
                  <c:v>95.33528541210482</c:v>
                </c:pt>
                <c:pt idx="95">
                  <c:v>110.0022523985825</c:v>
                </c:pt>
                <c:pt idx="96">
                  <c:v>124.6692193850602</c:v>
                </c:pt>
                <c:pt idx="97">
                  <c:v>139.3361863715378</c:v>
                </c:pt>
                <c:pt idx="98">
                  <c:v>146.6696698647767</c:v>
                </c:pt>
                <c:pt idx="99">
                  <c:v>146.6696698647767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64.7860358081781</c:v>
                </c:pt>
                <c:pt idx="27">
                  <c:v>129.5720716163562</c:v>
                </c:pt>
                <c:pt idx="28">
                  <c:v>194.3581074245343</c:v>
                </c:pt>
                <c:pt idx="29">
                  <c:v>259.1441432327124</c:v>
                </c:pt>
                <c:pt idx="30">
                  <c:v>323.9301790408905</c:v>
                </c:pt>
                <c:pt idx="31">
                  <c:v>388.7162148490686</c:v>
                </c:pt>
                <c:pt idx="32">
                  <c:v>453.5022506572467</c:v>
                </c:pt>
                <c:pt idx="33">
                  <c:v>518.2882864654248</c:v>
                </c:pt>
                <c:pt idx="34">
                  <c:v>583.0743222736028</c:v>
                </c:pt>
                <c:pt idx="35">
                  <c:v>647.860358081781</c:v>
                </c:pt>
                <c:pt idx="36">
                  <c:v>712.6463938899591</c:v>
                </c:pt>
                <c:pt idx="37">
                  <c:v>777.4324296981372</c:v>
                </c:pt>
                <c:pt idx="38">
                  <c:v>842.2184655063152</c:v>
                </c:pt>
                <c:pt idx="39">
                  <c:v>907.0045013144934</c:v>
                </c:pt>
                <c:pt idx="40">
                  <c:v>971.7905371226713</c:v>
                </c:pt>
                <c:pt idx="41">
                  <c:v>1036.57657293085</c:v>
                </c:pt>
                <c:pt idx="42">
                  <c:v>1101.362608739028</c:v>
                </c:pt>
                <c:pt idx="43">
                  <c:v>1166.148644547206</c:v>
                </c:pt>
                <c:pt idx="44">
                  <c:v>1230.934680355384</c:v>
                </c:pt>
                <c:pt idx="45">
                  <c:v>1295.720716163562</c:v>
                </c:pt>
                <c:pt idx="46">
                  <c:v>1360.50675197174</c:v>
                </c:pt>
                <c:pt idx="47">
                  <c:v>1425.292787779918</c:v>
                </c:pt>
                <c:pt idx="48">
                  <c:v>1490.078823588096</c:v>
                </c:pt>
                <c:pt idx="49">
                  <c:v>1554.864859396274</c:v>
                </c:pt>
                <c:pt idx="50">
                  <c:v>1619.650895204453</c:v>
                </c:pt>
                <c:pt idx="51">
                  <c:v>1684.436931012631</c:v>
                </c:pt>
                <c:pt idx="52">
                  <c:v>1749.222966820809</c:v>
                </c:pt>
                <c:pt idx="53">
                  <c:v>1814.009002628987</c:v>
                </c:pt>
                <c:pt idx="54">
                  <c:v>1878.795038437165</c:v>
                </c:pt>
                <c:pt idx="55">
                  <c:v>1943.581074245343</c:v>
                </c:pt>
                <c:pt idx="56">
                  <c:v>2008.367110053521</c:v>
                </c:pt>
                <c:pt idx="57">
                  <c:v>2073.1531458617</c:v>
                </c:pt>
                <c:pt idx="58">
                  <c:v>2137.939181669877</c:v>
                </c:pt>
                <c:pt idx="59">
                  <c:v>2202.725217478056</c:v>
                </c:pt>
                <c:pt idx="60">
                  <c:v>2267.511253286233</c:v>
                </c:pt>
                <c:pt idx="61">
                  <c:v>2332.297289094412</c:v>
                </c:pt>
                <c:pt idx="62">
                  <c:v>2397.08332490259</c:v>
                </c:pt>
                <c:pt idx="63">
                  <c:v>2461.869360710768</c:v>
                </c:pt>
                <c:pt idx="64">
                  <c:v>2526.655396518946</c:v>
                </c:pt>
                <c:pt idx="65">
                  <c:v>2591.441432327124</c:v>
                </c:pt>
                <c:pt idx="66">
                  <c:v>2525.778435054102</c:v>
                </c:pt>
                <c:pt idx="67">
                  <c:v>2460.115437781081</c:v>
                </c:pt>
                <c:pt idx="68">
                  <c:v>2394.45244050806</c:v>
                </c:pt>
                <c:pt idx="69">
                  <c:v>2328.789443235038</c:v>
                </c:pt>
                <c:pt idx="70">
                  <c:v>2263.126445962017</c:v>
                </c:pt>
                <c:pt idx="71">
                  <c:v>2197.463448688995</c:v>
                </c:pt>
                <c:pt idx="72">
                  <c:v>2131.800451415973</c:v>
                </c:pt>
                <c:pt idx="73">
                  <c:v>2066.137454142952</c:v>
                </c:pt>
                <c:pt idx="74">
                  <c:v>2000.47445686993</c:v>
                </c:pt>
                <c:pt idx="75">
                  <c:v>1934.811459596909</c:v>
                </c:pt>
                <c:pt idx="76">
                  <c:v>1869.148462323888</c:v>
                </c:pt>
                <c:pt idx="77">
                  <c:v>1803.485465050866</c:v>
                </c:pt>
                <c:pt idx="78">
                  <c:v>1737.822467777844</c:v>
                </c:pt>
                <c:pt idx="79">
                  <c:v>1672.159470504823</c:v>
                </c:pt>
                <c:pt idx="80">
                  <c:v>1606.496473231801</c:v>
                </c:pt>
                <c:pt idx="81">
                  <c:v>1540.83347595878</c:v>
                </c:pt>
                <c:pt idx="82">
                  <c:v>1475.170478685758</c:v>
                </c:pt>
                <c:pt idx="83">
                  <c:v>1409.507481412737</c:v>
                </c:pt>
                <c:pt idx="84">
                  <c:v>1343.844484139715</c:v>
                </c:pt>
                <c:pt idx="85">
                  <c:v>1278.181486866694</c:v>
                </c:pt>
                <c:pt idx="86">
                  <c:v>1212.518489593672</c:v>
                </c:pt>
                <c:pt idx="87">
                  <c:v>1146.855492320651</c:v>
                </c:pt>
                <c:pt idx="88">
                  <c:v>1058.322793999933</c:v>
                </c:pt>
                <c:pt idx="89">
                  <c:v>946.9203946315191</c:v>
                </c:pt>
                <c:pt idx="90">
                  <c:v>835.5179952631051</c:v>
                </c:pt>
                <c:pt idx="91">
                  <c:v>724.1155958946911</c:v>
                </c:pt>
                <c:pt idx="92">
                  <c:v>612.713196526277</c:v>
                </c:pt>
                <c:pt idx="93">
                  <c:v>501.310797157863</c:v>
                </c:pt>
                <c:pt idx="94">
                  <c:v>389.9083977894491</c:v>
                </c:pt>
                <c:pt idx="95">
                  <c:v>278.505998421035</c:v>
                </c:pt>
                <c:pt idx="96">
                  <c:v>167.1035990526211</c:v>
                </c:pt>
                <c:pt idx="97">
                  <c:v>55.70119968420704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2288.621396008316</c:v>
                </c:pt>
                <c:pt idx="89">
                  <c:v>6865.864188024948</c:v>
                </c:pt>
                <c:pt idx="90">
                  <c:v>11443.10698004158</c:v>
                </c:pt>
                <c:pt idx="91">
                  <c:v>16020.34977205821</c:v>
                </c:pt>
                <c:pt idx="92">
                  <c:v>20597.59256407485</c:v>
                </c:pt>
                <c:pt idx="93">
                  <c:v>25174.83535609148</c:v>
                </c:pt>
                <c:pt idx="94">
                  <c:v>29752.07814810811</c:v>
                </c:pt>
                <c:pt idx="95">
                  <c:v>34329.32094012475</c:v>
                </c:pt>
                <c:pt idx="96">
                  <c:v>38906.56373214138</c:v>
                </c:pt>
                <c:pt idx="97">
                  <c:v>43483.806524158</c:v>
                </c:pt>
                <c:pt idx="98">
                  <c:v>45772.42792016633</c:v>
                </c:pt>
                <c:pt idx="99">
                  <c:v>45772.42792016633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28.24564381149504</c:v>
                </c:pt>
                <c:pt idx="67">
                  <c:v>56.49128762299008</c:v>
                </c:pt>
                <c:pt idx="68">
                  <c:v>84.73693143448511</c:v>
                </c:pt>
                <c:pt idx="69">
                  <c:v>112.9825752459802</c:v>
                </c:pt>
                <c:pt idx="70">
                  <c:v>141.2282190574751</c:v>
                </c:pt>
                <c:pt idx="71">
                  <c:v>169.4738628689702</c:v>
                </c:pt>
                <c:pt idx="72">
                  <c:v>197.7195066804653</c:v>
                </c:pt>
                <c:pt idx="73">
                  <c:v>225.9651504919603</c:v>
                </c:pt>
                <c:pt idx="74">
                  <c:v>254.2107943034553</c:v>
                </c:pt>
                <c:pt idx="75">
                  <c:v>282.4564381149503</c:v>
                </c:pt>
                <c:pt idx="76">
                  <c:v>310.7020819264454</c:v>
                </c:pt>
                <c:pt idx="77">
                  <c:v>338.9477257379405</c:v>
                </c:pt>
                <c:pt idx="78">
                  <c:v>367.1933695494355</c:v>
                </c:pt>
                <c:pt idx="79">
                  <c:v>395.4390133609306</c:v>
                </c:pt>
                <c:pt idx="80">
                  <c:v>423.6846571724255</c:v>
                </c:pt>
                <c:pt idx="81">
                  <c:v>451.9303009839206</c:v>
                </c:pt>
                <c:pt idx="82">
                  <c:v>480.1759447954157</c:v>
                </c:pt>
                <c:pt idx="83">
                  <c:v>508.4215886069107</c:v>
                </c:pt>
                <c:pt idx="84">
                  <c:v>536.6672324184058</c:v>
                </c:pt>
                <c:pt idx="85">
                  <c:v>564.9128762299007</c:v>
                </c:pt>
                <c:pt idx="86">
                  <c:v>593.1585200413958</c:v>
                </c:pt>
                <c:pt idx="87">
                  <c:v>621.4041638528909</c:v>
                </c:pt>
                <c:pt idx="88">
                  <c:v>603.7506364707064</c:v>
                </c:pt>
                <c:pt idx="89">
                  <c:v>540.1979378948427</c:v>
                </c:pt>
                <c:pt idx="90">
                  <c:v>476.6452393189788</c:v>
                </c:pt>
                <c:pt idx="91">
                  <c:v>413.0925407431149</c:v>
                </c:pt>
                <c:pt idx="92">
                  <c:v>349.5398421672511</c:v>
                </c:pt>
                <c:pt idx="93">
                  <c:v>285.9871435913873</c:v>
                </c:pt>
                <c:pt idx="94">
                  <c:v>222.4344450155235</c:v>
                </c:pt>
                <c:pt idx="95">
                  <c:v>158.8817464396596</c:v>
                </c:pt>
                <c:pt idx="96">
                  <c:v>95.32904786379572</c:v>
                </c:pt>
                <c:pt idx="97">
                  <c:v>31.77634928793191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142.2158289809541</c:v>
                </c:pt>
                <c:pt idx="67">
                  <c:v>284.4316579619081</c:v>
                </c:pt>
                <c:pt idx="68">
                  <c:v>426.6474869428621</c:v>
                </c:pt>
                <c:pt idx="69">
                  <c:v>568.8633159238162</c:v>
                </c:pt>
                <c:pt idx="70">
                  <c:v>711.0791449047702</c:v>
                </c:pt>
                <c:pt idx="71">
                  <c:v>853.2949738857243</c:v>
                </c:pt>
                <c:pt idx="72">
                  <c:v>995.5108028666784</c:v>
                </c:pt>
                <c:pt idx="73">
                  <c:v>1137.726631847632</c:v>
                </c:pt>
                <c:pt idx="74">
                  <c:v>1279.942460828586</c:v>
                </c:pt>
                <c:pt idx="75">
                  <c:v>1422.158289809541</c:v>
                </c:pt>
                <c:pt idx="76">
                  <c:v>1564.374118790495</c:v>
                </c:pt>
                <c:pt idx="77">
                  <c:v>1706.589947771449</c:v>
                </c:pt>
                <c:pt idx="78">
                  <c:v>1848.805776752403</c:v>
                </c:pt>
                <c:pt idx="79">
                  <c:v>1991.021605733357</c:v>
                </c:pt>
                <c:pt idx="80">
                  <c:v>2133.237434714311</c:v>
                </c:pt>
                <c:pt idx="81">
                  <c:v>2275.453263695265</c:v>
                </c:pt>
                <c:pt idx="82">
                  <c:v>2417.669092676219</c:v>
                </c:pt>
                <c:pt idx="83">
                  <c:v>2559.884921657173</c:v>
                </c:pt>
                <c:pt idx="84">
                  <c:v>2702.100750638127</c:v>
                </c:pt>
                <c:pt idx="85">
                  <c:v>2844.316579619081</c:v>
                </c:pt>
                <c:pt idx="86">
                  <c:v>2986.532408600035</c:v>
                </c:pt>
                <c:pt idx="87">
                  <c:v>3128.74823758099</c:v>
                </c:pt>
                <c:pt idx="88">
                  <c:v>3039.863344467893</c:v>
                </c:pt>
                <c:pt idx="89">
                  <c:v>2719.877729260746</c:v>
                </c:pt>
                <c:pt idx="90">
                  <c:v>2399.8921140536</c:v>
                </c:pt>
                <c:pt idx="91">
                  <c:v>2079.906498846453</c:v>
                </c:pt>
                <c:pt idx="92">
                  <c:v>1759.920883639306</c:v>
                </c:pt>
                <c:pt idx="93">
                  <c:v>1439.93526843216</c:v>
                </c:pt>
                <c:pt idx="94">
                  <c:v>1119.949653225013</c:v>
                </c:pt>
                <c:pt idx="95">
                  <c:v>799.9640380178666</c:v>
                </c:pt>
                <c:pt idx="96">
                  <c:v>479.9784228107201</c:v>
                </c:pt>
                <c:pt idx="97">
                  <c:v>159.9928076035731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1491.587448092903</c:v>
                </c:pt>
                <c:pt idx="4">
                  <c:v>1491.587448092903</c:v>
                </c:pt>
                <c:pt idx="5">
                  <c:v>1491.587448092903</c:v>
                </c:pt>
                <c:pt idx="6">
                  <c:v>1491.587448092903</c:v>
                </c:pt>
                <c:pt idx="7">
                  <c:v>1491.587448092903</c:v>
                </c:pt>
                <c:pt idx="8">
                  <c:v>1491.587448092903</c:v>
                </c:pt>
                <c:pt idx="9">
                  <c:v>1491.587448092903</c:v>
                </c:pt>
                <c:pt idx="10">
                  <c:v>1491.587448092903</c:v>
                </c:pt>
                <c:pt idx="11">
                  <c:v>1491.587448092903</c:v>
                </c:pt>
                <c:pt idx="12">
                  <c:v>1491.587448092903</c:v>
                </c:pt>
                <c:pt idx="13">
                  <c:v>1491.587448092903</c:v>
                </c:pt>
                <c:pt idx="14">
                  <c:v>1491.587448092903</c:v>
                </c:pt>
                <c:pt idx="15">
                  <c:v>1491.587448092903</c:v>
                </c:pt>
                <c:pt idx="16">
                  <c:v>1491.587448092903</c:v>
                </c:pt>
                <c:pt idx="17">
                  <c:v>1491.587448092903</c:v>
                </c:pt>
                <c:pt idx="18">
                  <c:v>1491.587448092903</c:v>
                </c:pt>
                <c:pt idx="19">
                  <c:v>1491.587448092903</c:v>
                </c:pt>
                <c:pt idx="20">
                  <c:v>1491.587448092903</c:v>
                </c:pt>
                <c:pt idx="21">
                  <c:v>1491.587448092903</c:v>
                </c:pt>
                <c:pt idx="22">
                  <c:v>1491.587448092903</c:v>
                </c:pt>
                <c:pt idx="23">
                  <c:v>1491.587448092903</c:v>
                </c:pt>
                <c:pt idx="24">
                  <c:v>1491.587448092903</c:v>
                </c:pt>
                <c:pt idx="25">
                  <c:v>1491.587448092903</c:v>
                </c:pt>
                <c:pt idx="26">
                  <c:v>1491.587448092903</c:v>
                </c:pt>
                <c:pt idx="27">
                  <c:v>1491.587448092903</c:v>
                </c:pt>
                <c:pt idx="28">
                  <c:v>1491.587448092903</c:v>
                </c:pt>
                <c:pt idx="29">
                  <c:v>1491.587448092903</c:v>
                </c:pt>
                <c:pt idx="30">
                  <c:v>1491.587448092903</c:v>
                </c:pt>
                <c:pt idx="31">
                  <c:v>1491.587448092903</c:v>
                </c:pt>
                <c:pt idx="32">
                  <c:v>1491.587448092903</c:v>
                </c:pt>
                <c:pt idx="33">
                  <c:v>1491.587448092903</c:v>
                </c:pt>
                <c:pt idx="34">
                  <c:v>1491.587448092903</c:v>
                </c:pt>
                <c:pt idx="35">
                  <c:v>1491.587448092903</c:v>
                </c:pt>
                <c:pt idx="36">
                  <c:v>1491.587448092903</c:v>
                </c:pt>
                <c:pt idx="37">
                  <c:v>1491.587448092903</c:v>
                </c:pt>
                <c:pt idx="38">
                  <c:v>1491.587448092903</c:v>
                </c:pt>
                <c:pt idx="39">
                  <c:v>1491.587448092903</c:v>
                </c:pt>
                <c:pt idx="40">
                  <c:v>1491.587448092903</c:v>
                </c:pt>
                <c:pt idx="41">
                  <c:v>1491.587448092903</c:v>
                </c:pt>
                <c:pt idx="42">
                  <c:v>1491.587448092903</c:v>
                </c:pt>
                <c:pt idx="43">
                  <c:v>1491.587448092903</c:v>
                </c:pt>
                <c:pt idx="44">
                  <c:v>1491.587448092903</c:v>
                </c:pt>
                <c:pt idx="45">
                  <c:v>1491.587448092903</c:v>
                </c:pt>
                <c:pt idx="46">
                  <c:v>1491.587448092903</c:v>
                </c:pt>
                <c:pt idx="47">
                  <c:v>1491.587448092903</c:v>
                </c:pt>
                <c:pt idx="48">
                  <c:v>1491.587448092903</c:v>
                </c:pt>
                <c:pt idx="49">
                  <c:v>1491.587448092903</c:v>
                </c:pt>
                <c:pt idx="50">
                  <c:v>1491.587448092903</c:v>
                </c:pt>
                <c:pt idx="51">
                  <c:v>1491.587448092903</c:v>
                </c:pt>
                <c:pt idx="52">
                  <c:v>1491.587448092903</c:v>
                </c:pt>
                <c:pt idx="53">
                  <c:v>1491.587448092903</c:v>
                </c:pt>
                <c:pt idx="54">
                  <c:v>1491.587448092903</c:v>
                </c:pt>
                <c:pt idx="55">
                  <c:v>1491.587448092903</c:v>
                </c:pt>
                <c:pt idx="56">
                  <c:v>1491.587448092903</c:v>
                </c:pt>
                <c:pt idx="57">
                  <c:v>1491.587448092903</c:v>
                </c:pt>
                <c:pt idx="58">
                  <c:v>1491.587448092903</c:v>
                </c:pt>
                <c:pt idx="59">
                  <c:v>1491.587448092903</c:v>
                </c:pt>
                <c:pt idx="60">
                  <c:v>1491.587448092903</c:v>
                </c:pt>
                <c:pt idx="61">
                  <c:v>1491.587448092903</c:v>
                </c:pt>
                <c:pt idx="62">
                  <c:v>1491.587448092903</c:v>
                </c:pt>
                <c:pt idx="63">
                  <c:v>1491.587448092903</c:v>
                </c:pt>
                <c:pt idx="64">
                  <c:v>1491.587448092903</c:v>
                </c:pt>
                <c:pt idx="65">
                  <c:v>1491.587448092903</c:v>
                </c:pt>
                <c:pt idx="66">
                  <c:v>1491.587448092903</c:v>
                </c:pt>
                <c:pt idx="67">
                  <c:v>1491.587448092903</c:v>
                </c:pt>
                <c:pt idx="68">
                  <c:v>1491.587448092903</c:v>
                </c:pt>
                <c:pt idx="69">
                  <c:v>1491.587448092903</c:v>
                </c:pt>
                <c:pt idx="70">
                  <c:v>1491.587448092903</c:v>
                </c:pt>
                <c:pt idx="71">
                  <c:v>1491.587448092903</c:v>
                </c:pt>
                <c:pt idx="72">
                  <c:v>1491.587448092903</c:v>
                </c:pt>
                <c:pt idx="73">
                  <c:v>1491.587448092903</c:v>
                </c:pt>
                <c:pt idx="74">
                  <c:v>1491.587448092903</c:v>
                </c:pt>
                <c:pt idx="75">
                  <c:v>1491.587448092903</c:v>
                </c:pt>
                <c:pt idx="76">
                  <c:v>1491.587448092903</c:v>
                </c:pt>
                <c:pt idx="77">
                  <c:v>1491.587448092903</c:v>
                </c:pt>
                <c:pt idx="78">
                  <c:v>1491.587448092903</c:v>
                </c:pt>
                <c:pt idx="79">
                  <c:v>1491.587448092903</c:v>
                </c:pt>
                <c:pt idx="80">
                  <c:v>1491.587448092903</c:v>
                </c:pt>
                <c:pt idx="81">
                  <c:v>1491.587448092903</c:v>
                </c:pt>
                <c:pt idx="82">
                  <c:v>1491.587448092903</c:v>
                </c:pt>
                <c:pt idx="83">
                  <c:v>1491.587448092903</c:v>
                </c:pt>
                <c:pt idx="84">
                  <c:v>1491.587448092903</c:v>
                </c:pt>
                <c:pt idx="85">
                  <c:v>1491.587448092903</c:v>
                </c:pt>
                <c:pt idx="86">
                  <c:v>1491.587448092903</c:v>
                </c:pt>
                <c:pt idx="87">
                  <c:v>1491.587448092903</c:v>
                </c:pt>
                <c:pt idx="88">
                  <c:v>1483.300851159054</c:v>
                </c:pt>
                <c:pt idx="89">
                  <c:v>1466.727657291355</c:v>
                </c:pt>
                <c:pt idx="90">
                  <c:v>1450.154463423656</c:v>
                </c:pt>
                <c:pt idx="91">
                  <c:v>1433.581269555957</c:v>
                </c:pt>
                <c:pt idx="92">
                  <c:v>1417.008075688258</c:v>
                </c:pt>
                <c:pt idx="93">
                  <c:v>1400.434881820559</c:v>
                </c:pt>
                <c:pt idx="94">
                  <c:v>1383.86168795286</c:v>
                </c:pt>
                <c:pt idx="95">
                  <c:v>1367.288494085161</c:v>
                </c:pt>
                <c:pt idx="96">
                  <c:v>1350.715300217462</c:v>
                </c:pt>
                <c:pt idx="97">
                  <c:v>1334.142106349763</c:v>
                </c:pt>
                <c:pt idx="98">
                  <c:v>1325.855509415914</c:v>
                </c:pt>
                <c:pt idx="99">
                  <c:v>1325.855509415914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32620.75577250633</c:v>
                </c:pt>
                <c:pt idx="4">
                  <c:v>32620.75577250633</c:v>
                </c:pt>
                <c:pt idx="5">
                  <c:v>32620.75577250633</c:v>
                </c:pt>
                <c:pt idx="6">
                  <c:v>32620.75577250633</c:v>
                </c:pt>
                <c:pt idx="7">
                  <c:v>32620.75577250633</c:v>
                </c:pt>
                <c:pt idx="8">
                  <c:v>32620.75577250633</c:v>
                </c:pt>
                <c:pt idx="9">
                  <c:v>32620.75577250633</c:v>
                </c:pt>
                <c:pt idx="10">
                  <c:v>32620.75577250633</c:v>
                </c:pt>
                <c:pt idx="11">
                  <c:v>32620.75577250633</c:v>
                </c:pt>
                <c:pt idx="12">
                  <c:v>32620.75577250633</c:v>
                </c:pt>
                <c:pt idx="13">
                  <c:v>32620.75577250633</c:v>
                </c:pt>
                <c:pt idx="14">
                  <c:v>32620.75577250633</c:v>
                </c:pt>
                <c:pt idx="15">
                  <c:v>32620.75577250633</c:v>
                </c:pt>
                <c:pt idx="16">
                  <c:v>32620.75577250633</c:v>
                </c:pt>
                <c:pt idx="17">
                  <c:v>32620.75577250633</c:v>
                </c:pt>
                <c:pt idx="18">
                  <c:v>32620.75577250633</c:v>
                </c:pt>
                <c:pt idx="19">
                  <c:v>32620.75577250633</c:v>
                </c:pt>
                <c:pt idx="20">
                  <c:v>32620.75577250633</c:v>
                </c:pt>
                <c:pt idx="21">
                  <c:v>32620.75577250633</c:v>
                </c:pt>
                <c:pt idx="22">
                  <c:v>32620.75577250633</c:v>
                </c:pt>
                <c:pt idx="23">
                  <c:v>32620.75577250633</c:v>
                </c:pt>
                <c:pt idx="24">
                  <c:v>32620.75577250633</c:v>
                </c:pt>
                <c:pt idx="25">
                  <c:v>32620.75577250633</c:v>
                </c:pt>
                <c:pt idx="26">
                  <c:v>32620.75577250633</c:v>
                </c:pt>
                <c:pt idx="27">
                  <c:v>32620.75577250633</c:v>
                </c:pt>
                <c:pt idx="28">
                  <c:v>32620.75577250633</c:v>
                </c:pt>
                <c:pt idx="29">
                  <c:v>32620.75577250633</c:v>
                </c:pt>
                <c:pt idx="30">
                  <c:v>32620.75577250633</c:v>
                </c:pt>
                <c:pt idx="31">
                  <c:v>32620.75577250633</c:v>
                </c:pt>
                <c:pt idx="32">
                  <c:v>32620.75577250633</c:v>
                </c:pt>
                <c:pt idx="33">
                  <c:v>32620.75577250633</c:v>
                </c:pt>
                <c:pt idx="34">
                  <c:v>32620.75577250633</c:v>
                </c:pt>
                <c:pt idx="35">
                  <c:v>32620.75577250633</c:v>
                </c:pt>
                <c:pt idx="36">
                  <c:v>32620.75577250633</c:v>
                </c:pt>
                <c:pt idx="37">
                  <c:v>32620.75577250633</c:v>
                </c:pt>
                <c:pt idx="38">
                  <c:v>32620.75577250633</c:v>
                </c:pt>
                <c:pt idx="39">
                  <c:v>32620.75577250633</c:v>
                </c:pt>
                <c:pt idx="40">
                  <c:v>32620.75577250633</c:v>
                </c:pt>
                <c:pt idx="41">
                  <c:v>32620.75577250633</c:v>
                </c:pt>
                <c:pt idx="42">
                  <c:v>32620.75577250633</c:v>
                </c:pt>
                <c:pt idx="43">
                  <c:v>32620.75577250633</c:v>
                </c:pt>
                <c:pt idx="44">
                  <c:v>32620.75577250633</c:v>
                </c:pt>
                <c:pt idx="45">
                  <c:v>32620.75577250633</c:v>
                </c:pt>
                <c:pt idx="46">
                  <c:v>32620.75577250633</c:v>
                </c:pt>
                <c:pt idx="47">
                  <c:v>32620.75577250633</c:v>
                </c:pt>
                <c:pt idx="48">
                  <c:v>32620.75577250633</c:v>
                </c:pt>
                <c:pt idx="49">
                  <c:v>32620.75577250633</c:v>
                </c:pt>
                <c:pt idx="50">
                  <c:v>32620.75577250633</c:v>
                </c:pt>
                <c:pt idx="51">
                  <c:v>32620.75577250633</c:v>
                </c:pt>
                <c:pt idx="52">
                  <c:v>32620.75577250633</c:v>
                </c:pt>
                <c:pt idx="53">
                  <c:v>32620.75577250633</c:v>
                </c:pt>
                <c:pt idx="54">
                  <c:v>32620.75577250633</c:v>
                </c:pt>
                <c:pt idx="55">
                  <c:v>32620.75577250633</c:v>
                </c:pt>
                <c:pt idx="56">
                  <c:v>32620.75577250633</c:v>
                </c:pt>
                <c:pt idx="57">
                  <c:v>32620.75577250633</c:v>
                </c:pt>
                <c:pt idx="58">
                  <c:v>32620.75577250633</c:v>
                </c:pt>
                <c:pt idx="59">
                  <c:v>32620.75577250633</c:v>
                </c:pt>
                <c:pt idx="60">
                  <c:v>32620.75577250633</c:v>
                </c:pt>
                <c:pt idx="61">
                  <c:v>32620.75577250633</c:v>
                </c:pt>
                <c:pt idx="62">
                  <c:v>32620.75577250633</c:v>
                </c:pt>
                <c:pt idx="63">
                  <c:v>32620.75577250633</c:v>
                </c:pt>
                <c:pt idx="64">
                  <c:v>32620.75577250633</c:v>
                </c:pt>
                <c:pt idx="65">
                  <c:v>32620.75577250633</c:v>
                </c:pt>
                <c:pt idx="66">
                  <c:v>32620.75577250633</c:v>
                </c:pt>
                <c:pt idx="67">
                  <c:v>32620.75577250633</c:v>
                </c:pt>
                <c:pt idx="68">
                  <c:v>32620.75577250633</c:v>
                </c:pt>
                <c:pt idx="69">
                  <c:v>32620.75577250633</c:v>
                </c:pt>
                <c:pt idx="70">
                  <c:v>32620.75577250633</c:v>
                </c:pt>
                <c:pt idx="71">
                  <c:v>32620.75577250633</c:v>
                </c:pt>
                <c:pt idx="72">
                  <c:v>32620.75577250633</c:v>
                </c:pt>
                <c:pt idx="73">
                  <c:v>32620.75577250633</c:v>
                </c:pt>
                <c:pt idx="74">
                  <c:v>32620.75577250633</c:v>
                </c:pt>
                <c:pt idx="75">
                  <c:v>32620.75577250633</c:v>
                </c:pt>
                <c:pt idx="76">
                  <c:v>32620.75577250633</c:v>
                </c:pt>
                <c:pt idx="77">
                  <c:v>32620.75577250633</c:v>
                </c:pt>
                <c:pt idx="78">
                  <c:v>32620.75577250633</c:v>
                </c:pt>
                <c:pt idx="79">
                  <c:v>32620.75577250633</c:v>
                </c:pt>
                <c:pt idx="80">
                  <c:v>32620.75577250633</c:v>
                </c:pt>
                <c:pt idx="81">
                  <c:v>32620.75577250633</c:v>
                </c:pt>
                <c:pt idx="82">
                  <c:v>32620.75577250633</c:v>
                </c:pt>
                <c:pt idx="83">
                  <c:v>32620.75577250633</c:v>
                </c:pt>
                <c:pt idx="84">
                  <c:v>32620.75577250633</c:v>
                </c:pt>
                <c:pt idx="85">
                  <c:v>32620.75577250633</c:v>
                </c:pt>
                <c:pt idx="86">
                  <c:v>32620.75577250633</c:v>
                </c:pt>
                <c:pt idx="87">
                  <c:v>32620.75577250633</c:v>
                </c:pt>
                <c:pt idx="88">
                  <c:v>31395.42814044613</c:v>
                </c:pt>
                <c:pt idx="89">
                  <c:v>28944.77287632571</c:v>
                </c:pt>
                <c:pt idx="90">
                  <c:v>26494.1176122053</c:v>
                </c:pt>
                <c:pt idx="91">
                  <c:v>24043.46234808489</c:v>
                </c:pt>
                <c:pt idx="92">
                  <c:v>21592.80708396448</c:v>
                </c:pt>
                <c:pt idx="93">
                  <c:v>19142.15181984407</c:v>
                </c:pt>
                <c:pt idx="94">
                  <c:v>16691.49655572365</c:v>
                </c:pt>
                <c:pt idx="95">
                  <c:v>14240.84129160324</c:v>
                </c:pt>
                <c:pt idx="96">
                  <c:v>11790.18602748283</c:v>
                </c:pt>
                <c:pt idx="97">
                  <c:v>9339.530763362417</c:v>
                </c:pt>
                <c:pt idx="98">
                  <c:v>8114.203131302213</c:v>
                </c:pt>
                <c:pt idx="99">
                  <c:v>8114.203131302213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9236472"/>
        <c:axId val="2139230840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29831.10902214856</c:v>
                </c:pt>
                <c:pt idx="4">
                  <c:v>29831.10902214856</c:v>
                </c:pt>
                <c:pt idx="5">
                  <c:v>29831.10902214856</c:v>
                </c:pt>
                <c:pt idx="6">
                  <c:v>29831.10902214856</c:v>
                </c:pt>
                <c:pt idx="7">
                  <c:v>29831.10902214856</c:v>
                </c:pt>
                <c:pt idx="8">
                  <c:v>29831.10902214856</c:v>
                </c:pt>
                <c:pt idx="9">
                  <c:v>29831.10902214856</c:v>
                </c:pt>
                <c:pt idx="10">
                  <c:v>29831.10902214856</c:v>
                </c:pt>
                <c:pt idx="11">
                  <c:v>29831.10902214856</c:v>
                </c:pt>
                <c:pt idx="12">
                  <c:v>29831.10902214856</c:v>
                </c:pt>
                <c:pt idx="13">
                  <c:v>29831.10902214856</c:v>
                </c:pt>
                <c:pt idx="14">
                  <c:v>29831.10902214856</c:v>
                </c:pt>
                <c:pt idx="15">
                  <c:v>29831.10902214856</c:v>
                </c:pt>
                <c:pt idx="16">
                  <c:v>29831.10902214856</c:v>
                </c:pt>
                <c:pt idx="17">
                  <c:v>29831.10902214856</c:v>
                </c:pt>
                <c:pt idx="18">
                  <c:v>29831.10902214856</c:v>
                </c:pt>
                <c:pt idx="19">
                  <c:v>29831.10902214856</c:v>
                </c:pt>
                <c:pt idx="20">
                  <c:v>29831.10902214856</c:v>
                </c:pt>
                <c:pt idx="21">
                  <c:v>29831.10902214856</c:v>
                </c:pt>
                <c:pt idx="22">
                  <c:v>29831.10902214856</c:v>
                </c:pt>
                <c:pt idx="23">
                  <c:v>29831.10902214856</c:v>
                </c:pt>
                <c:pt idx="24">
                  <c:v>29831.10902214856</c:v>
                </c:pt>
                <c:pt idx="25">
                  <c:v>29831.10902214856</c:v>
                </c:pt>
                <c:pt idx="26">
                  <c:v>29831.10902214856</c:v>
                </c:pt>
                <c:pt idx="27">
                  <c:v>29831.10902214856</c:v>
                </c:pt>
                <c:pt idx="28">
                  <c:v>29831.10902214856</c:v>
                </c:pt>
                <c:pt idx="29">
                  <c:v>29831.10902214856</c:v>
                </c:pt>
                <c:pt idx="30">
                  <c:v>29831.10902214856</c:v>
                </c:pt>
                <c:pt idx="31">
                  <c:v>29831.10902214856</c:v>
                </c:pt>
                <c:pt idx="32">
                  <c:v>29831.10902214856</c:v>
                </c:pt>
                <c:pt idx="33">
                  <c:v>29831.10902214856</c:v>
                </c:pt>
                <c:pt idx="34">
                  <c:v>29831.10902214856</c:v>
                </c:pt>
                <c:pt idx="35">
                  <c:v>29831.10902214856</c:v>
                </c:pt>
                <c:pt idx="36">
                  <c:v>29831.10902214856</c:v>
                </c:pt>
                <c:pt idx="37">
                  <c:v>29831.10902214856</c:v>
                </c:pt>
                <c:pt idx="38">
                  <c:v>29831.10902214856</c:v>
                </c:pt>
                <c:pt idx="39">
                  <c:v>29831.10902214856</c:v>
                </c:pt>
                <c:pt idx="40">
                  <c:v>29831.10902214856</c:v>
                </c:pt>
                <c:pt idx="41">
                  <c:v>29831.10902214856</c:v>
                </c:pt>
                <c:pt idx="42">
                  <c:v>29831.10902214856</c:v>
                </c:pt>
                <c:pt idx="43">
                  <c:v>29831.10902214856</c:v>
                </c:pt>
                <c:pt idx="44">
                  <c:v>29831.10902214856</c:v>
                </c:pt>
                <c:pt idx="45">
                  <c:v>29831.10902214856</c:v>
                </c:pt>
                <c:pt idx="46">
                  <c:v>29831.10902214856</c:v>
                </c:pt>
                <c:pt idx="47">
                  <c:v>29831.10902214856</c:v>
                </c:pt>
                <c:pt idx="48">
                  <c:v>29831.10902214856</c:v>
                </c:pt>
                <c:pt idx="49">
                  <c:v>29831.10902214856</c:v>
                </c:pt>
                <c:pt idx="50">
                  <c:v>29831.10902214856</c:v>
                </c:pt>
                <c:pt idx="51">
                  <c:v>29831.10902214856</c:v>
                </c:pt>
                <c:pt idx="52">
                  <c:v>29831.10902214856</c:v>
                </c:pt>
                <c:pt idx="53">
                  <c:v>29831.10902214856</c:v>
                </c:pt>
                <c:pt idx="54">
                  <c:v>29831.10902214856</c:v>
                </c:pt>
                <c:pt idx="55">
                  <c:v>29831.10902214856</c:v>
                </c:pt>
                <c:pt idx="56">
                  <c:v>29831.10902214856</c:v>
                </c:pt>
                <c:pt idx="57">
                  <c:v>29831.10902214856</c:v>
                </c:pt>
                <c:pt idx="58">
                  <c:v>29831.10902214856</c:v>
                </c:pt>
                <c:pt idx="59">
                  <c:v>29831.10902214856</c:v>
                </c:pt>
                <c:pt idx="60">
                  <c:v>29831.10902214856</c:v>
                </c:pt>
                <c:pt idx="61">
                  <c:v>29831.10902214856</c:v>
                </c:pt>
                <c:pt idx="62">
                  <c:v>29831.10902214856</c:v>
                </c:pt>
                <c:pt idx="63">
                  <c:v>29831.10902214856</c:v>
                </c:pt>
                <c:pt idx="64">
                  <c:v>29831.10902214856</c:v>
                </c:pt>
                <c:pt idx="65">
                  <c:v>29831.10902214856</c:v>
                </c:pt>
                <c:pt idx="66">
                  <c:v>29831.10902214856</c:v>
                </c:pt>
                <c:pt idx="67">
                  <c:v>29831.10902214856</c:v>
                </c:pt>
                <c:pt idx="68">
                  <c:v>29831.10902214856</c:v>
                </c:pt>
                <c:pt idx="69">
                  <c:v>29831.10902214856</c:v>
                </c:pt>
                <c:pt idx="70">
                  <c:v>29831.10902214856</c:v>
                </c:pt>
                <c:pt idx="71">
                  <c:v>29831.10902214856</c:v>
                </c:pt>
                <c:pt idx="72">
                  <c:v>29831.10902214856</c:v>
                </c:pt>
                <c:pt idx="73">
                  <c:v>29831.10902214856</c:v>
                </c:pt>
                <c:pt idx="74">
                  <c:v>29831.10902214856</c:v>
                </c:pt>
                <c:pt idx="75">
                  <c:v>29831.10902214856</c:v>
                </c:pt>
                <c:pt idx="76">
                  <c:v>29831.10902214856</c:v>
                </c:pt>
                <c:pt idx="77">
                  <c:v>29831.10902214856</c:v>
                </c:pt>
                <c:pt idx="78">
                  <c:v>29831.10902214856</c:v>
                </c:pt>
                <c:pt idx="79">
                  <c:v>29831.10902214856</c:v>
                </c:pt>
                <c:pt idx="80">
                  <c:v>29831.10902214856</c:v>
                </c:pt>
                <c:pt idx="81">
                  <c:v>29831.10902214856</c:v>
                </c:pt>
                <c:pt idx="82">
                  <c:v>29831.10902214856</c:v>
                </c:pt>
                <c:pt idx="83">
                  <c:v>29831.10902214856</c:v>
                </c:pt>
                <c:pt idx="84">
                  <c:v>29831.10902214856</c:v>
                </c:pt>
                <c:pt idx="85">
                  <c:v>29831.10902214856</c:v>
                </c:pt>
                <c:pt idx="86">
                  <c:v>29831.10902214856</c:v>
                </c:pt>
                <c:pt idx="87">
                  <c:v>29831.10902214856</c:v>
                </c:pt>
                <c:pt idx="88">
                  <c:v>29831.10902214856</c:v>
                </c:pt>
                <c:pt idx="89">
                  <c:v>29831.10902214856</c:v>
                </c:pt>
                <c:pt idx="90">
                  <c:v>29831.10902214856</c:v>
                </c:pt>
                <c:pt idx="91">
                  <c:v>29831.10902214856</c:v>
                </c:pt>
                <c:pt idx="92">
                  <c:v>29831.10902214856</c:v>
                </c:pt>
                <c:pt idx="93">
                  <c:v>29831.10902214856</c:v>
                </c:pt>
                <c:pt idx="94">
                  <c:v>29831.10902214856</c:v>
                </c:pt>
                <c:pt idx="95">
                  <c:v>29831.10902214857</c:v>
                </c:pt>
                <c:pt idx="96">
                  <c:v>29831.10902214857</c:v>
                </c:pt>
                <c:pt idx="97">
                  <c:v>29831.10902214857</c:v>
                </c:pt>
                <c:pt idx="98">
                  <c:v>29831.10902214857</c:v>
                </c:pt>
                <c:pt idx="99">
                  <c:v>29831.10902214857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236472"/>
        <c:axId val="2139230840"/>
      </c:lineChart>
      <c:catAx>
        <c:axId val="213923647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923084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392308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923647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76.2942816133461</c:v>
                </c:pt>
                <c:pt idx="2">
                  <c:v>6.898046121776224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340.26</c:v>
                </c:pt>
                <c:pt idx="1">
                  <c:v>183.3662424592393</c:v>
                </c:pt>
                <c:pt idx="2">
                  <c:v>223.907629818046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14.66696698647767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28.24564381149504</c:v>
                </c:pt>
                <c:pt idx="2">
                  <c:v>-63.55269857586384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-16.57319386769891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-2450.655264120412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647320"/>
        <c:axId val="2084023352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13.89836525573349</c:v>
                </c:pt>
                <c:pt idx="2">
                  <c:v>119.5695661075411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197.5219846957695</c:v>
                </c:pt>
                <c:pt idx="2">
                  <c:v>936.583410765774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-65.6629972730215</c:v>
                </c:pt>
                <c:pt idx="2">
                  <c:v>-111.402399368414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4577.242792016633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142.2158289809541</c:v>
                </c:pt>
                <c:pt idx="2">
                  <c:v>-319.9856152071466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516072"/>
        <c:axId val="2083931336"/>
      </c:scatterChart>
      <c:valAx>
        <c:axId val="2083647320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4023352"/>
        <c:crosses val="autoZero"/>
        <c:crossBetween val="midCat"/>
      </c:valAx>
      <c:valAx>
        <c:axId val="208402335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647320"/>
        <c:crosses val="autoZero"/>
        <c:crossBetween val="midCat"/>
      </c:valAx>
      <c:valAx>
        <c:axId val="208451607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2083931336"/>
        <c:crosses val="autoZero"/>
        <c:crossBetween val="midCat"/>
      </c:valAx>
      <c:valAx>
        <c:axId val="208393133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4516072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3956.457536089572</c:v>
                </c:pt>
                <c:pt idx="1">
                  <c:v>3956.457536089572</c:v>
                </c:pt>
                <c:pt idx="2">
                  <c:v>3956.457536089572</c:v>
                </c:pt>
                <c:pt idx="3">
                  <c:v>3956.457536089572</c:v>
                </c:pt>
                <c:pt idx="4">
                  <c:v>3956.457536089572</c:v>
                </c:pt>
                <c:pt idx="5">
                  <c:v>3956.457536089572</c:v>
                </c:pt>
                <c:pt idx="6">
                  <c:v>3956.457536089572</c:v>
                </c:pt>
                <c:pt idx="7">
                  <c:v>3956.457536089572</c:v>
                </c:pt>
                <c:pt idx="8">
                  <c:v>3956.457536089572</c:v>
                </c:pt>
                <c:pt idx="9">
                  <c:v>3956.457536089572</c:v>
                </c:pt>
                <c:pt idx="10">
                  <c:v>3956.457536089572</c:v>
                </c:pt>
                <c:pt idx="11">
                  <c:v>3956.457536089572</c:v>
                </c:pt>
                <c:pt idx="12">
                  <c:v>3956.457536089572</c:v>
                </c:pt>
                <c:pt idx="13">
                  <c:v>3956.457536089572</c:v>
                </c:pt>
                <c:pt idx="14">
                  <c:v>3956.457536089572</c:v>
                </c:pt>
                <c:pt idx="15">
                  <c:v>3956.457536089572</c:v>
                </c:pt>
                <c:pt idx="16">
                  <c:v>3956.457536089572</c:v>
                </c:pt>
                <c:pt idx="17">
                  <c:v>3956.457536089572</c:v>
                </c:pt>
                <c:pt idx="18">
                  <c:v>3956.457536089572</c:v>
                </c:pt>
                <c:pt idx="19">
                  <c:v>3956.457536089572</c:v>
                </c:pt>
                <c:pt idx="20">
                  <c:v>3956.457536089572</c:v>
                </c:pt>
                <c:pt idx="21">
                  <c:v>3956.457536089572</c:v>
                </c:pt>
                <c:pt idx="22">
                  <c:v>3956.457536089572</c:v>
                </c:pt>
                <c:pt idx="23">
                  <c:v>3956.457536089572</c:v>
                </c:pt>
                <c:pt idx="24">
                  <c:v>3956.457536089572</c:v>
                </c:pt>
                <c:pt idx="25">
                  <c:v>3956.457536089572</c:v>
                </c:pt>
                <c:pt idx="26">
                  <c:v>3967.07715748568</c:v>
                </c:pt>
                <c:pt idx="27">
                  <c:v>3977.696778881789</c:v>
                </c:pt>
                <c:pt idx="28">
                  <c:v>3988.316400277897</c:v>
                </c:pt>
                <c:pt idx="29">
                  <c:v>3998.936021674005</c:v>
                </c:pt>
                <c:pt idx="30">
                  <c:v>4009.555643070113</c:v>
                </c:pt>
                <c:pt idx="31">
                  <c:v>4020.175264466221</c:v>
                </c:pt>
                <c:pt idx="32">
                  <c:v>4030.794885862329</c:v>
                </c:pt>
                <c:pt idx="33">
                  <c:v>4041.414507258437</c:v>
                </c:pt>
                <c:pt idx="34">
                  <c:v>4052.034128654545</c:v>
                </c:pt>
                <c:pt idx="35">
                  <c:v>4062.653750050654</c:v>
                </c:pt>
                <c:pt idx="36">
                  <c:v>4073.273371446762</c:v>
                </c:pt>
                <c:pt idx="37">
                  <c:v>4083.89299284287</c:v>
                </c:pt>
                <c:pt idx="38">
                  <c:v>4094.512614238978</c:v>
                </c:pt>
                <c:pt idx="39">
                  <c:v>4105.132235635085</c:v>
                </c:pt>
                <c:pt idx="40">
                  <c:v>4115.751857031194</c:v>
                </c:pt>
                <c:pt idx="41">
                  <c:v>4126.371478427302</c:v>
                </c:pt>
                <c:pt idx="42">
                  <c:v>4136.99109982341</c:v>
                </c:pt>
                <c:pt idx="43">
                  <c:v>4147.610721219518</c:v>
                </c:pt>
                <c:pt idx="44">
                  <c:v>4158.230342615627</c:v>
                </c:pt>
                <c:pt idx="45">
                  <c:v>4168.849964011735</c:v>
                </c:pt>
                <c:pt idx="46">
                  <c:v>4179.469585407842</c:v>
                </c:pt>
                <c:pt idx="47">
                  <c:v>4190.08920680395</c:v>
                </c:pt>
                <c:pt idx="48">
                  <c:v>4200.70882820006</c:v>
                </c:pt>
                <c:pt idx="49">
                  <c:v>4211.328449596167</c:v>
                </c:pt>
                <c:pt idx="50">
                  <c:v>4221.948070992275</c:v>
                </c:pt>
                <c:pt idx="51">
                  <c:v>4232.567692388384</c:v>
                </c:pt>
                <c:pt idx="52">
                  <c:v>4243.187313784491</c:v>
                </c:pt>
                <c:pt idx="53">
                  <c:v>4253.8069351806</c:v>
                </c:pt>
                <c:pt idx="54">
                  <c:v>4264.426556576708</c:v>
                </c:pt>
                <c:pt idx="55">
                  <c:v>4275.046177972816</c:v>
                </c:pt>
                <c:pt idx="56">
                  <c:v>4285.665799368924</c:v>
                </c:pt>
                <c:pt idx="57">
                  <c:v>4296.285420765032</c:v>
                </c:pt>
                <c:pt idx="58">
                  <c:v>4306.90504216114</c:v>
                </c:pt>
                <c:pt idx="59">
                  <c:v>4317.524663557248</c:v>
                </c:pt>
                <c:pt idx="60">
                  <c:v>4328.144284953356</c:v>
                </c:pt>
                <c:pt idx="61">
                  <c:v>4338.763906349464</c:v>
                </c:pt>
                <c:pt idx="62">
                  <c:v>4349.383527745573</c:v>
                </c:pt>
                <c:pt idx="63">
                  <c:v>4360.003149141681</c:v>
                </c:pt>
                <c:pt idx="64">
                  <c:v>4370.622770537788</c:v>
                </c:pt>
                <c:pt idx="65">
                  <c:v>4381.242391933897</c:v>
                </c:pt>
                <c:pt idx="66">
                  <c:v>4457.536673547243</c:v>
                </c:pt>
                <c:pt idx="67">
                  <c:v>4533.830955160589</c:v>
                </c:pt>
                <c:pt idx="68">
                  <c:v>4610.125236773935</c:v>
                </c:pt>
                <c:pt idx="69">
                  <c:v>4686.419518387282</c:v>
                </c:pt>
                <c:pt idx="70">
                  <c:v>4762.713800000628</c:v>
                </c:pt>
                <c:pt idx="71">
                  <c:v>4839.008081613973</c:v>
                </c:pt>
                <c:pt idx="72">
                  <c:v>4915.30236322732</c:v>
                </c:pt>
                <c:pt idx="73">
                  <c:v>4991.596644840666</c:v>
                </c:pt>
                <c:pt idx="74">
                  <c:v>5067.890926454012</c:v>
                </c:pt>
                <c:pt idx="75">
                  <c:v>5144.185208067357</c:v>
                </c:pt>
                <c:pt idx="76">
                  <c:v>5220.479489680704</c:v>
                </c:pt>
                <c:pt idx="77">
                  <c:v>5296.773771294051</c:v>
                </c:pt>
                <c:pt idx="78">
                  <c:v>5373.068052907396</c:v>
                </c:pt>
                <c:pt idx="79">
                  <c:v>5449.362334520742</c:v>
                </c:pt>
                <c:pt idx="80">
                  <c:v>5525.656616134088</c:v>
                </c:pt>
                <c:pt idx="81">
                  <c:v>5601.950897747434</c:v>
                </c:pt>
                <c:pt idx="82">
                  <c:v>5678.24517936078</c:v>
                </c:pt>
                <c:pt idx="83">
                  <c:v>5754.539460974127</c:v>
                </c:pt>
                <c:pt idx="84">
                  <c:v>5830.833742587473</c:v>
                </c:pt>
                <c:pt idx="85">
                  <c:v>5907.12802420082</c:v>
                </c:pt>
                <c:pt idx="86">
                  <c:v>5983.422305814165</c:v>
                </c:pt>
                <c:pt idx="87">
                  <c:v>6059.716587427511</c:v>
                </c:pt>
                <c:pt idx="88">
                  <c:v>6101.312751295072</c:v>
                </c:pt>
                <c:pt idx="89">
                  <c:v>6108.210797416848</c:v>
                </c:pt>
                <c:pt idx="90">
                  <c:v>6115.108843538625</c:v>
                </c:pt>
                <c:pt idx="91">
                  <c:v>6122.0068896604</c:v>
                </c:pt>
                <c:pt idx="92">
                  <c:v>6128.904935782177</c:v>
                </c:pt>
                <c:pt idx="93">
                  <c:v>6135.802981903953</c:v>
                </c:pt>
                <c:pt idx="94">
                  <c:v>6142.70102802573</c:v>
                </c:pt>
                <c:pt idx="95">
                  <c:v>6149.599074147506</c:v>
                </c:pt>
                <c:pt idx="96">
                  <c:v>6156.497120269282</c:v>
                </c:pt>
                <c:pt idx="97">
                  <c:v>6163.395166391058</c:v>
                </c:pt>
                <c:pt idx="98">
                  <c:v>6220.024189451946</c:v>
                </c:pt>
                <c:pt idx="99">
                  <c:v>6326.384189451946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30.96157110106187</c:v>
                </c:pt>
                <c:pt idx="27">
                  <c:v>61.92314220212374</c:v>
                </c:pt>
                <c:pt idx="28">
                  <c:v>92.88471330318561</c:v>
                </c:pt>
                <c:pt idx="29">
                  <c:v>123.8462844042475</c:v>
                </c:pt>
                <c:pt idx="30">
                  <c:v>154.8078555053094</c:v>
                </c:pt>
                <c:pt idx="31">
                  <c:v>185.7694266063712</c:v>
                </c:pt>
                <c:pt idx="32">
                  <c:v>216.7309977074331</c:v>
                </c:pt>
                <c:pt idx="33">
                  <c:v>247.692568808495</c:v>
                </c:pt>
                <c:pt idx="34">
                  <c:v>278.6541399095568</c:v>
                </c:pt>
                <c:pt idx="35">
                  <c:v>309.6157110106187</c:v>
                </c:pt>
                <c:pt idx="36">
                  <c:v>340.5772821116806</c:v>
                </c:pt>
                <c:pt idx="37">
                  <c:v>371.5388532127424</c:v>
                </c:pt>
                <c:pt idx="38">
                  <c:v>402.5004243138043</c:v>
                </c:pt>
                <c:pt idx="39">
                  <c:v>433.4619954148662</c:v>
                </c:pt>
                <c:pt idx="40">
                  <c:v>464.4235665159281</c:v>
                </c:pt>
                <c:pt idx="41">
                  <c:v>495.3851376169899</c:v>
                </c:pt>
                <c:pt idx="42">
                  <c:v>526.3467087180518</c:v>
                </c:pt>
                <c:pt idx="43">
                  <c:v>557.3082798191136</c:v>
                </c:pt>
                <c:pt idx="44">
                  <c:v>588.2698509201755</c:v>
                </c:pt>
                <c:pt idx="45">
                  <c:v>619.2314220212374</c:v>
                </c:pt>
                <c:pt idx="46">
                  <c:v>650.1929931222993</c:v>
                </c:pt>
                <c:pt idx="47">
                  <c:v>681.1545642233611</c:v>
                </c:pt>
                <c:pt idx="48">
                  <c:v>712.116135324423</c:v>
                </c:pt>
                <c:pt idx="49">
                  <c:v>743.0777064254848</c:v>
                </c:pt>
                <c:pt idx="50">
                  <c:v>774.0392775265468</c:v>
                </c:pt>
                <c:pt idx="51">
                  <c:v>805.0008486276086</c:v>
                </c:pt>
                <c:pt idx="52">
                  <c:v>835.9624197286705</c:v>
                </c:pt>
                <c:pt idx="53">
                  <c:v>866.9239908297323</c:v>
                </c:pt>
                <c:pt idx="54">
                  <c:v>897.8855619307942</c:v>
                </c:pt>
                <c:pt idx="55">
                  <c:v>928.8471330318562</c:v>
                </c:pt>
                <c:pt idx="56">
                  <c:v>959.808704132918</c:v>
                </c:pt>
                <c:pt idx="57">
                  <c:v>990.7702752339798</c:v>
                </c:pt>
                <c:pt idx="58">
                  <c:v>1021.731846335042</c:v>
                </c:pt>
                <c:pt idx="59">
                  <c:v>1052.693417436104</c:v>
                </c:pt>
                <c:pt idx="60">
                  <c:v>1083.654988537166</c:v>
                </c:pt>
                <c:pt idx="61">
                  <c:v>1114.616559638227</c:v>
                </c:pt>
                <c:pt idx="62">
                  <c:v>1145.578130739289</c:v>
                </c:pt>
                <c:pt idx="63">
                  <c:v>1176.539701840351</c:v>
                </c:pt>
                <c:pt idx="64">
                  <c:v>1207.501272941413</c:v>
                </c:pt>
                <c:pt idx="65">
                  <c:v>1238.462844042475</c:v>
                </c:pt>
                <c:pt idx="66">
                  <c:v>1421.829086501714</c:v>
                </c:pt>
                <c:pt idx="67">
                  <c:v>1605.195328960954</c:v>
                </c:pt>
                <c:pt idx="68">
                  <c:v>1788.561571420193</c:v>
                </c:pt>
                <c:pt idx="69">
                  <c:v>1971.927813879433</c:v>
                </c:pt>
                <c:pt idx="70">
                  <c:v>2155.294056338672</c:v>
                </c:pt>
                <c:pt idx="71">
                  <c:v>2338.660298797911</c:v>
                </c:pt>
                <c:pt idx="72">
                  <c:v>2522.026541257151</c:v>
                </c:pt>
                <c:pt idx="73">
                  <c:v>2705.39278371639</c:v>
                </c:pt>
                <c:pt idx="74">
                  <c:v>2888.75902617563</c:v>
                </c:pt>
                <c:pt idx="75">
                  <c:v>3072.125268634869</c:v>
                </c:pt>
                <c:pt idx="76">
                  <c:v>3255.491511094108</c:v>
                </c:pt>
                <c:pt idx="77">
                  <c:v>3438.857753553347</c:v>
                </c:pt>
                <c:pt idx="78">
                  <c:v>3622.223996012587</c:v>
                </c:pt>
                <c:pt idx="79">
                  <c:v>3805.590238471826</c:v>
                </c:pt>
                <c:pt idx="80">
                  <c:v>3988.956480931065</c:v>
                </c:pt>
                <c:pt idx="81">
                  <c:v>4172.322723390305</c:v>
                </c:pt>
                <c:pt idx="82">
                  <c:v>4355.688965849544</c:v>
                </c:pt>
                <c:pt idx="83">
                  <c:v>4539.055208308784</c:v>
                </c:pt>
                <c:pt idx="84">
                  <c:v>4722.421450768023</c:v>
                </c:pt>
                <c:pt idx="85">
                  <c:v>4905.787693227263</c:v>
                </c:pt>
                <c:pt idx="86">
                  <c:v>5089.153935686501</c:v>
                </c:pt>
                <c:pt idx="87">
                  <c:v>5272.520178145741</c:v>
                </c:pt>
                <c:pt idx="88">
                  <c:v>5476.157114284384</c:v>
                </c:pt>
                <c:pt idx="89">
                  <c:v>5700.06474410243</c:v>
                </c:pt>
                <c:pt idx="90">
                  <c:v>5923.972373920476</c:v>
                </c:pt>
                <c:pt idx="91">
                  <c:v>6147.880003738522</c:v>
                </c:pt>
                <c:pt idx="92">
                  <c:v>6371.787633556567</c:v>
                </c:pt>
                <c:pt idx="93">
                  <c:v>6595.695263374614</c:v>
                </c:pt>
                <c:pt idx="94">
                  <c:v>6819.60289319266</c:v>
                </c:pt>
                <c:pt idx="95">
                  <c:v>7043.510523010705</c:v>
                </c:pt>
                <c:pt idx="96">
                  <c:v>7267.418152828752</c:v>
                </c:pt>
                <c:pt idx="97">
                  <c:v>7491.325782646798</c:v>
                </c:pt>
                <c:pt idx="98">
                  <c:v>7965.709597555821</c:v>
                </c:pt>
                <c:pt idx="99">
                  <c:v>8690.56959755582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279.818960936849</c:v>
                </c:pt>
                <c:pt idx="1">
                  <c:v>279.818960936849</c:v>
                </c:pt>
                <c:pt idx="2">
                  <c:v>279.818960936849</c:v>
                </c:pt>
                <c:pt idx="3">
                  <c:v>279.818960936849</c:v>
                </c:pt>
                <c:pt idx="4">
                  <c:v>279.818960936849</c:v>
                </c:pt>
                <c:pt idx="5">
                  <c:v>279.818960936849</c:v>
                </c:pt>
                <c:pt idx="6">
                  <c:v>279.818960936849</c:v>
                </c:pt>
                <c:pt idx="7">
                  <c:v>279.818960936849</c:v>
                </c:pt>
                <c:pt idx="8">
                  <c:v>279.818960936849</c:v>
                </c:pt>
                <c:pt idx="9">
                  <c:v>279.818960936849</c:v>
                </c:pt>
                <c:pt idx="10">
                  <c:v>279.818960936849</c:v>
                </c:pt>
                <c:pt idx="11">
                  <c:v>279.818960936849</c:v>
                </c:pt>
                <c:pt idx="12">
                  <c:v>279.818960936849</c:v>
                </c:pt>
                <c:pt idx="13">
                  <c:v>279.818960936849</c:v>
                </c:pt>
                <c:pt idx="14">
                  <c:v>279.818960936849</c:v>
                </c:pt>
                <c:pt idx="15">
                  <c:v>279.818960936849</c:v>
                </c:pt>
                <c:pt idx="16">
                  <c:v>279.818960936849</c:v>
                </c:pt>
                <c:pt idx="17">
                  <c:v>279.818960936849</c:v>
                </c:pt>
                <c:pt idx="18">
                  <c:v>279.818960936849</c:v>
                </c:pt>
                <c:pt idx="19">
                  <c:v>279.818960936849</c:v>
                </c:pt>
                <c:pt idx="20">
                  <c:v>279.818960936849</c:v>
                </c:pt>
                <c:pt idx="21">
                  <c:v>279.818960936849</c:v>
                </c:pt>
                <c:pt idx="22">
                  <c:v>279.818960936849</c:v>
                </c:pt>
                <c:pt idx="23">
                  <c:v>279.818960936849</c:v>
                </c:pt>
                <c:pt idx="24">
                  <c:v>279.818960936849</c:v>
                </c:pt>
                <c:pt idx="25">
                  <c:v>279.818960936849</c:v>
                </c:pt>
                <c:pt idx="26">
                  <c:v>283.6348255839731</c:v>
                </c:pt>
                <c:pt idx="27">
                  <c:v>287.4506902310973</c:v>
                </c:pt>
                <c:pt idx="28">
                  <c:v>291.2665548782215</c:v>
                </c:pt>
                <c:pt idx="29">
                  <c:v>295.0824195253456</c:v>
                </c:pt>
                <c:pt idx="30">
                  <c:v>298.8982841724699</c:v>
                </c:pt>
                <c:pt idx="31">
                  <c:v>302.714148819594</c:v>
                </c:pt>
                <c:pt idx="32">
                  <c:v>306.5300134667182</c:v>
                </c:pt>
                <c:pt idx="33">
                  <c:v>310.3458781138423</c:v>
                </c:pt>
                <c:pt idx="34">
                  <c:v>314.1617427609665</c:v>
                </c:pt>
                <c:pt idx="35">
                  <c:v>317.9776074080907</c:v>
                </c:pt>
                <c:pt idx="36">
                  <c:v>321.7934720552149</c:v>
                </c:pt>
                <c:pt idx="37">
                  <c:v>325.6093367023391</c:v>
                </c:pt>
                <c:pt idx="38">
                  <c:v>329.4252013494632</c:v>
                </c:pt>
                <c:pt idx="39">
                  <c:v>333.2410659965875</c:v>
                </c:pt>
                <c:pt idx="40">
                  <c:v>337.0569306437116</c:v>
                </c:pt>
                <c:pt idx="41">
                  <c:v>340.8727952908358</c:v>
                </c:pt>
                <c:pt idx="42">
                  <c:v>344.68865993796</c:v>
                </c:pt>
                <c:pt idx="43">
                  <c:v>348.5045245850841</c:v>
                </c:pt>
                <c:pt idx="44">
                  <c:v>352.3203892322083</c:v>
                </c:pt>
                <c:pt idx="45">
                  <c:v>356.1362538793325</c:v>
                </c:pt>
                <c:pt idx="46">
                  <c:v>359.9521185264567</c:v>
                </c:pt>
                <c:pt idx="47">
                  <c:v>363.7679831735808</c:v>
                </c:pt>
                <c:pt idx="48">
                  <c:v>367.583847820705</c:v>
                </c:pt>
                <c:pt idx="49">
                  <c:v>371.3997124678292</c:v>
                </c:pt>
                <c:pt idx="50">
                  <c:v>375.2155771149534</c:v>
                </c:pt>
                <c:pt idx="51">
                  <c:v>379.0314417620775</c:v>
                </c:pt>
                <c:pt idx="52">
                  <c:v>382.8473064092017</c:v>
                </c:pt>
                <c:pt idx="53">
                  <c:v>386.6631710563259</c:v>
                </c:pt>
                <c:pt idx="54">
                  <c:v>390.4790357034501</c:v>
                </c:pt>
                <c:pt idx="55">
                  <c:v>394.2949003505743</c:v>
                </c:pt>
                <c:pt idx="56">
                  <c:v>398.1107649976984</c:v>
                </c:pt>
                <c:pt idx="57">
                  <c:v>401.9266296448226</c:v>
                </c:pt>
                <c:pt idx="58">
                  <c:v>405.7424942919468</c:v>
                </c:pt>
                <c:pt idx="59">
                  <c:v>409.558358939071</c:v>
                </c:pt>
                <c:pt idx="60">
                  <c:v>413.3742235861952</c:v>
                </c:pt>
                <c:pt idx="61">
                  <c:v>417.1900882333193</c:v>
                </c:pt>
                <c:pt idx="62">
                  <c:v>421.0059528804435</c:v>
                </c:pt>
                <c:pt idx="63">
                  <c:v>424.8218175275676</c:v>
                </c:pt>
                <c:pt idx="64">
                  <c:v>428.6376821746918</c:v>
                </c:pt>
                <c:pt idx="65">
                  <c:v>432.453546821816</c:v>
                </c:pt>
                <c:pt idx="66">
                  <c:v>446.3519120775495</c:v>
                </c:pt>
                <c:pt idx="67">
                  <c:v>460.250277333283</c:v>
                </c:pt>
                <c:pt idx="68">
                  <c:v>474.1486425890165</c:v>
                </c:pt>
                <c:pt idx="69">
                  <c:v>488.04700784475</c:v>
                </c:pt>
                <c:pt idx="70">
                  <c:v>501.9453731004835</c:v>
                </c:pt>
                <c:pt idx="71">
                  <c:v>515.843738356217</c:v>
                </c:pt>
                <c:pt idx="72">
                  <c:v>529.7421036119504</c:v>
                </c:pt>
                <c:pt idx="73">
                  <c:v>543.640468867684</c:v>
                </c:pt>
                <c:pt idx="74">
                  <c:v>557.5388341234174</c:v>
                </c:pt>
                <c:pt idx="75">
                  <c:v>571.437199379151</c:v>
                </c:pt>
                <c:pt idx="76">
                  <c:v>585.3355646348843</c:v>
                </c:pt>
                <c:pt idx="77">
                  <c:v>599.233929890618</c:v>
                </c:pt>
                <c:pt idx="78">
                  <c:v>613.1322951463513</c:v>
                </c:pt>
                <c:pt idx="79">
                  <c:v>627.0306604020848</c:v>
                </c:pt>
                <c:pt idx="80">
                  <c:v>640.9290256578183</c:v>
                </c:pt>
                <c:pt idx="81">
                  <c:v>654.8273909135519</c:v>
                </c:pt>
                <c:pt idx="82">
                  <c:v>668.7257561692853</c:v>
                </c:pt>
                <c:pt idx="83">
                  <c:v>682.6241214250188</c:v>
                </c:pt>
                <c:pt idx="84">
                  <c:v>696.5224866807523</c:v>
                </c:pt>
                <c:pt idx="85">
                  <c:v>710.4208519364858</c:v>
                </c:pt>
                <c:pt idx="86">
                  <c:v>724.3192171922192</c:v>
                </c:pt>
                <c:pt idx="87">
                  <c:v>738.2175824479527</c:v>
                </c:pt>
                <c:pt idx="88">
                  <c:v>804.95154812959</c:v>
                </c:pt>
                <c:pt idx="89">
                  <c:v>924.521114237131</c:v>
                </c:pt>
                <c:pt idx="90">
                  <c:v>1044.090680344672</c:v>
                </c:pt>
                <c:pt idx="91">
                  <c:v>1163.660246452213</c:v>
                </c:pt>
                <c:pt idx="92">
                  <c:v>1283.229812559754</c:v>
                </c:pt>
                <c:pt idx="93">
                  <c:v>1402.799378667296</c:v>
                </c:pt>
                <c:pt idx="94">
                  <c:v>1522.368944774837</c:v>
                </c:pt>
                <c:pt idx="95">
                  <c:v>1641.938510882378</c:v>
                </c:pt>
                <c:pt idx="96">
                  <c:v>1761.508076989919</c:v>
                </c:pt>
                <c:pt idx="97">
                  <c:v>1881.07764309746</c:v>
                </c:pt>
                <c:pt idx="98">
                  <c:v>1945.07792615123</c:v>
                </c:pt>
                <c:pt idx="99">
                  <c:v>1953.508926151231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18.51768606522839</c:v>
                </c:pt>
                <c:pt idx="27">
                  <c:v>37.03537213045678</c:v>
                </c:pt>
                <c:pt idx="28">
                  <c:v>55.55305819568518</c:v>
                </c:pt>
                <c:pt idx="29">
                  <c:v>74.07074426091357</c:v>
                </c:pt>
                <c:pt idx="30">
                  <c:v>92.58843032614196</c:v>
                </c:pt>
                <c:pt idx="31">
                  <c:v>111.1061163913704</c:v>
                </c:pt>
                <c:pt idx="32">
                  <c:v>129.6238024565988</c:v>
                </c:pt>
                <c:pt idx="33">
                  <c:v>148.1414885218271</c:v>
                </c:pt>
                <c:pt idx="34">
                  <c:v>166.6591745870555</c:v>
                </c:pt>
                <c:pt idx="35">
                  <c:v>185.176860652284</c:v>
                </c:pt>
                <c:pt idx="36">
                  <c:v>203.6945467175123</c:v>
                </c:pt>
                <c:pt idx="37">
                  <c:v>222.2122327827407</c:v>
                </c:pt>
                <c:pt idx="38">
                  <c:v>240.7299188479691</c:v>
                </c:pt>
                <c:pt idx="39">
                  <c:v>259.2476049131975</c:v>
                </c:pt>
                <c:pt idx="40">
                  <c:v>277.7652909784259</c:v>
                </c:pt>
                <c:pt idx="41">
                  <c:v>296.2829770436543</c:v>
                </c:pt>
                <c:pt idx="42">
                  <c:v>314.8006631088827</c:v>
                </c:pt>
                <c:pt idx="43">
                  <c:v>333.3183491741111</c:v>
                </c:pt>
                <c:pt idx="44">
                  <c:v>351.8360352393395</c:v>
                </c:pt>
                <c:pt idx="45">
                  <c:v>370.3537213045678</c:v>
                </c:pt>
                <c:pt idx="46">
                  <c:v>388.8714073697962</c:v>
                </c:pt>
                <c:pt idx="47">
                  <c:v>407.3890934350246</c:v>
                </c:pt>
                <c:pt idx="48">
                  <c:v>425.906779500253</c:v>
                </c:pt>
                <c:pt idx="49">
                  <c:v>444.4244655654815</c:v>
                </c:pt>
                <c:pt idx="50">
                  <c:v>462.9421516307098</c:v>
                </c:pt>
                <c:pt idx="51">
                  <c:v>481.4598376959382</c:v>
                </c:pt>
                <c:pt idx="52">
                  <c:v>499.9775237611666</c:v>
                </c:pt>
                <c:pt idx="53">
                  <c:v>518.495209826395</c:v>
                </c:pt>
                <c:pt idx="54">
                  <c:v>537.0128958916234</c:v>
                </c:pt>
                <c:pt idx="55">
                  <c:v>555.5305819568517</c:v>
                </c:pt>
                <c:pt idx="56">
                  <c:v>574.0482680220802</c:v>
                </c:pt>
                <c:pt idx="57">
                  <c:v>592.5659540873086</c:v>
                </c:pt>
                <c:pt idx="58">
                  <c:v>611.083640152537</c:v>
                </c:pt>
                <c:pt idx="59">
                  <c:v>629.6013262177654</c:v>
                </c:pt>
                <c:pt idx="60">
                  <c:v>648.1190122829937</c:v>
                </c:pt>
                <c:pt idx="61">
                  <c:v>666.6366983482221</c:v>
                </c:pt>
                <c:pt idx="62">
                  <c:v>685.1543844134505</c:v>
                </c:pt>
                <c:pt idx="63">
                  <c:v>703.672070478679</c:v>
                </c:pt>
                <c:pt idx="64">
                  <c:v>722.1897565439072</c:v>
                </c:pt>
                <c:pt idx="65">
                  <c:v>740.7074426091356</c:v>
                </c:pt>
                <c:pt idx="66">
                  <c:v>938.2294273049051</c:v>
                </c:pt>
                <c:pt idx="67">
                  <c:v>1135.751412000675</c:v>
                </c:pt>
                <c:pt idx="68">
                  <c:v>1333.273396696444</c:v>
                </c:pt>
                <c:pt idx="69">
                  <c:v>1530.795381392214</c:v>
                </c:pt>
                <c:pt idx="70">
                  <c:v>1728.317366087983</c:v>
                </c:pt>
                <c:pt idx="71">
                  <c:v>1925.839350783753</c:v>
                </c:pt>
                <c:pt idx="72">
                  <c:v>2123.361335479522</c:v>
                </c:pt>
                <c:pt idx="73">
                  <c:v>2320.883320175292</c:v>
                </c:pt>
                <c:pt idx="74">
                  <c:v>2518.405304871061</c:v>
                </c:pt>
                <c:pt idx="75">
                  <c:v>2715.927289566831</c:v>
                </c:pt>
                <c:pt idx="76">
                  <c:v>2913.4492742626</c:v>
                </c:pt>
                <c:pt idx="77">
                  <c:v>3110.97125895837</c:v>
                </c:pt>
                <c:pt idx="78">
                  <c:v>3308.49324365414</c:v>
                </c:pt>
                <c:pt idx="79">
                  <c:v>3506.015228349909</c:v>
                </c:pt>
                <c:pt idx="80">
                  <c:v>3703.537213045678</c:v>
                </c:pt>
                <c:pt idx="81">
                  <c:v>3901.059197741448</c:v>
                </c:pt>
                <c:pt idx="82">
                  <c:v>4098.581182437216</c:v>
                </c:pt>
                <c:pt idx="83">
                  <c:v>4296.103167132986</c:v>
                </c:pt>
                <c:pt idx="84">
                  <c:v>4493.625151828756</c:v>
                </c:pt>
                <c:pt idx="85">
                  <c:v>4691.147136524526</c:v>
                </c:pt>
                <c:pt idx="86">
                  <c:v>4888.669121220294</c:v>
                </c:pt>
                <c:pt idx="87">
                  <c:v>5086.191105916065</c:v>
                </c:pt>
                <c:pt idx="88">
                  <c:v>5653.243803646837</c:v>
                </c:pt>
                <c:pt idx="89">
                  <c:v>6589.82721441261</c:v>
                </c:pt>
                <c:pt idx="90">
                  <c:v>7526.410625178385</c:v>
                </c:pt>
                <c:pt idx="91">
                  <c:v>8462.994035944159</c:v>
                </c:pt>
                <c:pt idx="92">
                  <c:v>9399.577446709932</c:v>
                </c:pt>
                <c:pt idx="93">
                  <c:v>10336.16085747571</c:v>
                </c:pt>
                <c:pt idx="94">
                  <c:v>11272.74426824148</c:v>
                </c:pt>
                <c:pt idx="95">
                  <c:v>12209.32767900726</c:v>
                </c:pt>
                <c:pt idx="96">
                  <c:v>13145.91108977303</c:v>
                </c:pt>
                <c:pt idx="97">
                  <c:v>14082.4945005388</c:v>
                </c:pt>
                <c:pt idx="98">
                  <c:v>14550.78620592169</c:v>
                </c:pt>
                <c:pt idx="99">
                  <c:v>14550.78620592169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7.333483493238833</c:v>
                </c:pt>
                <c:pt idx="89">
                  <c:v>22.0004504797165</c:v>
                </c:pt>
                <c:pt idx="90">
                  <c:v>36.66741746619417</c:v>
                </c:pt>
                <c:pt idx="91">
                  <c:v>51.33438445267183</c:v>
                </c:pt>
                <c:pt idx="92">
                  <c:v>66.0013514391495</c:v>
                </c:pt>
                <c:pt idx="93">
                  <c:v>80.66831842562716</c:v>
                </c:pt>
                <c:pt idx="94">
                  <c:v>95.33528541210482</c:v>
                </c:pt>
                <c:pt idx="95">
                  <c:v>110.0022523985825</c:v>
                </c:pt>
                <c:pt idx="96">
                  <c:v>124.6692193850602</c:v>
                </c:pt>
                <c:pt idx="97">
                  <c:v>139.3361863715378</c:v>
                </c:pt>
                <c:pt idx="98">
                  <c:v>172.7646698647766</c:v>
                </c:pt>
                <c:pt idx="99">
                  <c:v>224.9546698647765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64.7860358081781</c:v>
                </c:pt>
                <c:pt idx="27">
                  <c:v>129.5720716163562</c:v>
                </c:pt>
                <c:pt idx="28">
                  <c:v>194.3581074245343</c:v>
                </c:pt>
                <c:pt idx="29">
                  <c:v>259.1441432327124</c:v>
                </c:pt>
                <c:pt idx="30">
                  <c:v>323.9301790408905</c:v>
                </c:pt>
                <c:pt idx="31">
                  <c:v>388.7162148490686</c:v>
                </c:pt>
                <c:pt idx="32">
                  <c:v>453.5022506572467</c:v>
                </c:pt>
                <c:pt idx="33">
                  <c:v>518.2882864654248</c:v>
                </c:pt>
                <c:pt idx="34">
                  <c:v>583.0743222736028</c:v>
                </c:pt>
                <c:pt idx="35">
                  <c:v>647.860358081781</c:v>
                </c:pt>
                <c:pt idx="36">
                  <c:v>712.6463938899591</c:v>
                </c:pt>
                <c:pt idx="37">
                  <c:v>777.4324296981372</c:v>
                </c:pt>
                <c:pt idx="38">
                  <c:v>842.2184655063152</c:v>
                </c:pt>
                <c:pt idx="39">
                  <c:v>907.0045013144934</c:v>
                </c:pt>
                <c:pt idx="40">
                  <c:v>971.7905371226714</c:v>
                </c:pt>
                <c:pt idx="41">
                  <c:v>1036.57657293085</c:v>
                </c:pt>
                <c:pt idx="42">
                  <c:v>1101.362608739028</c:v>
                </c:pt>
                <c:pt idx="43">
                  <c:v>1166.148644547206</c:v>
                </c:pt>
                <c:pt idx="44">
                  <c:v>1230.934680355384</c:v>
                </c:pt>
                <c:pt idx="45">
                  <c:v>1295.720716163562</c:v>
                </c:pt>
                <c:pt idx="46">
                  <c:v>1360.50675197174</c:v>
                </c:pt>
                <c:pt idx="47">
                  <c:v>1425.292787779918</c:v>
                </c:pt>
                <c:pt idx="48">
                  <c:v>1490.078823588096</c:v>
                </c:pt>
                <c:pt idx="49">
                  <c:v>1554.864859396274</c:v>
                </c:pt>
                <c:pt idx="50">
                  <c:v>1619.650895204452</c:v>
                </c:pt>
                <c:pt idx="51">
                  <c:v>1684.436931012631</c:v>
                </c:pt>
                <c:pt idx="52">
                  <c:v>1749.222966820809</c:v>
                </c:pt>
                <c:pt idx="53">
                  <c:v>1814.009002628987</c:v>
                </c:pt>
                <c:pt idx="54">
                  <c:v>1878.795038437165</c:v>
                </c:pt>
                <c:pt idx="55">
                  <c:v>1943.581074245343</c:v>
                </c:pt>
                <c:pt idx="56">
                  <c:v>2008.367110053521</c:v>
                </c:pt>
                <c:pt idx="57">
                  <c:v>2073.1531458617</c:v>
                </c:pt>
                <c:pt idx="58">
                  <c:v>2137.939181669877</c:v>
                </c:pt>
                <c:pt idx="59">
                  <c:v>2202.725217478055</c:v>
                </c:pt>
                <c:pt idx="60">
                  <c:v>2267.511253286233</c:v>
                </c:pt>
                <c:pt idx="61">
                  <c:v>2332.297289094412</c:v>
                </c:pt>
                <c:pt idx="62">
                  <c:v>2397.08332490259</c:v>
                </c:pt>
                <c:pt idx="63">
                  <c:v>2461.869360710768</c:v>
                </c:pt>
                <c:pt idx="64">
                  <c:v>2526.655396518946</c:v>
                </c:pt>
                <c:pt idx="65">
                  <c:v>2591.441432327124</c:v>
                </c:pt>
                <c:pt idx="66">
                  <c:v>2525.778435054102</c:v>
                </c:pt>
                <c:pt idx="67">
                  <c:v>2460.115437781081</c:v>
                </c:pt>
                <c:pt idx="68">
                  <c:v>2394.45244050806</c:v>
                </c:pt>
                <c:pt idx="69">
                  <c:v>2328.789443235038</c:v>
                </c:pt>
                <c:pt idx="70">
                  <c:v>2263.126445962017</c:v>
                </c:pt>
                <c:pt idx="71">
                  <c:v>2197.463448688995</c:v>
                </c:pt>
                <c:pt idx="72">
                  <c:v>2131.800451415973</c:v>
                </c:pt>
                <c:pt idx="73">
                  <c:v>2066.137454142952</c:v>
                </c:pt>
                <c:pt idx="74">
                  <c:v>2000.47445686993</c:v>
                </c:pt>
                <c:pt idx="75">
                  <c:v>1934.811459596909</c:v>
                </c:pt>
                <c:pt idx="76">
                  <c:v>1869.148462323888</c:v>
                </c:pt>
                <c:pt idx="77">
                  <c:v>1803.485465050866</c:v>
                </c:pt>
                <c:pt idx="78">
                  <c:v>1737.822467777844</c:v>
                </c:pt>
                <c:pt idx="79">
                  <c:v>1672.159470504823</c:v>
                </c:pt>
                <c:pt idx="80">
                  <c:v>1606.496473231801</c:v>
                </c:pt>
                <c:pt idx="81">
                  <c:v>1540.83347595878</c:v>
                </c:pt>
                <c:pt idx="82">
                  <c:v>1475.170478685758</c:v>
                </c:pt>
                <c:pt idx="83">
                  <c:v>1409.507481412737</c:v>
                </c:pt>
                <c:pt idx="84">
                  <c:v>1343.844484139715</c:v>
                </c:pt>
                <c:pt idx="85">
                  <c:v>1278.181486866694</c:v>
                </c:pt>
                <c:pt idx="86">
                  <c:v>1212.518489593672</c:v>
                </c:pt>
                <c:pt idx="87">
                  <c:v>1146.855492320651</c:v>
                </c:pt>
                <c:pt idx="88">
                  <c:v>1058.322793999933</c:v>
                </c:pt>
                <c:pt idx="89">
                  <c:v>946.9203946315191</c:v>
                </c:pt>
                <c:pt idx="90">
                  <c:v>835.5179952631051</c:v>
                </c:pt>
                <c:pt idx="91">
                  <c:v>724.1155958946911</c:v>
                </c:pt>
                <c:pt idx="92">
                  <c:v>612.713196526277</c:v>
                </c:pt>
                <c:pt idx="93">
                  <c:v>501.310797157863</c:v>
                </c:pt>
                <c:pt idx="94">
                  <c:v>389.9083977894491</c:v>
                </c:pt>
                <c:pt idx="95">
                  <c:v>278.5059984210351</c:v>
                </c:pt>
                <c:pt idx="96">
                  <c:v>167.103599052621</c:v>
                </c:pt>
                <c:pt idx="97">
                  <c:v>55.70119968420704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2288.621396008316</c:v>
                </c:pt>
                <c:pt idx="89">
                  <c:v>6865.864188024948</c:v>
                </c:pt>
                <c:pt idx="90">
                  <c:v>11443.10698004158</c:v>
                </c:pt>
                <c:pt idx="91">
                  <c:v>16020.34977205821</c:v>
                </c:pt>
                <c:pt idx="92">
                  <c:v>20597.59256407485</c:v>
                </c:pt>
                <c:pt idx="93">
                  <c:v>25174.83535609148</c:v>
                </c:pt>
                <c:pt idx="94">
                  <c:v>29752.07814810811</c:v>
                </c:pt>
                <c:pt idx="95">
                  <c:v>34329.32094012474</c:v>
                </c:pt>
                <c:pt idx="96">
                  <c:v>38906.56373214138</c:v>
                </c:pt>
                <c:pt idx="97">
                  <c:v>43483.806524158</c:v>
                </c:pt>
                <c:pt idx="98">
                  <c:v>47108.27792016633</c:v>
                </c:pt>
                <c:pt idx="99">
                  <c:v>49779.97792016633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28.24564381149504</c:v>
                </c:pt>
                <c:pt idx="67">
                  <c:v>56.49128762299008</c:v>
                </c:pt>
                <c:pt idx="68">
                  <c:v>84.73693143448511</c:v>
                </c:pt>
                <c:pt idx="69">
                  <c:v>112.9825752459802</c:v>
                </c:pt>
                <c:pt idx="70">
                  <c:v>141.2282190574752</c:v>
                </c:pt>
                <c:pt idx="71">
                  <c:v>169.4738628689702</c:v>
                </c:pt>
                <c:pt idx="72">
                  <c:v>197.7195066804653</c:v>
                </c:pt>
                <c:pt idx="73">
                  <c:v>225.9651504919603</c:v>
                </c:pt>
                <c:pt idx="74">
                  <c:v>254.2107943034553</c:v>
                </c:pt>
                <c:pt idx="75">
                  <c:v>282.4564381149504</c:v>
                </c:pt>
                <c:pt idx="76">
                  <c:v>310.7020819264454</c:v>
                </c:pt>
                <c:pt idx="77">
                  <c:v>338.9477257379405</c:v>
                </c:pt>
                <c:pt idx="78">
                  <c:v>367.1933695494355</c:v>
                </c:pt>
                <c:pt idx="79">
                  <c:v>395.4390133609306</c:v>
                </c:pt>
                <c:pt idx="80">
                  <c:v>423.6846571724256</c:v>
                </c:pt>
                <c:pt idx="81">
                  <c:v>451.9303009839206</c:v>
                </c:pt>
                <c:pt idx="82">
                  <c:v>480.1759447954156</c:v>
                </c:pt>
                <c:pt idx="83">
                  <c:v>508.4215886069107</c:v>
                </c:pt>
                <c:pt idx="84">
                  <c:v>536.6672324184058</c:v>
                </c:pt>
                <c:pt idx="85">
                  <c:v>564.9128762299008</c:v>
                </c:pt>
                <c:pt idx="86">
                  <c:v>593.1585200413958</c:v>
                </c:pt>
                <c:pt idx="87">
                  <c:v>621.4041638528909</c:v>
                </c:pt>
                <c:pt idx="88">
                  <c:v>603.7506364707064</c:v>
                </c:pt>
                <c:pt idx="89">
                  <c:v>540.1979378948427</c:v>
                </c:pt>
                <c:pt idx="90">
                  <c:v>476.6452393189788</c:v>
                </c:pt>
                <c:pt idx="91">
                  <c:v>413.0925407431149</c:v>
                </c:pt>
                <c:pt idx="92">
                  <c:v>349.5398421672511</c:v>
                </c:pt>
                <c:pt idx="93">
                  <c:v>285.9871435913873</c:v>
                </c:pt>
                <c:pt idx="94">
                  <c:v>222.4344450155235</c:v>
                </c:pt>
                <c:pt idx="95">
                  <c:v>158.8817464396596</c:v>
                </c:pt>
                <c:pt idx="96">
                  <c:v>95.32904786379572</c:v>
                </c:pt>
                <c:pt idx="97">
                  <c:v>31.77634928793191</c:v>
                </c:pt>
                <c:pt idx="98">
                  <c:v>414.765</c:v>
                </c:pt>
                <c:pt idx="99">
                  <c:v>1244.295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142.2158289809541</c:v>
                </c:pt>
                <c:pt idx="67">
                  <c:v>284.4316579619081</c:v>
                </c:pt>
                <c:pt idx="68">
                  <c:v>426.6474869428622</c:v>
                </c:pt>
                <c:pt idx="69">
                  <c:v>568.8633159238162</c:v>
                </c:pt>
                <c:pt idx="70">
                  <c:v>711.0791449047702</c:v>
                </c:pt>
                <c:pt idx="71">
                  <c:v>853.2949738857244</c:v>
                </c:pt>
                <c:pt idx="72">
                  <c:v>995.5108028666784</c:v>
                </c:pt>
                <c:pt idx="73">
                  <c:v>1137.726631847632</c:v>
                </c:pt>
                <c:pt idx="74">
                  <c:v>1279.942460828586</c:v>
                </c:pt>
                <c:pt idx="75">
                  <c:v>1422.158289809541</c:v>
                </c:pt>
                <c:pt idx="76">
                  <c:v>1564.374118790495</c:v>
                </c:pt>
                <c:pt idx="77">
                  <c:v>1706.589947771449</c:v>
                </c:pt>
                <c:pt idx="78">
                  <c:v>1848.805776752403</c:v>
                </c:pt>
                <c:pt idx="79">
                  <c:v>1991.021605733357</c:v>
                </c:pt>
                <c:pt idx="80">
                  <c:v>2133.237434714311</c:v>
                </c:pt>
                <c:pt idx="81">
                  <c:v>2275.453263695265</c:v>
                </c:pt>
                <c:pt idx="82">
                  <c:v>2417.669092676219</c:v>
                </c:pt>
                <c:pt idx="83">
                  <c:v>2559.884921657173</c:v>
                </c:pt>
                <c:pt idx="84">
                  <c:v>2702.100750638127</c:v>
                </c:pt>
                <c:pt idx="85">
                  <c:v>2844.316579619081</c:v>
                </c:pt>
                <c:pt idx="86">
                  <c:v>2986.532408600035</c:v>
                </c:pt>
                <c:pt idx="87">
                  <c:v>3128.74823758099</c:v>
                </c:pt>
                <c:pt idx="88">
                  <c:v>3039.863344467893</c:v>
                </c:pt>
                <c:pt idx="89">
                  <c:v>2719.877729260746</c:v>
                </c:pt>
                <c:pt idx="90">
                  <c:v>2399.8921140536</c:v>
                </c:pt>
                <c:pt idx="91">
                  <c:v>2079.906498846453</c:v>
                </c:pt>
                <c:pt idx="92">
                  <c:v>1759.920883639306</c:v>
                </c:pt>
                <c:pt idx="93">
                  <c:v>1439.93526843216</c:v>
                </c:pt>
                <c:pt idx="94">
                  <c:v>1119.949653225013</c:v>
                </c:pt>
                <c:pt idx="95">
                  <c:v>799.9640380178666</c:v>
                </c:pt>
                <c:pt idx="96">
                  <c:v>479.9784228107196</c:v>
                </c:pt>
                <c:pt idx="97">
                  <c:v>159.9928076035731</c:v>
                </c:pt>
                <c:pt idx="98">
                  <c:v>3101.75</c:v>
                </c:pt>
                <c:pt idx="99">
                  <c:v>9305.25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1491.587448092903</c:v>
                </c:pt>
                <c:pt idx="4">
                  <c:v>1491.587448092903</c:v>
                </c:pt>
                <c:pt idx="5">
                  <c:v>1491.587448092903</c:v>
                </c:pt>
                <c:pt idx="6">
                  <c:v>1491.587448092903</c:v>
                </c:pt>
                <c:pt idx="7">
                  <c:v>1491.587448092903</c:v>
                </c:pt>
                <c:pt idx="8">
                  <c:v>1491.587448092903</c:v>
                </c:pt>
                <c:pt idx="9">
                  <c:v>1491.587448092903</c:v>
                </c:pt>
                <c:pt idx="10">
                  <c:v>1491.587448092903</c:v>
                </c:pt>
                <c:pt idx="11">
                  <c:v>1491.587448092903</c:v>
                </c:pt>
                <c:pt idx="12">
                  <c:v>1491.587448092903</c:v>
                </c:pt>
                <c:pt idx="13">
                  <c:v>1491.587448092903</c:v>
                </c:pt>
                <c:pt idx="14">
                  <c:v>1491.587448092903</c:v>
                </c:pt>
                <c:pt idx="15">
                  <c:v>1491.587448092903</c:v>
                </c:pt>
                <c:pt idx="16">
                  <c:v>1491.587448092903</c:v>
                </c:pt>
                <c:pt idx="17">
                  <c:v>1491.587448092903</c:v>
                </c:pt>
                <c:pt idx="18">
                  <c:v>1491.587448092903</c:v>
                </c:pt>
                <c:pt idx="19">
                  <c:v>1491.587448092903</c:v>
                </c:pt>
                <c:pt idx="20">
                  <c:v>1491.587448092903</c:v>
                </c:pt>
                <c:pt idx="21">
                  <c:v>1491.587448092903</c:v>
                </c:pt>
                <c:pt idx="22">
                  <c:v>1491.587448092903</c:v>
                </c:pt>
                <c:pt idx="23">
                  <c:v>1491.587448092903</c:v>
                </c:pt>
                <c:pt idx="24">
                  <c:v>1491.587448092903</c:v>
                </c:pt>
                <c:pt idx="25">
                  <c:v>1491.587448092903</c:v>
                </c:pt>
                <c:pt idx="26">
                  <c:v>1491.587448092903</c:v>
                </c:pt>
                <c:pt idx="27">
                  <c:v>1491.587448092903</c:v>
                </c:pt>
                <c:pt idx="28">
                  <c:v>1491.587448092903</c:v>
                </c:pt>
                <c:pt idx="29">
                  <c:v>1491.587448092903</c:v>
                </c:pt>
                <c:pt idx="30">
                  <c:v>1491.587448092903</c:v>
                </c:pt>
                <c:pt idx="31">
                  <c:v>1491.587448092903</c:v>
                </c:pt>
                <c:pt idx="32">
                  <c:v>1491.587448092903</c:v>
                </c:pt>
                <c:pt idx="33">
                  <c:v>1491.587448092903</c:v>
                </c:pt>
                <c:pt idx="34">
                  <c:v>1491.587448092903</c:v>
                </c:pt>
                <c:pt idx="35">
                  <c:v>1491.587448092903</c:v>
                </c:pt>
                <c:pt idx="36">
                  <c:v>1491.587448092903</c:v>
                </c:pt>
                <c:pt idx="37">
                  <c:v>1491.587448092903</c:v>
                </c:pt>
                <c:pt idx="38">
                  <c:v>1491.587448092903</c:v>
                </c:pt>
                <c:pt idx="39">
                  <c:v>1491.587448092903</c:v>
                </c:pt>
                <c:pt idx="40">
                  <c:v>1491.587448092903</c:v>
                </c:pt>
                <c:pt idx="41">
                  <c:v>1491.587448092903</c:v>
                </c:pt>
                <c:pt idx="42">
                  <c:v>1491.587448092903</c:v>
                </c:pt>
                <c:pt idx="43">
                  <c:v>1491.587448092903</c:v>
                </c:pt>
                <c:pt idx="44">
                  <c:v>1491.587448092903</c:v>
                </c:pt>
                <c:pt idx="45">
                  <c:v>1491.587448092903</c:v>
                </c:pt>
                <c:pt idx="46">
                  <c:v>1491.587448092903</c:v>
                </c:pt>
                <c:pt idx="47">
                  <c:v>1491.587448092903</c:v>
                </c:pt>
                <c:pt idx="48">
                  <c:v>1491.587448092903</c:v>
                </c:pt>
                <c:pt idx="49">
                  <c:v>1491.587448092903</c:v>
                </c:pt>
                <c:pt idx="50">
                  <c:v>1491.587448092903</c:v>
                </c:pt>
                <c:pt idx="51">
                  <c:v>1491.587448092903</c:v>
                </c:pt>
                <c:pt idx="52">
                  <c:v>1491.587448092903</c:v>
                </c:pt>
                <c:pt idx="53">
                  <c:v>1491.587448092903</c:v>
                </c:pt>
                <c:pt idx="54">
                  <c:v>1491.587448092903</c:v>
                </c:pt>
                <c:pt idx="55">
                  <c:v>1491.587448092903</c:v>
                </c:pt>
                <c:pt idx="56">
                  <c:v>1491.587448092903</c:v>
                </c:pt>
                <c:pt idx="57">
                  <c:v>1491.587448092903</c:v>
                </c:pt>
                <c:pt idx="58">
                  <c:v>1491.587448092903</c:v>
                </c:pt>
                <c:pt idx="59">
                  <c:v>1491.587448092903</c:v>
                </c:pt>
                <c:pt idx="60">
                  <c:v>1491.587448092903</c:v>
                </c:pt>
                <c:pt idx="61">
                  <c:v>1491.587448092903</c:v>
                </c:pt>
                <c:pt idx="62">
                  <c:v>1491.587448092903</c:v>
                </c:pt>
                <c:pt idx="63">
                  <c:v>1491.587448092903</c:v>
                </c:pt>
                <c:pt idx="64">
                  <c:v>1491.587448092903</c:v>
                </c:pt>
                <c:pt idx="65">
                  <c:v>1491.587448092903</c:v>
                </c:pt>
                <c:pt idx="66">
                  <c:v>1491.587448092903</c:v>
                </c:pt>
                <c:pt idx="67">
                  <c:v>1491.587448092903</c:v>
                </c:pt>
                <c:pt idx="68">
                  <c:v>1491.587448092903</c:v>
                </c:pt>
                <c:pt idx="69">
                  <c:v>1491.587448092903</c:v>
                </c:pt>
                <c:pt idx="70">
                  <c:v>1491.587448092903</c:v>
                </c:pt>
                <c:pt idx="71">
                  <c:v>1491.587448092903</c:v>
                </c:pt>
                <c:pt idx="72">
                  <c:v>1491.587448092903</c:v>
                </c:pt>
                <c:pt idx="73">
                  <c:v>1491.587448092903</c:v>
                </c:pt>
                <c:pt idx="74">
                  <c:v>1491.587448092903</c:v>
                </c:pt>
                <c:pt idx="75">
                  <c:v>1491.587448092903</c:v>
                </c:pt>
                <c:pt idx="76">
                  <c:v>1491.587448092903</c:v>
                </c:pt>
                <c:pt idx="77">
                  <c:v>1491.587448092903</c:v>
                </c:pt>
                <c:pt idx="78">
                  <c:v>1491.587448092903</c:v>
                </c:pt>
                <c:pt idx="79">
                  <c:v>1491.587448092903</c:v>
                </c:pt>
                <c:pt idx="80">
                  <c:v>1491.587448092903</c:v>
                </c:pt>
                <c:pt idx="81">
                  <c:v>1491.587448092903</c:v>
                </c:pt>
                <c:pt idx="82">
                  <c:v>1491.587448092903</c:v>
                </c:pt>
                <c:pt idx="83">
                  <c:v>1491.587448092903</c:v>
                </c:pt>
                <c:pt idx="84">
                  <c:v>1491.587448092903</c:v>
                </c:pt>
                <c:pt idx="85">
                  <c:v>1491.587448092903</c:v>
                </c:pt>
                <c:pt idx="86">
                  <c:v>1491.587448092903</c:v>
                </c:pt>
                <c:pt idx="87">
                  <c:v>1491.587448092903</c:v>
                </c:pt>
                <c:pt idx="88">
                  <c:v>1483.300851159054</c:v>
                </c:pt>
                <c:pt idx="89">
                  <c:v>1466.727657291355</c:v>
                </c:pt>
                <c:pt idx="90">
                  <c:v>1450.154463423656</c:v>
                </c:pt>
                <c:pt idx="91">
                  <c:v>1433.581269555957</c:v>
                </c:pt>
                <c:pt idx="92">
                  <c:v>1417.008075688258</c:v>
                </c:pt>
                <c:pt idx="93">
                  <c:v>1400.434881820559</c:v>
                </c:pt>
                <c:pt idx="94">
                  <c:v>1383.86168795286</c:v>
                </c:pt>
                <c:pt idx="95">
                  <c:v>1367.288494085161</c:v>
                </c:pt>
                <c:pt idx="96">
                  <c:v>1350.715300217462</c:v>
                </c:pt>
                <c:pt idx="97">
                  <c:v>1334.142106349763</c:v>
                </c:pt>
                <c:pt idx="98">
                  <c:v>1333.220509415914</c:v>
                </c:pt>
                <c:pt idx="99">
                  <c:v>1347.950509415914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32620.75577250633</c:v>
                </c:pt>
                <c:pt idx="4">
                  <c:v>32620.75577250633</c:v>
                </c:pt>
                <c:pt idx="5">
                  <c:v>32620.75577250633</c:v>
                </c:pt>
                <c:pt idx="6">
                  <c:v>32620.75577250633</c:v>
                </c:pt>
                <c:pt idx="7">
                  <c:v>32620.75577250633</c:v>
                </c:pt>
                <c:pt idx="8">
                  <c:v>32620.75577250633</c:v>
                </c:pt>
                <c:pt idx="9">
                  <c:v>32620.75577250633</c:v>
                </c:pt>
                <c:pt idx="10">
                  <c:v>32620.75577250633</c:v>
                </c:pt>
                <c:pt idx="11">
                  <c:v>32620.75577250633</c:v>
                </c:pt>
                <c:pt idx="12">
                  <c:v>32620.75577250633</c:v>
                </c:pt>
                <c:pt idx="13">
                  <c:v>32620.75577250633</c:v>
                </c:pt>
                <c:pt idx="14">
                  <c:v>32620.75577250633</c:v>
                </c:pt>
                <c:pt idx="15">
                  <c:v>32620.75577250633</c:v>
                </c:pt>
                <c:pt idx="16">
                  <c:v>32620.75577250633</c:v>
                </c:pt>
                <c:pt idx="17">
                  <c:v>32620.75577250633</c:v>
                </c:pt>
                <c:pt idx="18">
                  <c:v>32620.75577250633</c:v>
                </c:pt>
                <c:pt idx="19">
                  <c:v>32620.75577250633</c:v>
                </c:pt>
                <c:pt idx="20">
                  <c:v>32620.75577250633</c:v>
                </c:pt>
                <c:pt idx="21">
                  <c:v>32620.75577250633</c:v>
                </c:pt>
                <c:pt idx="22">
                  <c:v>32620.75577250633</c:v>
                </c:pt>
                <c:pt idx="23">
                  <c:v>32620.75577250633</c:v>
                </c:pt>
                <c:pt idx="24">
                  <c:v>32620.75577250633</c:v>
                </c:pt>
                <c:pt idx="25">
                  <c:v>32620.75577250633</c:v>
                </c:pt>
                <c:pt idx="26">
                  <c:v>32620.75577250633</c:v>
                </c:pt>
                <c:pt idx="27">
                  <c:v>32620.75577250633</c:v>
                </c:pt>
                <c:pt idx="28">
                  <c:v>32620.75577250633</c:v>
                </c:pt>
                <c:pt idx="29">
                  <c:v>32620.75577250633</c:v>
                </c:pt>
                <c:pt idx="30">
                  <c:v>32620.75577250633</c:v>
                </c:pt>
                <c:pt idx="31">
                  <c:v>32620.75577250633</c:v>
                </c:pt>
                <c:pt idx="32">
                  <c:v>32620.75577250633</c:v>
                </c:pt>
                <c:pt idx="33">
                  <c:v>32620.75577250633</c:v>
                </c:pt>
                <c:pt idx="34">
                  <c:v>32620.75577250633</c:v>
                </c:pt>
                <c:pt idx="35">
                  <c:v>32620.75577250633</c:v>
                </c:pt>
                <c:pt idx="36">
                  <c:v>32620.75577250633</c:v>
                </c:pt>
                <c:pt idx="37">
                  <c:v>32620.75577250633</c:v>
                </c:pt>
                <c:pt idx="38">
                  <c:v>32620.75577250633</c:v>
                </c:pt>
                <c:pt idx="39">
                  <c:v>32620.75577250633</c:v>
                </c:pt>
                <c:pt idx="40">
                  <c:v>32620.75577250633</c:v>
                </c:pt>
                <c:pt idx="41">
                  <c:v>32620.75577250633</c:v>
                </c:pt>
                <c:pt idx="42">
                  <c:v>32620.75577250633</c:v>
                </c:pt>
                <c:pt idx="43">
                  <c:v>32620.75577250633</c:v>
                </c:pt>
                <c:pt idx="44">
                  <c:v>32620.75577250633</c:v>
                </c:pt>
                <c:pt idx="45">
                  <c:v>32620.75577250633</c:v>
                </c:pt>
                <c:pt idx="46">
                  <c:v>32620.75577250633</c:v>
                </c:pt>
                <c:pt idx="47">
                  <c:v>32620.75577250633</c:v>
                </c:pt>
                <c:pt idx="48">
                  <c:v>32620.75577250633</c:v>
                </c:pt>
                <c:pt idx="49">
                  <c:v>32620.75577250633</c:v>
                </c:pt>
                <c:pt idx="50">
                  <c:v>32620.75577250633</c:v>
                </c:pt>
                <c:pt idx="51">
                  <c:v>32620.75577250633</c:v>
                </c:pt>
                <c:pt idx="52">
                  <c:v>32620.75577250633</c:v>
                </c:pt>
                <c:pt idx="53">
                  <c:v>32620.75577250633</c:v>
                </c:pt>
                <c:pt idx="54">
                  <c:v>32620.75577250633</c:v>
                </c:pt>
                <c:pt idx="55">
                  <c:v>32620.75577250633</c:v>
                </c:pt>
                <c:pt idx="56">
                  <c:v>32620.75577250633</c:v>
                </c:pt>
                <c:pt idx="57">
                  <c:v>32620.75577250633</c:v>
                </c:pt>
                <c:pt idx="58">
                  <c:v>32620.75577250633</c:v>
                </c:pt>
                <c:pt idx="59">
                  <c:v>32620.75577250633</c:v>
                </c:pt>
                <c:pt idx="60">
                  <c:v>32620.75577250633</c:v>
                </c:pt>
                <c:pt idx="61">
                  <c:v>32620.75577250633</c:v>
                </c:pt>
                <c:pt idx="62">
                  <c:v>32620.75577250633</c:v>
                </c:pt>
                <c:pt idx="63">
                  <c:v>32620.75577250633</c:v>
                </c:pt>
                <c:pt idx="64">
                  <c:v>32620.75577250633</c:v>
                </c:pt>
                <c:pt idx="65">
                  <c:v>32620.75577250633</c:v>
                </c:pt>
                <c:pt idx="66">
                  <c:v>32620.75577250633</c:v>
                </c:pt>
                <c:pt idx="67">
                  <c:v>32620.75577250633</c:v>
                </c:pt>
                <c:pt idx="68">
                  <c:v>32620.75577250633</c:v>
                </c:pt>
                <c:pt idx="69">
                  <c:v>32620.75577250633</c:v>
                </c:pt>
                <c:pt idx="70">
                  <c:v>32620.75577250633</c:v>
                </c:pt>
                <c:pt idx="71">
                  <c:v>32620.75577250633</c:v>
                </c:pt>
                <c:pt idx="72">
                  <c:v>32620.75577250633</c:v>
                </c:pt>
                <c:pt idx="73">
                  <c:v>32620.75577250633</c:v>
                </c:pt>
                <c:pt idx="74">
                  <c:v>32620.75577250633</c:v>
                </c:pt>
                <c:pt idx="75">
                  <c:v>32620.75577250633</c:v>
                </c:pt>
                <c:pt idx="76">
                  <c:v>32620.75577250633</c:v>
                </c:pt>
                <c:pt idx="77">
                  <c:v>32620.75577250633</c:v>
                </c:pt>
                <c:pt idx="78">
                  <c:v>32620.75577250633</c:v>
                </c:pt>
                <c:pt idx="79">
                  <c:v>32620.75577250633</c:v>
                </c:pt>
                <c:pt idx="80">
                  <c:v>32620.75577250633</c:v>
                </c:pt>
                <c:pt idx="81">
                  <c:v>32620.75577250633</c:v>
                </c:pt>
                <c:pt idx="82">
                  <c:v>32620.75577250633</c:v>
                </c:pt>
                <c:pt idx="83">
                  <c:v>32620.75577250633</c:v>
                </c:pt>
                <c:pt idx="84">
                  <c:v>32620.75577250633</c:v>
                </c:pt>
                <c:pt idx="85">
                  <c:v>32620.75577250633</c:v>
                </c:pt>
                <c:pt idx="86">
                  <c:v>32620.75577250633</c:v>
                </c:pt>
                <c:pt idx="87">
                  <c:v>32620.75577250633</c:v>
                </c:pt>
                <c:pt idx="88">
                  <c:v>31395.42814044613</c:v>
                </c:pt>
                <c:pt idx="89">
                  <c:v>28944.77287632572</c:v>
                </c:pt>
                <c:pt idx="90">
                  <c:v>26494.1176122053</c:v>
                </c:pt>
                <c:pt idx="91">
                  <c:v>24043.46234808489</c:v>
                </c:pt>
                <c:pt idx="92">
                  <c:v>21592.80708396448</c:v>
                </c:pt>
                <c:pt idx="93">
                  <c:v>19142.15181984407</c:v>
                </c:pt>
                <c:pt idx="94">
                  <c:v>16691.49655572365</c:v>
                </c:pt>
                <c:pt idx="95">
                  <c:v>14240.84129160324</c:v>
                </c:pt>
                <c:pt idx="96">
                  <c:v>11790.18602748283</c:v>
                </c:pt>
                <c:pt idx="97">
                  <c:v>9339.530763362417</c:v>
                </c:pt>
                <c:pt idx="98">
                  <c:v>7550.288131302213</c:v>
                </c:pt>
                <c:pt idx="99">
                  <c:v>6422.458131302213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148.165</c:v>
                </c:pt>
                <c:pt idx="99">
                  <c:v>444.495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360984"/>
        <c:axId val="2084355544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29831.10902214856</c:v>
                </c:pt>
                <c:pt idx="4">
                  <c:v>29831.10902214856</c:v>
                </c:pt>
                <c:pt idx="5">
                  <c:v>29831.10902214856</c:v>
                </c:pt>
                <c:pt idx="6">
                  <c:v>29831.10902214856</c:v>
                </c:pt>
                <c:pt idx="7">
                  <c:v>29831.10902214856</c:v>
                </c:pt>
                <c:pt idx="8">
                  <c:v>29831.10902214856</c:v>
                </c:pt>
                <c:pt idx="9">
                  <c:v>29831.10902214856</c:v>
                </c:pt>
                <c:pt idx="10">
                  <c:v>29831.10902214856</c:v>
                </c:pt>
                <c:pt idx="11">
                  <c:v>29831.10902214856</c:v>
                </c:pt>
                <c:pt idx="12">
                  <c:v>29831.10902214856</c:v>
                </c:pt>
                <c:pt idx="13">
                  <c:v>29831.10902214856</c:v>
                </c:pt>
                <c:pt idx="14">
                  <c:v>29831.10902214856</c:v>
                </c:pt>
                <c:pt idx="15">
                  <c:v>29831.10902214856</c:v>
                </c:pt>
                <c:pt idx="16">
                  <c:v>29831.10902214856</c:v>
                </c:pt>
                <c:pt idx="17">
                  <c:v>29831.10902214856</c:v>
                </c:pt>
                <c:pt idx="18">
                  <c:v>29831.10902214856</c:v>
                </c:pt>
                <c:pt idx="19">
                  <c:v>29831.10902214856</c:v>
                </c:pt>
                <c:pt idx="20">
                  <c:v>29831.10902214856</c:v>
                </c:pt>
                <c:pt idx="21">
                  <c:v>29831.10902214856</c:v>
                </c:pt>
                <c:pt idx="22">
                  <c:v>29831.10902214856</c:v>
                </c:pt>
                <c:pt idx="23">
                  <c:v>29831.10902214856</c:v>
                </c:pt>
                <c:pt idx="24">
                  <c:v>29831.10902214856</c:v>
                </c:pt>
                <c:pt idx="25">
                  <c:v>29831.10902214856</c:v>
                </c:pt>
                <c:pt idx="26">
                  <c:v>29831.10902214856</c:v>
                </c:pt>
                <c:pt idx="27">
                  <c:v>29831.10902214856</c:v>
                </c:pt>
                <c:pt idx="28">
                  <c:v>29831.10902214856</c:v>
                </c:pt>
                <c:pt idx="29">
                  <c:v>29831.10902214856</c:v>
                </c:pt>
                <c:pt idx="30">
                  <c:v>29831.10902214856</c:v>
                </c:pt>
                <c:pt idx="31">
                  <c:v>29831.10902214856</c:v>
                </c:pt>
                <c:pt idx="32">
                  <c:v>29831.10902214856</c:v>
                </c:pt>
                <c:pt idx="33">
                  <c:v>29831.10902214856</c:v>
                </c:pt>
                <c:pt idx="34">
                  <c:v>29831.10902214856</c:v>
                </c:pt>
                <c:pt idx="35">
                  <c:v>29831.10902214856</c:v>
                </c:pt>
                <c:pt idx="36">
                  <c:v>29831.10902214856</c:v>
                </c:pt>
                <c:pt idx="37">
                  <c:v>29831.10902214856</c:v>
                </c:pt>
                <c:pt idx="38">
                  <c:v>29831.10902214856</c:v>
                </c:pt>
                <c:pt idx="39">
                  <c:v>29831.10902214856</c:v>
                </c:pt>
                <c:pt idx="40">
                  <c:v>29831.10902214856</c:v>
                </c:pt>
                <c:pt idx="41">
                  <c:v>29831.10902214856</c:v>
                </c:pt>
                <c:pt idx="42">
                  <c:v>29831.10902214856</c:v>
                </c:pt>
                <c:pt idx="43">
                  <c:v>29831.10902214856</c:v>
                </c:pt>
                <c:pt idx="44">
                  <c:v>29831.10902214856</c:v>
                </c:pt>
                <c:pt idx="45">
                  <c:v>29831.10902214856</c:v>
                </c:pt>
                <c:pt idx="46">
                  <c:v>29831.10902214856</c:v>
                </c:pt>
                <c:pt idx="47">
                  <c:v>29831.10902214856</c:v>
                </c:pt>
                <c:pt idx="48">
                  <c:v>29831.10902214856</c:v>
                </c:pt>
                <c:pt idx="49">
                  <c:v>29831.10902214856</c:v>
                </c:pt>
                <c:pt idx="50">
                  <c:v>29831.10902214856</c:v>
                </c:pt>
                <c:pt idx="51">
                  <c:v>29831.10902214856</c:v>
                </c:pt>
                <c:pt idx="52">
                  <c:v>29831.10902214856</c:v>
                </c:pt>
                <c:pt idx="53">
                  <c:v>29831.10902214856</c:v>
                </c:pt>
                <c:pt idx="54">
                  <c:v>29831.10902214856</c:v>
                </c:pt>
                <c:pt idx="55">
                  <c:v>29831.10902214856</c:v>
                </c:pt>
                <c:pt idx="56">
                  <c:v>29831.10902214856</c:v>
                </c:pt>
                <c:pt idx="57">
                  <c:v>29831.10902214856</c:v>
                </c:pt>
                <c:pt idx="58">
                  <c:v>29831.10902214856</c:v>
                </c:pt>
                <c:pt idx="59">
                  <c:v>29831.10902214856</c:v>
                </c:pt>
                <c:pt idx="60">
                  <c:v>29831.10902214856</c:v>
                </c:pt>
                <c:pt idx="61">
                  <c:v>29831.10902214856</c:v>
                </c:pt>
                <c:pt idx="62">
                  <c:v>29831.10902214856</c:v>
                </c:pt>
                <c:pt idx="63">
                  <c:v>29831.10902214856</c:v>
                </c:pt>
                <c:pt idx="64">
                  <c:v>29831.10902214856</c:v>
                </c:pt>
                <c:pt idx="65">
                  <c:v>29831.10902214856</c:v>
                </c:pt>
                <c:pt idx="66">
                  <c:v>29831.10902214856</c:v>
                </c:pt>
                <c:pt idx="67">
                  <c:v>29831.10902214856</c:v>
                </c:pt>
                <c:pt idx="68">
                  <c:v>29831.10902214856</c:v>
                </c:pt>
                <c:pt idx="69">
                  <c:v>29831.10902214856</c:v>
                </c:pt>
                <c:pt idx="70">
                  <c:v>29831.10902214856</c:v>
                </c:pt>
                <c:pt idx="71">
                  <c:v>29831.10902214856</c:v>
                </c:pt>
                <c:pt idx="72">
                  <c:v>29831.10902214856</c:v>
                </c:pt>
                <c:pt idx="73">
                  <c:v>29831.10902214856</c:v>
                </c:pt>
                <c:pt idx="74">
                  <c:v>29831.10902214856</c:v>
                </c:pt>
                <c:pt idx="75">
                  <c:v>29831.10902214856</c:v>
                </c:pt>
                <c:pt idx="76">
                  <c:v>29831.10902214856</c:v>
                </c:pt>
                <c:pt idx="77">
                  <c:v>29831.10902214856</c:v>
                </c:pt>
                <c:pt idx="78">
                  <c:v>29831.10902214856</c:v>
                </c:pt>
                <c:pt idx="79">
                  <c:v>29831.10902214856</c:v>
                </c:pt>
                <c:pt idx="80">
                  <c:v>29831.10902214856</c:v>
                </c:pt>
                <c:pt idx="81">
                  <c:v>29831.10902214856</c:v>
                </c:pt>
                <c:pt idx="82">
                  <c:v>29831.10902214856</c:v>
                </c:pt>
                <c:pt idx="83">
                  <c:v>29831.10902214856</c:v>
                </c:pt>
                <c:pt idx="84">
                  <c:v>29831.10902214856</c:v>
                </c:pt>
                <c:pt idx="85">
                  <c:v>29831.10902214856</c:v>
                </c:pt>
                <c:pt idx="86">
                  <c:v>29831.10902214856</c:v>
                </c:pt>
                <c:pt idx="87">
                  <c:v>29831.10902214856</c:v>
                </c:pt>
                <c:pt idx="88">
                  <c:v>29831.10902214856</c:v>
                </c:pt>
                <c:pt idx="89">
                  <c:v>29831.10902214856</c:v>
                </c:pt>
                <c:pt idx="90">
                  <c:v>29831.10902214856</c:v>
                </c:pt>
                <c:pt idx="91">
                  <c:v>29831.10902214856</c:v>
                </c:pt>
                <c:pt idx="92">
                  <c:v>29831.10902214856</c:v>
                </c:pt>
                <c:pt idx="93">
                  <c:v>29831.10902214856</c:v>
                </c:pt>
                <c:pt idx="94">
                  <c:v>29831.10902214856</c:v>
                </c:pt>
                <c:pt idx="95">
                  <c:v>29831.10902214857</c:v>
                </c:pt>
                <c:pt idx="96">
                  <c:v>29831.10902214857</c:v>
                </c:pt>
                <c:pt idx="97">
                  <c:v>29831.10902214857</c:v>
                </c:pt>
                <c:pt idx="98">
                  <c:v>29831.10902214857</c:v>
                </c:pt>
                <c:pt idx="99">
                  <c:v>29831.10902214857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38348.61971762566</c:v>
                </c:pt>
                <c:pt idx="1">
                  <c:v>38348.61971762566</c:v>
                </c:pt>
                <c:pt idx="2">
                  <c:v>38348.61971762566</c:v>
                </c:pt>
                <c:pt idx="3">
                  <c:v>38348.61971762566</c:v>
                </c:pt>
                <c:pt idx="4">
                  <c:v>38348.61971762566</c:v>
                </c:pt>
                <c:pt idx="5">
                  <c:v>38348.61971762566</c:v>
                </c:pt>
                <c:pt idx="6">
                  <c:v>38348.61971762566</c:v>
                </c:pt>
                <c:pt idx="7">
                  <c:v>38348.61971762566</c:v>
                </c:pt>
                <c:pt idx="8">
                  <c:v>38348.61971762566</c:v>
                </c:pt>
                <c:pt idx="9">
                  <c:v>38348.61971762566</c:v>
                </c:pt>
                <c:pt idx="10">
                  <c:v>38348.61971762566</c:v>
                </c:pt>
                <c:pt idx="11">
                  <c:v>38348.61971762566</c:v>
                </c:pt>
                <c:pt idx="12">
                  <c:v>38348.61971762566</c:v>
                </c:pt>
                <c:pt idx="13">
                  <c:v>38348.61971762566</c:v>
                </c:pt>
                <c:pt idx="14">
                  <c:v>38348.61971762566</c:v>
                </c:pt>
                <c:pt idx="15">
                  <c:v>38348.61971762566</c:v>
                </c:pt>
                <c:pt idx="16">
                  <c:v>38348.61971762566</c:v>
                </c:pt>
                <c:pt idx="17">
                  <c:v>38348.61971762566</c:v>
                </c:pt>
                <c:pt idx="18">
                  <c:v>38348.61971762566</c:v>
                </c:pt>
                <c:pt idx="19">
                  <c:v>38348.61971762566</c:v>
                </c:pt>
                <c:pt idx="20">
                  <c:v>38348.61971762566</c:v>
                </c:pt>
                <c:pt idx="21">
                  <c:v>38348.61971762566</c:v>
                </c:pt>
                <c:pt idx="22">
                  <c:v>38348.61971762566</c:v>
                </c:pt>
                <c:pt idx="23">
                  <c:v>38348.61971762566</c:v>
                </c:pt>
                <c:pt idx="24">
                  <c:v>38348.61971762566</c:v>
                </c:pt>
                <c:pt idx="25">
                  <c:v>38348.61971762566</c:v>
                </c:pt>
                <c:pt idx="26">
                  <c:v>38477.32049664336</c:v>
                </c:pt>
                <c:pt idx="27">
                  <c:v>38606.02127566106</c:v>
                </c:pt>
                <c:pt idx="28">
                  <c:v>38734.72205467876</c:v>
                </c:pt>
                <c:pt idx="29">
                  <c:v>38863.42283369645</c:v>
                </c:pt>
                <c:pt idx="30">
                  <c:v>38992.12361271416</c:v>
                </c:pt>
                <c:pt idx="31">
                  <c:v>39120.82439173186</c:v>
                </c:pt>
                <c:pt idx="32">
                  <c:v>39249.52517074956</c:v>
                </c:pt>
                <c:pt idx="33">
                  <c:v>39378.22594976726</c:v>
                </c:pt>
                <c:pt idx="34">
                  <c:v>39506.92672878497</c:v>
                </c:pt>
                <c:pt idx="35">
                  <c:v>39635.62750780267</c:v>
                </c:pt>
                <c:pt idx="36">
                  <c:v>39764.32828682037</c:v>
                </c:pt>
                <c:pt idx="37">
                  <c:v>39893.02906583807</c:v>
                </c:pt>
                <c:pt idx="38">
                  <c:v>40021.72984485577</c:v>
                </c:pt>
                <c:pt idx="39">
                  <c:v>40150.43062387347</c:v>
                </c:pt>
                <c:pt idx="40">
                  <c:v>40279.13140289117</c:v>
                </c:pt>
                <c:pt idx="41">
                  <c:v>40407.83218190887</c:v>
                </c:pt>
                <c:pt idx="42">
                  <c:v>40536.53296092657</c:v>
                </c:pt>
                <c:pt idx="43">
                  <c:v>40665.23373994427</c:v>
                </c:pt>
                <c:pt idx="44">
                  <c:v>40793.93451896197</c:v>
                </c:pt>
                <c:pt idx="45">
                  <c:v>40922.63529797967</c:v>
                </c:pt>
                <c:pt idx="46">
                  <c:v>41051.33607699737</c:v>
                </c:pt>
                <c:pt idx="47">
                  <c:v>41180.03685601507</c:v>
                </c:pt>
                <c:pt idx="48">
                  <c:v>41308.73763503278</c:v>
                </c:pt>
                <c:pt idx="49">
                  <c:v>41437.43841405047</c:v>
                </c:pt>
                <c:pt idx="50">
                  <c:v>41566.13919306817</c:v>
                </c:pt>
                <c:pt idx="51">
                  <c:v>41694.83997208587</c:v>
                </c:pt>
                <c:pt idx="52">
                  <c:v>41823.54075110357</c:v>
                </c:pt>
                <c:pt idx="53">
                  <c:v>41952.24153012127</c:v>
                </c:pt>
                <c:pt idx="54">
                  <c:v>42080.94230913897</c:v>
                </c:pt>
                <c:pt idx="55">
                  <c:v>42209.64308815668</c:v>
                </c:pt>
                <c:pt idx="56">
                  <c:v>42338.34386717437</c:v>
                </c:pt>
                <c:pt idx="57">
                  <c:v>42467.04464619208</c:v>
                </c:pt>
                <c:pt idx="58">
                  <c:v>42595.74542520978</c:v>
                </c:pt>
                <c:pt idx="59">
                  <c:v>42724.44620422748</c:v>
                </c:pt>
                <c:pt idx="60">
                  <c:v>42853.14698324518</c:v>
                </c:pt>
                <c:pt idx="61">
                  <c:v>42981.84776226289</c:v>
                </c:pt>
                <c:pt idx="62">
                  <c:v>43110.54854128058</c:v>
                </c:pt>
                <c:pt idx="63">
                  <c:v>43239.24932029829</c:v>
                </c:pt>
                <c:pt idx="64">
                  <c:v>43367.95009931598</c:v>
                </c:pt>
                <c:pt idx="65">
                  <c:v>43496.65087833368</c:v>
                </c:pt>
                <c:pt idx="66">
                  <c:v>44072.5302278772</c:v>
                </c:pt>
                <c:pt idx="67">
                  <c:v>44648.40957742071</c:v>
                </c:pt>
                <c:pt idx="68">
                  <c:v>45224.28892696423</c:v>
                </c:pt>
                <c:pt idx="69">
                  <c:v>45800.16827650775</c:v>
                </c:pt>
                <c:pt idx="70">
                  <c:v>46376.04762605127</c:v>
                </c:pt>
                <c:pt idx="71">
                  <c:v>46951.92697559478</c:v>
                </c:pt>
                <c:pt idx="72">
                  <c:v>47527.8063251383</c:v>
                </c:pt>
                <c:pt idx="73">
                  <c:v>48103.68567468182</c:v>
                </c:pt>
                <c:pt idx="74">
                  <c:v>48679.56502422533</c:v>
                </c:pt>
                <c:pt idx="75">
                  <c:v>49255.44437376884</c:v>
                </c:pt>
                <c:pt idx="76">
                  <c:v>49831.32372331237</c:v>
                </c:pt>
                <c:pt idx="77">
                  <c:v>50407.20307285587</c:v>
                </c:pt>
                <c:pt idx="78">
                  <c:v>50983.0824223994</c:v>
                </c:pt>
                <c:pt idx="79">
                  <c:v>51558.96177194291</c:v>
                </c:pt>
                <c:pt idx="80">
                  <c:v>52134.84112148642</c:v>
                </c:pt>
                <c:pt idx="81">
                  <c:v>52710.72047102994</c:v>
                </c:pt>
                <c:pt idx="82">
                  <c:v>53286.59982057346</c:v>
                </c:pt>
                <c:pt idx="83">
                  <c:v>53862.47917011697</c:v>
                </c:pt>
                <c:pt idx="84">
                  <c:v>54438.3585196605</c:v>
                </c:pt>
                <c:pt idx="85">
                  <c:v>55014.23786920401</c:v>
                </c:pt>
                <c:pt idx="86">
                  <c:v>55590.11721874752</c:v>
                </c:pt>
                <c:pt idx="87">
                  <c:v>56165.99656829104</c:v>
                </c:pt>
                <c:pt idx="88">
                  <c:v>57912.28586340115</c:v>
                </c:pt>
                <c:pt idx="89">
                  <c:v>60828.98510407787</c:v>
                </c:pt>
                <c:pt idx="90">
                  <c:v>63745.68434475457</c:v>
                </c:pt>
                <c:pt idx="91">
                  <c:v>66662.3835854313</c:v>
                </c:pt>
                <c:pt idx="92">
                  <c:v>69579.082826108</c:v>
                </c:pt>
                <c:pt idx="93">
                  <c:v>72495.7820667847</c:v>
                </c:pt>
                <c:pt idx="94">
                  <c:v>75412.48130746142</c:v>
                </c:pt>
                <c:pt idx="95">
                  <c:v>78329.18054813813</c:v>
                </c:pt>
                <c:pt idx="96">
                  <c:v>81245.87978881485</c:v>
                </c:pt>
                <c:pt idx="97">
                  <c:v>84162.57902949156</c:v>
                </c:pt>
                <c:pt idx="98">
                  <c:v>90510.8291498299</c:v>
                </c:pt>
                <c:pt idx="99">
                  <c:v>100290.6301498299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360984"/>
        <c:axId val="2084355544"/>
      </c:lineChart>
      <c:catAx>
        <c:axId val="2084360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435554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843555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4360984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0.0854766846547668</c:v>
                </c:pt>
                <c:pt idx="1">
                  <c:v>0.0170953369309534</c:v>
                </c:pt>
                <c:pt idx="2" formatCode="0.0%">
                  <c:v>0.0170953369309534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0.0694287826899128</c:v>
                </c:pt>
                <c:pt idx="1">
                  <c:v>0.0138857565379826</c:v>
                </c:pt>
                <c:pt idx="2" formatCode="0.0%">
                  <c:v>0.0138857565379826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</c:v>
                </c:pt>
                <c:pt idx="1">
                  <c:v>0.01</c:v>
                </c:pt>
                <c:pt idx="2" formatCode="0.0%">
                  <c:v>0.01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0.162453575342466</c:v>
                </c:pt>
                <c:pt idx="1">
                  <c:v>0.0487360726027397</c:v>
                </c:pt>
                <c:pt idx="2" formatCode="0.0%">
                  <c:v>0.0693976438356164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0.0385614881693649</c:v>
                </c:pt>
                <c:pt idx="1">
                  <c:v>0.0115684464508095</c:v>
                </c:pt>
                <c:pt idx="2" formatCode="0.0%">
                  <c:v>0.0115684464508095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0.0667732901618929</c:v>
                </c:pt>
                <c:pt idx="1">
                  <c:v>0.0133546580323786</c:v>
                </c:pt>
                <c:pt idx="2" formatCode="0.0%">
                  <c:v>0.00913222938978829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0.0019986799501868</c:v>
                </c:pt>
                <c:pt idx="1">
                  <c:v>0.00039973599003736</c:v>
                </c:pt>
                <c:pt idx="2" formatCode="0.0%">
                  <c:v>0.00059960398505604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0.0379514321295143</c:v>
                </c:pt>
                <c:pt idx="1">
                  <c:v>0.00759028642590286</c:v>
                </c:pt>
                <c:pt idx="2" formatCode="0.0%">
                  <c:v>0.0125404732254047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0.104822073474471</c:v>
                </c:pt>
                <c:pt idx="1">
                  <c:v>0.0209644146948941</c:v>
                </c:pt>
                <c:pt idx="2" formatCode="0.0%">
                  <c:v>0.0310273337484433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0.00706032932060329</c:v>
                </c:pt>
                <c:pt idx="1">
                  <c:v>0.00141206586412066</c:v>
                </c:pt>
                <c:pt idx="2" formatCode="0.0%">
                  <c:v>0.00317147869470287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0.0225716064757161</c:v>
                </c:pt>
                <c:pt idx="1">
                  <c:v>0.00451432129514321</c:v>
                </c:pt>
                <c:pt idx="2" formatCode="0.0%">
                  <c:v>0.00451432129514321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0.011706102117061</c:v>
                </c:pt>
                <c:pt idx="1">
                  <c:v>0.011706102117061</c:v>
                </c:pt>
                <c:pt idx="2" formatCode="0.0%">
                  <c:v>0.0150920512860159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0.0534777235367372</c:v>
                </c:pt>
                <c:pt idx="1">
                  <c:v>0.0534777235367372</c:v>
                </c:pt>
                <c:pt idx="2" formatCode="0.0%">
                  <c:v>0.0534777235367372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0.0256330427563304</c:v>
                </c:pt>
                <c:pt idx="1">
                  <c:v>0.0256330427563304</c:v>
                </c:pt>
                <c:pt idx="2" formatCode="0.0%">
                  <c:v>0.0256330427563304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0.105820105820106</c:v>
                </c:pt>
                <c:pt idx="1">
                  <c:v>0.105820105820106</c:v>
                </c:pt>
                <c:pt idx="2" formatCode="0.0%">
                  <c:v>0.105820105820106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0.027003904109589</c:v>
                </c:pt>
                <c:pt idx="1">
                  <c:v>0.027003904109589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0.2056184</c:v>
                </c:pt>
                <c:pt idx="1">
                  <c:v>0.2056184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0.605608714819427</c:v>
                </c:pt>
                <c:pt idx="1">
                  <c:v>0.142171050987573</c:v>
                </c:pt>
                <c:pt idx="2" formatCode="0.0%">
                  <c:v>0.392407678564913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9568488"/>
        <c:axId val="-2089576072"/>
      </c:barChart>
      <c:catAx>
        <c:axId val="-2089568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9576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9576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95684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0.0140800124533001</c:v>
                </c:pt>
                <c:pt idx="1">
                  <c:v>0.00281600249066002</c:v>
                </c:pt>
                <c:pt idx="2" formatCode="0.0%">
                  <c:v>0.00281600249066002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0.00234666874221669</c:v>
                </c:pt>
                <c:pt idx="1">
                  <c:v>0.000469333748443337</c:v>
                </c:pt>
                <c:pt idx="2" formatCode="0.0%">
                  <c:v>0.000469333748443337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0.005906425124533</c:v>
                </c:pt>
                <c:pt idx="1">
                  <c:v>0.0011812850249066</c:v>
                </c:pt>
                <c:pt idx="2" formatCode="0.0%">
                  <c:v>0.0011812850249066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0.0425</c:v>
                </c:pt>
                <c:pt idx="1">
                  <c:v>0.0085</c:v>
                </c:pt>
                <c:pt idx="2" formatCode="0.0%">
                  <c:v>0.0085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0.0887185787671233</c:v>
                </c:pt>
                <c:pt idx="1">
                  <c:v>0.026615573630137</c:v>
                </c:pt>
                <c:pt idx="2" formatCode="0.0%">
                  <c:v>0.026615573630137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0.0441882067247821</c:v>
                </c:pt>
                <c:pt idx="1">
                  <c:v>0.00883764134495641</c:v>
                </c:pt>
                <c:pt idx="2" formatCode="0.0%">
                  <c:v>0.00883764134495641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0.0498583748443337</c:v>
                </c:pt>
                <c:pt idx="1">
                  <c:v>0.00997167496886675</c:v>
                </c:pt>
                <c:pt idx="2" formatCode="0.0%">
                  <c:v>0.0124645937110834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0.0259884806973848</c:v>
                </c:pt>
                <c:pt idx="1">
                  <c:v>0.00519769613947696</c:v>
                </c:pt>
                <c:pt idx="2" formatCode="0.0%">
                  <c:v>0.00519769613947696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0.0330189531444583</c:v>
                </c:pt>
                <c:pt idx="1">
                  <c:v>0.00660379062889165</c:v>
                </c:pt>
                <c:pt idx="2" formatCode="0.0%">
                  <c:v>0.00660379062889165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0.006109900373599</c:v>
                </c:pt>
                <c:pt idx="1">
                  <c:v>0.0012219800747198</c:v>
                </c:pt>
                <c:pt idx="2" formatCode="0.0%">
                  <c:v>0.0012219800747198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0.0253930572851806</c:v>
                </c:pt>
                <c:pt idx="1">
                  <c:v>0.00507861145703611</c:v>
                </c:pt>
                <c:pt idx="2" formatCode="0.0%">
                  <c:v>0.00507861145703611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0.1812987375467</c:v>
                </c:pt>
                <c:pt idx="1">
                  <c:v>0.1812987375467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0.575179898816937</c:v>
                </c:pt>
                <c:pt idx="1">
                  <c:v>0.287965799478957</c:v>
                </c:pt>
                <c:pt idx="2" formatCode="0.0%">
                  <c:v>0.499658379415209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9749144"/>
        <c:axId val="-2089762472"/>
      </c:barChart>
      <c:catAx>
        <c:axId val="-2089749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9762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9762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97491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0.00113474470734745</c:v>
                </c:pt>
                <c:pt idx="1">
                  <c:v>0.00113474470734745</c:v>
                </c:pt>
                <c:pt idx="2">
                  <c:v>0.0022027397260274</c:v>
                </c:pt>
                <c:pt idx="3">
                  <c:v>0.0022027397260274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0.0209372587173101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0.034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0.106462294520548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0.044409147758406</c:v>
                </c:pt>
                <c:pt idx="3">
                  <c:v>0.0218731623287671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0.00439926836861768</c:v>
                </c:pt>
                <c:pt idx="1">
                  <c:v>0.00439926836861768</c:v>
                </c:pt>
                <c:pt idx="2">
                  <c:v>0.00439926836861768</c:v>
                </c:pt>
                <c:pt idx="3">
                  <c:v>0.00439926836861768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0.0207907845579078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0.0248598377466501</c:v>
                </c:pt>
                <c:pt idx="1">
                  <c:v>0.014919283788792</c:v>
                </c:pt>
                <c:pt idx="2">
                  <c:v>0.019889560767721</c:v>
                </c:pt>
                <c:pt idx="3">
                  <c:v>0.0248598377466501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-0.113173717546055</c:v>
                </c:pt>
                <c:pt idx="1">
                  <c:v>-0.0823007775560911</c:v>
                </c:pt>
                <c:pt idx="2">
                  <c:v>-0.143214390328159</c:v>
                </c:pt>
                <c:pt idx="3">
                  <c:v>2.428681623333019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9334968"/>
        <c:axId val="2139193848"/>
      </c:barChart>
      <c:catAx>
        <c:axId val="213933496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919384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39193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93349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0.00191488169364882</c:v>
                </c:pt>
                <c:pt idx="1">
                  <c:v>0.00191488169364882</c:v>
                </c:pt>
                <c:pt idx="2">
                  <c:v>0.00371712328767123</c:v>
                </c:pt>
                <c:pt idx="3">
                  <c:v>0.00371712328767123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0.00187733499377335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0.0047251400996264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0.034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0.106462294520548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0.0236848788044832</c:v>
                </c:pt>
                <c:pt idx="3">
                  <c:v>0.0116656865753425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0.0498583748443337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-1.36227473418857</c:v>
                </c:pt>
                <c:pt idx="1">
                  <c:v>-1.36227473418857</c:v>
                </c:pt>
                <c:pt idx="2">
                  <c:v>-1.36227473418857</c:v>
                </c:pt>
                <c:pt idx="3">
                  <c:v>-1.36227473418857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9593208"/>
        <c:axId val="-2089598616"/>
      </c:barChart>
      <c:catAx>
        <c:axId val="-208959320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959861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89598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95932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0.00177303860523039</c:v>
                </c:pt>
                <c:pt idx="1">
                  <c:v>0.00177303860523039</c:v>
                </c:pt>
                <c:pt idx="2">
                  <c:v>0.00344178082191781</c:v>
                </c:pt>
                <c:pt idx="3">
                  <c:v>0.00344178082191781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0.0371493773349938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0.034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0.248412020547945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0.0362674706693649</c:v>
                </c:pt>
                <c:pt idx="3">
                  <c:v>0.0178630825684931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0.00269821793275218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0.0564321295143213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0.0332944255535492</c:v>
                </c:pt>
                <c:pt idx="1">
                  <c:v>0.0199811836457036</c:v>
                </c:pt>
                <c:pt idx="2">
                  <c:v>0.0266378045996264</c:v>
                </c:pt>
                <c:pt idx="3">
                  <c:v>0.0332944255535492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-0.262592333514905</c:v>
                </c:pt>
                <c:pt idx="1">
                  <c:v>-0.618596530077461</c:v>
                </c:pt>
                <c:pt idx="2">
                  <c:v>-0.618596530077461</c:v>
                </c:pt>
                <c:pt idx="3">
                  <c:v>-0.503615890321381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9861976"/>
        <c:axId val="2139857528"/>
      </c:barChart>
      <c:catAx>
        <c:axId val="213986197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985752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39857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98619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0.0116248291130483</c:v>
                </c:pt>
                <c:pt idx="1">
                  <c:v>0.0116248291130483</c:v>
                </c:pt>
                <c:pt idx="2">
                  <c:v>0.0225658447488584</c:v>
                </c:pt>
                <c:pt idx="3">
                  <c:v>0.0225658447488584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0.0555430261519303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0.277590575342466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0.0462737858032378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0.0244743747646326</c:v>
                </c:pt>
                <c:pt idx="3">
                  <c:v>0.0120545427945205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0.00239841594022416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0.0501618929016189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0.0365005554216687</c:v>
                </c:pt>
                <c:pt idx="1">
                  <c:v>0.021905297626401</c:v>
                </c:pt>
                <c:pt idx="2">
                  <c:v>0.0292029265240349</c:v>
                </c:pt>
                <c:pt idx="3">
                  <c:v>0.0365005554216687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0.202010348405546</c:v>
                </c:pt>
                <c:pt idx="1">
                  <c:v>0.633614577558224</c:v>
                </c:pt>
                <c:pt idx="2">
                  <c:v>0.593299974200371</c:v>
                </c:pt>
                <c:pt idx="3">
                  <c:v>0.54826028437123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9650568"/>
        <c:axId val="2139644024"/>
      </c:barChart>
      <c:catAx>
        <c:axId val="213965056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964402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39644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96505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0.0204373594931535</c:v>
                </c:pt>
                <c:pt idx="1">
                  <c:v>0.0120580421009606</c:v>
                </c:pt>
                <c:pt idx="2">
                  <c:v>0.0120580421009606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0.0265685673410995</c:v>
                </c:pt>
                <c:pt idx="1">
                  <c:v>0.00743919885550786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0.00147148988350705</c:v>
                </c:pt>
                <c:pt idx="1">
                  <c:v>0.000412017167381974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0.00613120784794604</c:v>
                </c:pt>
                <c:pt idx="1">
                  <c:v>0.00171673819742489</c:v>
                </c:pt>
                <c:pt idx="2">
                  <c:v>0.00171673819742489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0.0453300633558144</c:v>
                </c:pt>
                <c:pt idx="1">
                  <c:v>0.025158185162477</c:v>
                </c:pt>
                <c:pt idx="2">
                  <c:v>0.025158185162477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0.900061312078479</c:v>
                </c:pt>
                <c:pt idx="1">
                  <c:v>1.062072348252606</c:v>
                </c:pt>
                <c:pt idx="2">
                  <c:v>1.062072348252606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9551240"/>
        <c:axId val="2089234968"/>
      </c:barChart>
      <c:catAx>
        <c:axId val="2089551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9234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9234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95512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cni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</sheetNames>
    <definedNames>
      <definedName name="wb_summary" refersTo="='WB'!$CK$9"/>
    </definedNames>
    <sheetDataSet>
      <sheetData sheetId="0"/>
      <sheetData sheetId="1">
        <row r="1">
          <cell r="B1" t="str">
            <v>ZACNI</v>
          </cell>
          <cell r="D1">
            <v>59106</v>
          </cell>
        </row>
        <row r="2">
          <cell r="A2" t="str">
            <v>Coastal open access non-crop income</v>
          </cell>
        </row>
        <row r="9">
          <cell r="CK9">
            <v>0.5</v>
          </cell>
        </row>
        <row r="10">
          <cell r="CK10">
            <v>0.3</v>
          </cell>
        </row>
        <row r="11">
          <cell r="CK11">
            <v>0.15</v>
          </cell>
        </row>
        <row r="12">
          <cell r="CK12">
            <v>0.05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13579.12894961681</v>
          </cell>
          <cell r="E1031">
            <v>13579.12894961681</v>
          </cell>
          <cell r="H1031">
            <v>13579.12894961681</v>
          </cell>
          <cell r="J1031">
            <v>15276.520068318912</v>
          </cell>
        </row>
        <row r="1032">
          <cell r="C1032">
            <v>13978.666666666668</v>
          </cell>
          <cell r="E1032">
            <v>13978.666666666668</v>
          </cell>
          <cell r="H1032">
            <v>13978.666666666668</v>
          </cell>
          <cell r="J1032">
            <v>15726.000000000002</v>
          </cell>
        </row>
        <row r="1033">
          <cell r="C1033">
            <v>27744</v>
          </cell>
          <cell r="E1033">
            <v>27744</v>
          </cell>
          <cell r="H1033">
            <v>27744</v>
          </cell>
          <cell r="J1033">
            <v>31212</v>
          </cell>
        </row>
        <row r="1034">
          <cell r="C1034">
            <v>2800</v>
          </cell>
          <cell r="E1034">
            <v>3740</v>
          </cell>
          <cell r="H1034">
            <v>7510</v>
          </cell>
          <cell r="J1034">
            <v>11510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0.64232512570888012</v>
          </cell>
          <cell r="E1038">
            <v>0.64232512570888012</v>
          </cell>
          <cell r="H1038">
            <v>0.64232512570888012</v>
          </cell>
          <cell r="J1038">
            <v>0.64232512570888012</v>
          </cell>
        </row>
        <row r="1039">
          <cell r="C1039">
            <v>8</v>
          </cell>
          <cell r="E1039">
            <v>8</v>
          </cell>
          <cell r="H1039">
            <v>8</v>
          </cell>
          <cell r="J1039">
            <v>9</v>
          </cell>
        </row>
        <row r="1040">
          <cell r="C1040">
            <v>4.509345794392523</v>
          </cell>
          <cell r="E1040">
            <v>4.509345794392523</v>
          </cell>
          <cell r="H1040">
            <v>4.509345794392523</v>
          </cell>
          <cell r="J1040">
            <v>4.509345794392523</v>
          </cell>
        </row>
        <row r="1044">
          <cell r="A1044" t="str">
            <v>Cows' milk - season 1</v>
          </cell>
          <cell r="C1044">
            <v>1.4080012453300126E-2</v>
          </cell>
          <cell r="D1044">
            <v>0</v>
          </cell>
          <cell r="E1044">
            <v>8.3437110834371116E-3</v>
          </cell>
          <cell r="F1044">
            <v>0</v>
          </cell>
          <cell r="H1044">
            <v>1.3037048567870486E-2</v>
          </cell>
          <cell r="I1044">
            <v>0</v>
          </cell>
          <cell r="J1044">
            <v>8.5476684654766849E-2</v>
          </cell>
          <cell r="K1044">
            <v>0</v>
          </cell>
        </row>
        <row r="1045">
          <cell r="A1045" t="str">
            <v>Cows' milk - season 2</v>
          </cell>
          <cell r="C1045">
            <v>2.3466687422166875E-3</v>
          </cell>
          <cell r="D1045">
            <v>0</v>
          </cell>
          <cell r="E1045">
            <v>0</v>
          </cell>
          <cell r="F1045">
            <v>0</v>
          </cell>
          <cell r="H1045">
            <v>0</v>
          </cell>
          <cell r="I1045">
            <v>0</v>
          </cell>
          <cell r="J1045">
            <v>0</v>
          </cell>
          <cell r="K1045">
            <v>0</v>
          </cell>
        </row>
        <row r="1046">
          <cell r="A1046" t="str">
            <v>Own meat</v>
          </cell>
          <cell r="C1046">
            <v>5.906425124533001E-3</v>
          </cell>
          <cell r="D1046">
            <v>0</v>
          </cell>
          <cell r="E1046">
            <v>2.6171573396637608E-2</v>
          </cell>
          <cell r="F1046">
            <v>0</v>
          </cell>
          <cell r="H1046">
            <v>4.6436721668742222E-2</v>
          </cell>
          <cell r="I1046">
            <v>0</v>
          </cell>
          <cell r="J1046">
            <v>6.942878268991283E-2</v>
          </cell>
          <cell r="K1046">
            <v>0</v>
          </cell>
        </row>
        <row r="1047">
          <cell r="A1047" t="str">
            <v>Green cons - Season 1: no of months</v>
          </cell>
          <cell r="C1047">
            <v>4.2500000000000003E-2</v>
          </cell>
          <cell r="D1047">
            <v>0</v>
          </cell>
          <cell r="E1047">
            <v>4.2500000000000003E-2</v>
          </cell>
          <cell r="F1047">
            <v>0</v>
          </cell>
          <cell r="H1047">
            <v>4.2500000000000003E-2</v>
          </cell>
          <cell r="I1047">
            <v>0</v>
          </cell>
          <cell r="J1047">
            <v>0.05</v>
          </cell>
          <cell r="K1047">
            <v>0</v>
          </cell>
        </row>
        <row r="1048">
          <cell r="A1048" t="str">
            <v>Maize: kg produced</v>
          </cell>
          <cell r="C1048">
            <v>8.8718578767123274E-2</v>
          </cell>
          <cell r="D1048">
            <v>0</v>
          </cell>
          <cell r="E1048">
            <v>8.8718578767123274E-2</v>
          </cell>
          <cell r="F1048">
            <v>0</v>
          </cell>
          <cell r="H1048">
            <v>0.13307786815068492</v>
          </cell>
          <cell r="I1048">
            <v>7.3932148972602724E-2</v>
          </cell>
          <cell r="J1048">
            <v>0.16245357534246571</v>
          </cell>
          <cell r="K1048">
            <v>6.8871904109589072E-2</v>
          </cell>
        </row>
        <row r="1049">
          <cell r="A1049" t="str">
            <v>Sorghum: kg produced</v>
          </cell>
          <cell r="C1049">
            <v>0</v>
          </cell>
          <cell r="D1049">
            <v>0</v>
          </cell>
          <cell r="E1049">
            <v>0</v>
          </cell>
          <cell r="F1049">
            <v>0</v>
          </cell>
          <cell r="H1049">
            <v>0</v>
          </cell>
          <cell r="I1049">
            <v>0</v>
          </cell>
          <cell r="J1049">
            <v>3.8561488169364881E-2</v>
          </cell>
          <cell r="K1049">
            <v>0</v>
          </cell>
        </row>
        <row r="1050">
          <cell r="A1050" t="str">
            <v>Beans: kg produced</v>
          </cell>
          <cell r="C1050">
            <v>4.4188206724782075E-2</v>
          </cell>
          <cell r="D1050">
            <v>0</v>
          </cell>
          <cell r="E1050">
            <v>8.2852887608966391E-2</v>
          </cell>
          <cell r="F1050">
            <v>0</v>
          </cell>
          <cell r="H1050">
            <v>0.10770875389165629</v>
          </cell>
          <cell r="I1050">
            <v>-4.0045562344333749E-2</v>
          </cell>
          <cell r="J1050">
            <v>6.6773290161892901E-2</v>
          </cell>
          <cell r="K1050">
            <v>-2.1112143212951434E-2</v>
          </cell>
        </row>
        <row r="1051">
          <cell r="A1051" t="str">
            <v>Cassava: no. local meas.</v>
          </cell>
          <cell r="C1051">
            <v>4.9858374844333753E-2</v>
          </cell>
          <cell r="D1051">
            <v>1.2464593711083438E-2</v>
          </cell>
          <cell r="E1051">
            <v>0</v>
          </cell>
          <cell r="F1051">
            <v>0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</row>
        <row r="1052">
          <cell r="A1052" t="str">
            <v>Water melon: no. local meas (Bhece)</v>
          </cell>
          <cell r="C1052">
            <v>0</v>
          </cell>
          <cell r="D1052">
            <v>0</v>
          </cell>
          <cell r="E1052">
            <v>0</v>
          </cell>
          <cell r="F1052">
            <v>0</v>
          </cell>
          <cell r="H1052">
            <v>2.2485149439601493E-3</v>
          </cell>
          <cell r="I1052">
            <v>1.1242574719800748E-3</v>
          </cell>
          <cell r="J1052">
            <v>1.9986799501867992E-3</v>
          </cell>
          <cell r="K1052">
            <v>9.9933997509339982E-4</v>
          </cell>
        </row>
        <row r="1053">
          <cell r="A1053" t="str">
            <v>Pumpkin: no. local meas</v>
          </cell>
          <cell r="C1053">
            <v>0</v>
          </cell>
          <cell r="D1053">
            <v>0</v>
          </cell>
          <cell r="E1053">
            <v>2.1996341843088418E-2</v>
          </cell>
          <cell r="F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</row>
        <row r="1054">
          <cell r="A1054" t="str">
            <v>Sweet poatato: no. local meas</v>
          </cell>
          <cell r="C1054">
            <v>2.5988480697384807E-2</v>
          </cell>
          <cell r="D1054">
            <v>0</v>
          </cell>
          <cell r="E1054">
            <v>2.5988480697384807E-2</v>
          </cell>
          <cell r="F1054">
            <v>0</v>
          </cell>
          <cell r="H1054">
            <v>6.125856164383562E-2</v>
          </cell>
          <cell r="I1054">
            <v>9.281600249065998E-3</v>
          </cell>
          <cell r="J1054">
            <v>3.7951432129514323E-2</v>
          </cell>
          <cell r="K1054">
            <v>2.4750933997509342E-2</v>
          </cell>
        </row>
        <row r="1055">
          <cell r="A1055" t="str">
            <v>Groundnuts (dry): no. local meas</v>
          </cell>
          <cell r="C1055">
            <v>3.3018953144458282E-2</v>
          </cell>
          <cell r="D1055">
            <v>0</v>
          </cell>
          <cell r="E1055">
            <v>5.849071699875466E-2</v>
          </cell>
          <cell r="F1055">
            <v>4.7169933063511846E-2</v>
          </cell>
          <cell r="H1055">
            <v>9.4339866127023678E-2</v>
          </cell>
          <cell r="I1055">
            <v>4.7169933063511818E-2</v>
          </cell>
          <cell r="J1055">
            <v>0.10482207347447074</v>
          </cell>
          <cell r="K1055">
            <v>5.0314595267745968E-2</v>
          </cell>
        </row>
        <row r="1056">
          <cell r="A1056" t="str">
            <v>Irish potato: type</v>
          </cell>
          <cell r="C1056">
            <v>6.1099003735990039E-3</v>
          </cell>
          <cell r="D1056">
            <v>0</v>
          </cell>
          <cell r="E1056">
            <v>8.3094645080946453E-3</v>
          </cell>
          <cell r="F1056">
            <v>2.1995641344956414E-3</v>
          </cell>
          <cell r="H1056">
            <v>2.4561799501867997E-2</v>
          </cell>
          <cell r="I1056">
            <v>2.358421544209215E-2</v>
          </cell>
          <cell r="J1056">
            <v>7.0603293206032928E-3</v>
          </cell>
          <cell r="K1056">
            <v>7.6034315760343165E-3</v>
          </cell>
        </row>
        <row r="1057">
          <cell r="A1057" t="str">
            <v>Yam: type</v>
          </cell>
          <cell r="C1057">
            <v>2.5393057285180574E-2</v>
          </cell>
          <cell r="D1057">
            <v>0</v>
          </cell>
          <cell r="E1057">
            <v>2.082230697384807E-2</v>
          </cell>
          <cell r="F1057">
            <v>0</v>
          </cell>
          <cell r="H1057">
            <v>2.0991594022415939E-2</v>
          </cell>
          <cell r="I1057">
            <v>0</v>
          </cell>
          <cell r="J1057">
            <v>2.2571606475716065E-2</v>
          </cell>
          <cell r="K1057">
            <v>0</v>
          </cell>
        </row>
        <row r="1058">
          <cell r="A1058" t="str">
            <v>FISHING -- see worksheet Data 3</v>
          </cell>
          <cell r="C1058">
            <v>0</v>
          </cell>
          <cell r="D1058">
            <v>0</v>
          </cell>
          <cell r="E1058">
            <v>0</v>
          </cell>
          <cell r="F1058">
            <v>0</v>
          </cell>
          <cell r="H1058">
            <v>0</v>
          </cell>
          <cell r="I1058">
            <v>0</v>
          </cell>
          <cell r="J1058">
            <v>1.1706102117061022E-2</v>
          </cell>
          <cell r="K1058">
            <v>2.9265255292652559E-3</v>
          </cell>
        </row>
        <row r="1059">
          <cell r="A1059" t="str">
            <v>Labour: Land clearing, construction, herding, slaughtering</v>
          </cell>
          <cell r="C1059">
            <v>0</v>
          </cell>
          <cell r="D1059">
            <v>0</v>
          </cell>
          <cell r="E1059">
            <v>5.6779890410958905E-2</v>
          </cell>
          <cell r="F1059">
            <v>0</v>
          </cell>
          <cell r="H1059">
            <v>0</v>
          </cell>
          <cell r="I1059">
            <v>0</v>
          </cell>
          <cell r="J1059">
            <v>0</v>
          </cell>
          <cell r="K1059">
            <v>0</v>
          </cell>
        </row>
        <row r="1060">
          <cell r="A1060" t="str">
            <v>Labour: Weeding</v>
          </cell>
          <cell r="C1060">
            <v>0</v>
          </cell>
          <cell r="D1060">
            <v>0</v>
          </cell>
          <cell r="E1060">
            <v>1.8926630136986301E-2</v>
          </cell>
          <cell r="F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</row>
        <row r="1061">
          <cell r="A1061" t="str">
            <v>Gifts/remittances: cereal</v>
          </cell>
          <cell r="C1061">
            <v>0</v>
          </cell>
          <cell r="D1061">
            <v>0</v>
          </cell>
          <cell r="E1061">
            <v>0</v>
          </cell>
          <cell r="F1061">
            <v>0</v>
          </cell>
          <cell r="H1061">
            <v>1.7694834993773351E-2</v>
          </cell>
          <cell r="I1061">
            <v>0</v>
          </cell>
          <cell r="J1061">
            <v>5.3477723536737236E-2</v>
          </cell>
          <cell r="K1061">
            <v>0</v>
          </cell>
        </row>
        <row r="1062">
          <cell r="A1062" t="str">
            <v>Gifts/remittances: Other</v>
          </cell>
          <cell r="C1062">
            <v>0</v>
          </cell>
          <cell r="D1062">
            <v>0</v>
          </cell>
          <cell r="E1062">
            <v>0</v>
          </cell>
          <cell r="F1062">
            <v>0</v>
          </cell>
          <cell r="H1062">
            <v>2.3069738480697384E-2</v>
          </cell>
          <cell r="I1062">
            <v>0</v>
          </cell>
          <cell r="J1062">
            <v>2.5633042756330427E-2</v>
          </cell>
          <cell r="K1062">
            <v>0</v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0.10582010582010581</v>
          </cell>
          <cell r="K1064">
            <v>0</v>
          </cell>
        </row>
        <row r="1065">
          <cell r="A1065" t="str">
            <v>Purchase - other</v>
          </cell>
          <cell r="C1065">
            <v>3.314115504358655E-2</v>
          </cell>
          <cell r="D1065">
            <v>-3.314115504358655E-2</v>
          </cell>
          <cell r="E1065">
            <v>3.314115504358655E-2</v>
          </cell>
          <cell r="F1065">
            <v>-3.314115504358655E-2</v>
          </cell>
          <cell r="H1065">
            <v>3.314115504358655E-2</v>
          </cell>
          <cell r="I1065">
            <v>-3.314115504358655E-2</v>
          </cell>
          <cell r="J1065">
            <v>2.7003904109589038E-2</v>
          </cell>
          <cell r="K1065">
            <v>-2.7003904109589038E-2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0.18129873754669984</v>
          </cell>
          <cell r="D1067">
            <v>4.3338036395297215E-2</v>
          </cell>
          <cell r="E1067">
            <v>0.19715891469489413</v>
          </cell>
          <cell r="F1067">
            <v>2.7477859247102939E-2</v>
          </cell>
          <cell r="H1067">
            <v>0.21142394971980072</v>
          </cell>
          <cell r="I1067">
            <v>1.3212824222196339E-2</v>
          </cell>
          <cell r="J1067">
            <v>0.20561839999999998</v>
          </cell>
          <cell r="K1067">
            <v>1.9018373941997086E-2</v>
          </cell>
        </row>
        <row r="1068">
          <cell r="A1068" t="str">
            <v>Purchase - staple</v>
          </cell>
          <cell r="C1068">
            <v>0.57517989881693654</v>
          </cell>
          <cell r="E1068">
            <v>0.57048734589041095</v>
          </cell>
          <cell r="H1068">
            <v>0.56457277397260275</v>
          </cell>
          <cell r="J1068">
            <v>0.60560871481942702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H1072">
            <v>2000</v>
          </cell>
          <cell r="I1072">
            <v>0</v>
          </cell>
          <cell r="J1072">
            <v>8000</v>
          </cell>
          <cell r="K1072">
            <v>2000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500</v>
          </cell>
          <cell r="F1073">
            <v>0</v>
          </cell>
          <cell r="H1073">
            <v>1500</v>
          </cell>
          <cell r="I1073">
            <v>1000</v>
          </cell>
          <cell r="J1073">
            <v>2500</v>
          </cell>
          <cell r="K1073">
            <v>500</v>
          </cell>
        </row>
        <row r="1074">
          <cell r="A1074" t="str">
            <v>Chicken sales: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0</v>
          </cell>
          <cell r="I1074">
            <v>0</v>
          </cell>
          <cell r="J1074">
            <v>550</v>
          </cell>
          <cell r="K1074">
            <v>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500</v>
          </cell>
          <cell r="I1075">
            <v>-500</v>
          </cell>
          <cell r="J1075">
            <v>655</v>
          </cell>
          <cell r="K1075">
            <v>-655</v>
          </cell>
        </row>
        <row r="1076">
          <cell r="A1076" t="str">
            <v>Beans: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1250</v>
          </cell>
          <cell r="I1076">
            <v>1812.5</v>
          </cell>
          <cell r="J1076">
            <v>1250</v>
          </cell>
          <cell r="K1076">
            <v>1075</v>
          </cell>
        </row>
        <row r="1077">
          <cell r="A1077" t="str">
            <v>Water melon: no. local meas (Bhece)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99</v>
          </cell>
          <cell r="I1077">
            <v>-99</v>
          </cell>
          <cell r="J1077">
            <v>99</v>
          </cell>
          <cell r="K1077">
            <v>-99</v>
          </cell>
        </row>
        <row r="1078">
          <cell r="A1078" t="str">
            <v>Sweet poatato: no. local meas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250</v>
          </cell>
          <cell r="I1078">
            <v>-250</v>
          </cell>
          <cell r="J1078">
            <v>750</v>
          </cell>
          <cell r="K1078">
            <v>-750</v>
          </cell>
        </row>
        <row r="1079">
          <cell r="A1079" t="str">
            <v>Groundnuts (dry): no. local meas</v>
          </cell>
          <cell r="C1079">
            <v>0</v>
          </cell>
          <cell r="D1079">
            <v>0</v>
          </cell>
          <cell r="E1079">
            <v>650</v>
          </cell>
          <cell r="F1079">
            <v>-650</v>
          </cell>
          <cell r="H1079">
            <v>250</v>
          </cell>
          <cell r="I1079">
            <v>-250</v>
          </cell>
          <cell r="J1079">
            <v>1140</v>
          </cell>
          <cell r="K1079">
            <v>-1140</v>
          </cell>
        </row>
        <row r="1080">
          <cell r="A1080" t="str">
            <v>Irish potato: type</v>
          </cell>
          <cell r="C1080">
            <v>0</v>
          </cell>
          <cell r="D1080">
            <v>0</v>
          </cell>
          <cell r="E1080">
            <v>36</v>
          </cell>
          <cell r="F1080">
            <v>-36</v>
          </cell>
          <cell r="H1080">
            <v>772</v>
          </cell>
          <cell r="I1080">
            <v>-772</v>
          </cell>
          <cell r="J1080">
            <v>280</v>
          </cell>
          <cell r="K1080">
            <v>-280</v>
          </cell>
        </row>
        <row r="1081">
          <cell r="A1081" t="str">
            <v>Yam: type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400</v>
          </cell>
          <cell r="I1081">
            <v>0</v>
          </cell>
          <cell r="J1081">
            <v>500</v>
          </cell>
          <cell r="K1081">
            <v>0</v>
          </cell>
        </row>
        <row r="1082">
          <cell r="A1082" t="str">
            <v>Spinach (cash): kg produced</v>
          </cell>
          <cell r="C1082">
            <v>0</v>
          </cell>
          <cell r="D1082">
            <v>0</v>
          </cell>
          <cell r="E1082">
            <v>150</v>
          </cell>
          <cell r="F1082">
            <v>0</v>
          </cell>
          <cell r="H1082">
            <v>100</v>
          </cell>
          <cell r="I1082">
            <v>0</v>
          </cell>
          <cell r="J1082">
            <v>300</v>
          </cell>
          <cell r="K1082">
            <v>0</v>
          </cell>
        </row>
        <row r="1083">
          <cell r="A1083" t="str">
            <v>Tomatoes (cash): kg produced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500</v>
          </cell>
          <cell r="K1083">
            <v>0</v>
          </cell>
        </row>
        <row r="1084">
          <cell r="A1084" t="str">
            <v>Cabbage (cash): kg produced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0</v>
          </cell>
          <cell r="I1084">
            <v>0</v>
          </cell>
          <cell r="J1084">
            <v>300</v>
          </cell>
          <cell r="K1084">
            <v>0</v>
          </cell>
        </row>
        <row r="1085">
          <cell r="A1085" t="str">
            <v>Agricultural cash income -- see Data2</v>
          </cell>
          <cell r="C1085">
            <v>0</v>
          </cell>
          <cell r="D1085">
            <v>0</v>
          </cell>
          <cell r="E1085">
            <v>1109</v>
          </cell>
          <cell r="F1085">
            <v>0</v>
          </cell>
          <cell r="H1085">
            <v>752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Labour migration(formal employment): no. people per HH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11000</v>
          </cell>
          <cell r="K1086">
            <v>0</v>
          </cell>
        </row>
        <row r="1087">
          <cell r="A1087" t="str">
            <v>Formal Employment (conservancies, etc.)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H1087">
            <v>0</v>
          </cell>
          <cell r="I1087">
            <v>0</v>
          </cell>
          <cell r="J1087">
            <v>23760</v>
          </cell>
          <cell r="K1087">
            <v>0</v>
          </cell>
        </row>
        <row r="1088">
          <cell r="A1088" t="str">
            <v>Self-employment -- see Data2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H1088">
            <v>429</v>
          </cell>
          <cell r="I1088">
            <v>85.799999999999955</v>
          </cell>
          <cell r="J1088">
            <v>0</v>
          </cell>
          <cell r="K1088">
            <v>0</v>
          </cell>
        </row>
        <row r="1089">
          <cell r="A1089" t="str">
            <v>Small business -- see Data2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H1089">
            <v>2160</v>
          </cell>
          <cell r="I1089">
            <v>0</v>
          </cell>
          <cell r="J1089">
            <v>0</v>
          </cell>
          <cell r="K1089">
            <v>0</v>
          </cell>
        </row>
        <row r="1090">
          <cell r="A1090" t="str">
            <v>Social development -- see Data2</v>
          </cell>
          <cell r="C1090">
            <v>22020</v>
          </cell>
          <cell r="D1090">
            <v>0</v>
          </cell>
          <cell r="E1090">
            <v>22020</v>
          </cell>
          <cell r="F1090">
            <v>0</v>
          </cell>
          <cell r="H1090">
            <v>22020</v>
          </cell>
          <cell r="I1090">
            <v>0</v>
          </cell>
          <cell r="J1090">
            <v>6162</v>
          </cell>
          <cell r="K1090">
            <v>0</v>
          </cell>
        </row>
        <row r="1091">
          <cell r="A1091" t="str">
            <v>Public works -- see Data2</v>
          </cell>
          <cell r="C1091">
            <v>0</v>
          </cell>
          <cell r="D1091">
            <v>0</v>
          </cell>
          <cell r="E1091">
            <v>0</v>
          </cell>
          <cell r="F1091">
            <v>0</v>
          </cell>
          <cell r="H1091">
            <v>371</v>
          </cell>
          <cell r="I1091">
            <v>0</v>
          </cell>
          <cell r="J1091">
            <v>0</v>
          </cell>
          <cell r="K1091">
            <v>0</v>
          </cell>
        </row>
        <row r="1092">
          <cell r="A1092" t="str">
            <v>Other income: e.g. Credit (cotton loans)</v>
          </cell>
          <cell r="C1092">
            <v>0</v>
          </cell>
          <cell r="D1092">
            <v>0</v>
          </cell>
          <cell r="E1092">
            <v>0</v>
          </cell>
          <cell r="F1092">
            <v>0</v>
          </cell>
          <cell r="H1092">
            <v>1600</v>
          </cell>
          <cell r="I1092">
            <v>0</v>
          </cell>
          <cell r="J1092">
            <v>0</v>
          </cell>
          <cell r="K1092">
            <v>0</v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" sqref="A6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ZACNI: 59106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Poor!Z1</f>
        <v>Apr-Jun</v>
      </c>
      <c r="AA1" s="257"/>
      <c r="AB1" s="256" t="str">
        <f>Poor!AB1</f>
        <v>Jul-Sep</v>
      </c>
      <c r="AC1" s="257"/>
      <c r="AD1" s="256" t="str">
        <f>Poor!AD1</f>
        <v>Oct-Dec</v>
      </c>
      <c r="AE1" s="257"/>
      <c r="AF1" s="256" t="str">
        <f>Poor!AF1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1.4080012453300126E-2</v>
      </c>
      <c r="C6" s="215">
        <f>IF([1]Summ!D1044="",0,[1]Summ!D1044)</f>
        <v>0</v>
      </c>
      <c r="D6" s="24">
        <f t="shared" ref="D6:D28" si="0">(B6+C6)</f>
        <v>1.4080012453300126E-2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2.8160024906600254E-3</v>
      </c>
      <c r="J6" s="24">
        <f t="shared" ref="J6:J13" si="3">IF(I$32&lt;=1+I$131,I6,B6*H6+J$33*(I6-B6*H6))</f>
        <v>2.8160024906600254E-3</v>
      </c>
      <c r="K6" s="22">
        <f t="shared" ref="K6:K31" si="4">B6</f>
        <v>1.4080012453300126E-2</v>
      </c>
      <c r="L6" s="22">
        <f t="shared" ref="L6:L29" si="5">IF(K6="","",K6*H6)</f>
        <v>2.8160024906600254E-3</v>
      </c>
      <c r="M6" s="177">
        <f t="shared" ref="M6:M31" si="6">J6</f>
        <v>2.8160024906600254E-3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1.1264009962640101E-2</v>
      </c>
      <c r="Z6" s="156">
        <f>Poor!Z6</f>
        <v>0.17</v>
      </c>
      <c r="AA6" s="121">
        <f>$M6*Z6*4</f>
        <v>1.9148816936488174E-3</v>
      </c>
      <c r="AB6" s="156">
        <f>Poor!AB6</f>
        <v>0.17</v>
      </c>
      <c r="AC6" s="121">
        <f t="shared" ref="AC6:AC29" si="7">$M6*AB6*4</f>
        <v>1.9148816936488174E-3</v>
      </c>
      <c r="AD6" s="156">
        <f>Poor!AD6</f>
        <v>0.33</v>
      </c>
      <c r="AE6" s="121">
        <f t="shared" ref="AE6:AE29" si="8">$M6*AD6*4</f>
        <v>3.7171232876712338E-3</v>
      </c>
      <c r="AF6" s="122">
        <f>1-SUM(Z6,AB6,AD6)</f>
        <v>0.32999999999999996</v>
      </c>
      <c r="AG6" s="121">
        <f>$M6*AF6*4</f>
        <v>3.7171232876712329E-3</v>
      </c>
      <c r="AH6" s="123">
        <f>SUM(Z6,AB6,AD6,AF6)</f>
        <v>1</v>
      </c>
      <c r="AI6" s="183">
        <f>SUM(AA6,AC6,AE6,AG6)/4</f>
        <v>2.8160024906600254E-3</v>
      </c>
      <c r="AJ6" s="120">
        <f>(AA6+AC6)/2</f>
        <v>1.9148816936488174E-3</v>
      </c>
      <c r="AK6" s="119">
        <f>(AE6+AG6)/2</f>
        <v>3.7171232876712333E-3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f>IF([1]Summ!C1045="",0,[1]Summ!C1045)</f>
        <v>2.3466687422166875E-3</v>
      </c>
      <c r="C7" s="215">
        <f>IF([1]Summ!D1045="",0,[1]Summ!D1045)</f>
        <v>0</v>
      </c>
      <c r="D7" s="24">
        <f t="shared" si="0"/>
        <v>2.3466687422166875E-3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4.6933374844333753E-4</v>
      </c>
      <c r="J7" s="24">
        <f t="shared" si="3"/>
        <v>4.6933374844333753E-4</v>
      </c>
      <c r="K7" s="22">
        <f t="shared" si="4"/>
        <v>2.3466687422166875E-3</v>
      </c>
      <c r="L7" s="22">
        <f t="shared" si="5"/>
        <v>4.6933374844333753E-4</v>
      </c>
      <c r="M7" s="177">
        <f t="shared" si="6"/>
        <v>4.6933374844333753E-4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3956.4575360895724</v>
      </c>
      <c r="S7" s="222">
        <f>IF($B$81=0,0,(SUMIF($N$6:$N$28,$U7,L$6:L$28)+SUMIF($N$91:$N$118,$U7,L$91:L$118))*$I$83*Poor!$B$81/$B$81)</f>
        <v>1005.148852229533</v>
      </c>
      <c r="T7" s="222">
        <f>IF($B$81=0,0,(SUMIF($N$6:$N$28,$U7,M$6:M$28)+SUMIF($N$91:$N$118,$U7,M$91:M$118))*$I$83*Poor!$B$81/$B$81)</f>
        <v>1039.9379662728882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1.8773349937733501E-3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1.8773349937733501E-3</v>
      </c>
      <c r="AH7" s="123">
        <f t="shared" ref="AH7:AH30" si="12">SUM(Z7,AB7,AD7,AF7)</f>
        <v>1</v>
      </c>
      <c r="AI7" s="183">
        <f t="shared" ref="AI7:AI30" si="13">SUM(AA7,AC7,AE7,AG7)/4</f>
        <v>4.6933374844333753E-4</v>
      </c>
      <c r="AJ7" s="120">
        <f t="shared" ref="AJ7:AJ31" si="14">(AA7+AC7)/2</f>
        <v>0</v>
      </c>
      <c r="AK7" s="119">
        <f t="shared" ref="AK7:AK31" si="15">(AE7+AG7)/2</f>
        <v>9.3866749688667505E-4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f>IF([1]Summ!C1046="",0,[1]Summ!C1046)</f>
        <v>5.906425124533001E-3</v>
      </c>
      <c r="C8" s="215">
        <f>IF([1]Summ!D1046="",0,[1]Summ!D1046)</f>
        <v>0</v>
      </c>
      <c r="D8" s="24">
        <f t="shared" si="0"/>
        <v>5.906425124533001E-3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1.1812850249066002E-3</v>
      </c>
      <c r="J8" s="24">
        <f t="shared" si="3"/>
        <v>1.1812850249066002E-3</v>
      </c>
      <c r="K8" s="22">
        <f t="shared" si="4"/>
        <v>5.906425124533001E-3</v>
      </c>
      <c r="L8" s="22">
        <f t="shared" si="5"/>
        <v>1.1812850249066002E-3</v>
      </c>
      <c r="M8" s="224">
        <f t="shared" si="6"/>
        <v>1.1812850249066002E-3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0</v>
      </c>
      <c r="S8" s="222">
        <f>IF($B$81=0,0,(SUMIF($N$6:$N$28,$U8,L$6:L$28)+SUMIF($N$91:$N$118,$U8,L$91:L$118))*$I$83*Poor!$B$81/$B$81)</f>
        <v>0</v>
      </c>
      <c r="T8" s="222">
        <f>IF($B$81=0,0,(SUMIF($N$6:$N$28,$U8,M$6:M$28)+SUMIF($N$91:$N$118,$U8,M$91:M$118))*$I$83*Poor!$B$81/$B$81)</f>
        <v>0</v>
      </c>
      <c r="U8" s="223">
        <v>2</v>
      </c>
      <c r="V8" s="56"/>
      <c r="W8" s="115"/>
      <c r="X8" s="118">
        <f>Poor!X8</f>
        <v>1</v>
      </c>
      <c r="Y8" s="183">
        <f t="shared" si="9"/>
        <v>4.7251400996264009E-3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4.7251400996264009E-3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1.1812850249066002E-3</v>
      </c>
      <c r="AJ8" s="120">
        <f t="shared" si="14"/>
        <v>2.3625700498132005E-3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215">
        <f>IF([1]Summ!C1047="",0,[1]Summ!C1047)</f>
        <v>4.2500000000000003E-2</v>
      </c>
      <c r="C9" s="215">
        <f>IF([1]Summ!D1047="",0,[1]Summ!D1047)</f>
        <v>0</v>
      </c>
      <c r="D9" s="24">
        <f t="shared" si="0"/>
        <v>4.2500000000000003E-2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8.5000000000000006E-3</v>
      </c>
      <c r="J9" s="24">
        <f t="shared" si="3"/>
        <v>8.5000000000000006E-3</v>
      </c>
      <c r="K9" s="22">
        <f t="shared" si="4"/>
        <v>4.2500000000000003E-2</v>
      </c>
      <c r="L9" s="22">
        <f t="shared" si="5"/>
        <v>8.5000000000000006E-3</v>
      </c>
      <c r="M9" s="224">
        <f t="shared" si="6"/>
        <v>8.5000000000000006E-3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279.81896093684895</v>
      </c>
      <c r="S9" s="222">
        <f>IF($B$81=0,0,(SUMIF($N$6:$N$28,$U9,L$6:L$28)+SUMIF($N$91:$N$118,$U9,L$91:L$118))*$I$83*Poor!$B$81/$B$81)</f>
        <v>62.332475547898078</v>
      </c>
      <c r="T9" s="222">
        <f>IF($B$81=0,0,(SUMIF($N$6:$N$28,$U9,M$6:M$28)+SUMIF($N$91:$N$118,$U9,M$91:M$118))*$I$83*Poor!$B$81/$B$81)</f>
        <v>62.332475547898078</v>
      </c>
      <c r="U9" s="223">
        <v>3</v>
      </c>
      <c r="V9" s="56"/>
      <c r="W9" s="115"/>
      <c r="X9" s="118">
        <f>Poor!X9</f>
        <v>1</v>
      </c>
      <c r="Y9" s="183">
        <f t="shared" si="9"/>
        <v>3.4000000000000002E-2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3.4000000000000002E-2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8.5000000000000006E-3</v>
      </c>
      <c r="AJ9" s="120">
        <f t="shared" si="14"/>
        <v>1.7000000000000001E-2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f>IF([1]Summ!C1048="",0,[1]Summ!C1048)</f>
        <v>8.8718578767123274E-2</v>
      </c>
      <c r="C10" s="215">
        <f>IF([1]Summ!D1048="",0,[1]Summ!D1048)</f>
        <v>0</v>
      </c>
      <c r="D10" s="24">
        <f t="shared" si="0"/>
        <v>8.8718578767123274E-2</v>
      </c>
      <c r="E10" s="75">
        <f>Poor!E10</f>
        <v>0.3</v>
      </c>
      <c r="H10" s="24">
        <f t="shared" si="1"/>
        <v>0.3</v>
      </c>
      <c r="I10" s="22">
        <f t="shared" si="2"/>
        <v>2.6615573630136981E-2</v>
      </c>
      <c r="J10" s="24">
        <f t="shared" si="3"/>
        <v>2.6615573630136981E-2</v>
      </c>
      <c r="K10" s="22">
        <f t="shared" si="4"/>
        <v>8.8718578767123274E-2</v>
      </c>
      <c r="L10" s="22">
        <f t="shared" si="5"/>
        <v>2.6615573630136981E-2</v>
      </c>
      <c r="M10" s="224">
        <f t="shared" si="6"/>
        <v>2.6615573630136981E-2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0.10646229452054792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0.10646229452054792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2.6615573630136981E-2</v>
      </c>
      <c r="AJ10" s="120">
        <f t="shared" si="14"/>
        <v>5.3231147260273962E-2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Sorghum: kg produced</v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0.3</v>
      </c>
      <c r="H11" s="24">
        <f t="shared" si="1"/>
        <v>0.3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0</v>
      </c>
      <c r="S11" s="222">
        <f>IF($B$81=0,0,(SUMIF($N$6:$N$28,$U11,L$6:L$28)+SUMIF($N$91:$N$118,$U11,L$91:L$118))*$I$83*Poor!$B$81/$B$81)</f>
        <v>0</v>
      </c>
      <c r="T11" s="222">
        <f>IF($B$81=0,0,(SUMIF($N$6:$N$28,$U11,M$6:M$28)+SUMIF($N$91:$N$118,$U11,M$91:M$118))*$I$83*Poor!$B$81/$B$81)</f>
        <v>0</v>
      </c>
      <c r="U11" s="223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215">
        <f>IF([1]Summ!C1050="",0,[1]Summ!C1050)</f>
        <v>4.4188206724782075E-2</v>
      </c>
      <c r="C12" s="215">
        <f>IF([1]Summ!D1050="",0,[1]Summ!D1050)</f>
        <v>0</v>
      </c>
      <c r="D12" s="24">
        <f t="shared" si="0"/>
        <v>4.4188206724782075E-2</v>
      </c>
      <c r="E12" s="75">
        <f>Poor!E12</f>
        <v>0.2</v>
      </c>
      <c r="H12" s="24">
        <f t="shared" si="1"/>
        <v>0.2</v>
      </c>
      <c r="I12" s="22">
        <f t="shared" si="2"/>
        <v>8.8376413449564161E-3</v>
      </c>
      <c r="J12" s="24">
        <f t="shared" si="3"/>
        <v>8.8376413449564161E-3</v>
      </c>
      <c r="K12" s="22">
        <f t="shared" si="4"/>
        <v>4.4188206724782075E-2</v>
      </c>
      <c r="L12" s="22">
        <f t="shared" si="5"/>
        <v>8.8376413449564161E-3</v>
      </c>
      <c r="M12" s="224">
        <f t="shared" si="6"/>
        <v>8.8376413449564161E-3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>
        <v>1</v>
      </c>
      <c r="Y12" s="183">
        <f t="shared" si="9"/>
        <v>3.5350565379825664E-2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2.3684878804483198E-2</v>
      </c>
      <c r="AF12" s="122">
        <f>1-SUM(Z12,AB12,AD12)</f>
        <v>0.32999999999999996</v>
      </c>
      <c r="AG12" s="121">
        <f>$M12*AF12*4</f>
        <v>1.1665686575342468E-2</v>
      </c>
      <c r="AH12" s="123">
        <f t="shared" si="12"/>
        <v>1</v>
      </c>
      <c r="AI12" s="183">
        <f t="shared" si="13"/>
        <v>8.8376413449564161E-3</v>
      </c>
      <c r="AJ12" s="120">
        <f t="shared" si="14"/>
        <v>0</v>
      </c>
      <c r="AK12" s="119">
        <f t="shared" si="15"/>
        <v>1.7675282689912832E-2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Cassava: no. local meas.</v>
      </c>
      <c r="B13" s="215">
        <f>IF([1]Summ!C1051="",0,[1]Summ!C1051)</f>
        <v>4.9858374844333753E-2</v>
      </c>
      <c r="C13" s="215">
        <f>IF([1]Summ!D1051="",0,[1]Summ!D1051)</f>
        <v>1.2464593711083438E-2</v>
      </c>
      <c r="D13" s="24">
        <f t="shared" si="0"/>
        <v>6.2322968555417191E-2</v>
      </c>
      <c r="E13" s="75">
        <f>Poor!E13</f>
        <v>0.2</v>
      </c>
      <c r="H13" s="24">
        <f t="shared" si="1"/>
        <v>0.2</v>
      </c>
      <c r="I13" s="22">
        <f t="shared" si="2"/>
        <v>1.2464593711083438E-2</v>
      </c>
      <c r="J13" s="24">
        <f t="shared" si="3"/>
        <v>1.2464593711083438E-2</v>
      </c>
      <c r="K13" s="22">
        <f t="shared" si="4"/>
        <v>4.9858374844333753E-2</v>
      </c>
      <c r="L13" s="22">
        <f t="shared" si="5"/>
        <v>9.9716749688667505E-3</v>
      </c>
      <c r="M13" s="225">
        <f t="shared" si="6"/>
        <v>1.2464593711083438E-2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4.9858374844333753E-2</v>
      </c>
      <c r="Z13" s="156">
        <f>Poor!Z13</f>
        <v>1</v>
      </c>
      <c r="AA13" s="121">
        <f>$M13*Z13*4</f>
        <v>4.9858374844333753E-2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1.2464593711083438E-2</v>
      </c>
      <c r="AJ13" s="120">
        <f t="shared" si="14"/>
        <v>2.4929187422166876E-2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Water melon: no. local meas (Bhece)</v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0.2</v>
      </c>
      <c r="F14" s="22"/>
      <c r="H14" s="24">
        <f t="shared" si="1"/>
        <v>0.2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Pumpkin: no. local meas</v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0.2</v>
      </c>
      <c r="F15" s="22"/>
      <c r="H15" s="24">
        <f t="shared" si="1"/>
        <v>0.2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Sweet poatato: no. local meas</v>
      </c>
      <c r="B16" s="215">
        <f>IF([1]Summ!C1054="",0,[1]Summ!C1054)</f>
        <v>2.5988480697384807E-2</v>
      </c>
      <c r="C16" s="215">
        <f>IF([1]Summ!D1054="",0,[1]Summ!D1054)</f>
        <v>0</v>
      </c>
      <c r="D16" s="24">
        <f t="shared" ref="D16:D25" si="18">(B16+C16)</f>
        <v>2.5988480697384807E-2</v>
      </c>
      <c r="E16" s="75">
        <f>Poor!E16</f>
        <v>0.2</v>
      </c>
      <c r="F16" s="22"/>
      <c r="H16" s="24">
        <f t="shared" ref="H16:H25" si="19">(E16*F$7/F$9)</f>
        <v>0.2</v>
      </c>
      <c r="I16" s="22">
        <f t="shared" ref="I16:I25" si="20">(D16*H16)</f>
        <v>5.197696139476962E-3</v>
      </c>
      <c r="J16" s="24">
        <f t="shared" si="17"/>
        <v>5.197696139476962E-3</v>
      </c>
      <c r="K16" s="22">
        <f t="shared" ref="K16:K25" si="21">B16</f>
        <v>2.5988480697384807E-2</v>
      </c>
      <c r="L16" s="22">
        <f t="shared" ref="L16:L25" si="22">IF(K16="","",K16*H16)</f>
        <v>5.197696139476962E-3</v>
      </c>
      <c r="M16" s="226">
        <f t="shared" ref="M16:M25" si="23">J16</f>
        <v>5.197696139476962E-3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215">
        <f>IF([1]Summ!C1055="",0,[1]Summ!C1055)</f>
        <v>3.3018953144458282E-2</v>
      </c>
      <c r="C17" s="215">
        <f>IF([1]Summ!D1055="",0,[1]Summ!D1055)</f>
        <v>0</v>
      </c>
      <c r="D17" s="24">
        <f t="shared" si="18"/>
        <v>3.3018953144458282E-2</v>
      </c>
      <c r="E17" s="75">
        <f>Poor!E17</f>
        <v>0.2</v>
      </c>
      <c r="F17" s="22"/>
      <c r="H17" s="24">
        <f t="shared" si="19"/>
        <v>0.2</v>
      </c>
      <c r="I17" s="22">
        <f t="shared" si="20"/>
        <v>6.6037906288916566E-3</v>
      </c>
      <c r="J17" s="24">
        <f t="shared" si="17"/>
        <v>6.6037906288916566E-3</v>
      </c>
      <c r="K17" s="22">
        <f t="shared" si="21"/>
        <v>3.3018953144458282E-2</v>
      </c>
      <c r="L17" s="22">
        <f t="shared" si="22"/>
        <v>6.6037906288916566E-3</v>
      </c>
      <c r="M17" s="226">
        <f t="shared" si="23"/>
        <v>6.6037906288916566E-3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Irish potato: type</v>
      </c>
      <c r="B18" s="215">
        <f>IF([1]Summ!C1056="",0,[1]Summ!C1056)</f>
        <v>6.1099003735990039E-3</v>
      </c>
      <c r="C18" s="215">
        <f>IF([1]Summ!D1056="",0,[1]Summ!D1056)</f>
        <v>0</v>
      </c>
      <c r="D18" s="24">
        <f t="shared" si="18"/>
        <v>6.1099003735990039E-3</v>
      </c>
      <c r="E18" s="75">
        <f>Poor!E18</f>
        <v>0.2</v>
      </c>
      <c r="F18" s="22"/>
      <c r="H18" s="24">
        <f t="shared" si="19"/>
        <v>0.2</v>
      </c>
      <c r="I18" s="22">
        <f t="shared" si="20"/>
        <v>1.2219800747198008E-3</v>
      </c>
      <c r="J18" s="24">
        <f t="shared" si="17"/>
        <v>1.2219800747198008E-3</v>
      </c>
      <c r="K18" s="22">
        <f t="shared" si="21"/>
        <v>6.1099003735990039E-3</v>
      </c>
      <c r="L18" s="22">
        <f t="shared" si="22"/>
        <v>1.2219800747198008E-3</v>
      </c>
      <c r="M18" s="226">
        <f t="shared" si="23"/>
        <v>1.2219800747198008E-3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1491.5874480929031</v>
      </c>
      <c r="S18" s="222">
        <f>IF($B$81=0,0,(SUMIF($N$6:$N$28,$U18,L$6:L$28)+SUMIF($N$91:$N$118,$U18,L$91:L$118))*$I$83*Poor!$B$81/$B$81)</f>
        <v>1661.3302012222382</v>
      </c>
      <c r="T18" s="222">
        <f>IF($B$81=0,0,(SUMIF($N$6:$N$28,$U18,M$6:M$28)+SUMIF($N$91:$N$118,$U18,M$91:M$118))*$I$83*Poor!$B$81/$B$81)</f>
        <v>1661.3302012222382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Yam: type</v>
      </c>
      <c r="B19" s="215">
        <f>IF([1]Summ!C1057="",0,[1]Summ!C1057)</f>
        <v>2.5393057285180574E-2</v>
      </c>
      <c r="C19" s="215">
        <f>IF([1]Summ!D1057="",0,[1]Summ!D1057)</f>
        <v>0</v>
      </c>
      <c r="D19" s="24">
        <f t="shared" si="18"/>
        <v>2.5393057285180574E-2</v>
      </c>
      <c r="E19" s="75">
        <f>Poor!E19</f>
        <v>0.2</v>
      </c>
      <c r="F19" s="22"/>
      <c r="H19" s="24">
        <f t="shared" si="19"/>
        <v>0.2</v>
      </c>
      <c r="I19" s="22">
        <f t="shared" si="20"/>
        <v>5.0786114570361149E-3</v>
      </c>
      <c r="J19" s="24">
        <f t="shared" si="17"/>
        <v>5.0786114570361149E-3</v>
      </c>
      <c r="K19" s="22">
        <f t="shared" si="21"/>
        <v>2.5393057285180574E-2</v>
      </c>
      <c r="L19" s="22">
        <f t="shared" si="22"/>
        <v>5.0786114570361149E-3</v>
      </c>
      <c r="M19" s="226">
        <f t="shared" si="23"/>
        <v>5.0786114570361149E-3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32620.755772506334</v>
      </c>
      <c r="S20" s="222">
        <f>IF($B$81=0,0,(SUMIF($N$6:$N$28,$U20,L$6:L$28)+SUMIF($N$91:$N$118,$U20,L$91:L$118))*$I$83*Poor!$B$81/$B$81)</f>
        <v>25983.600000000002</v>
      </c>
      <c r="T20" s="222">
        <f>IF($B$81=0,0,(SUMIF($N$6:$N$28,$U20,M$6:M$28)+SUMIF($N$91:$N$118,$U20,M$91:M$118))*$I$83*Poor!$B$81/$B$81)</f>
        <v>25983.600000000002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Labour: Land clearing, construction, herding, slaughtering</v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0.5</v>
      </c>
      <c r="F21" s="22"/>
      <c r="H21" s="24">
        <f t="shared" si="19"/>
        <v>0.5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Weeding</v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0.5</v>
      </c>
      <c r="F22" s="22"/>
      <c r="H22" s="24">
        <f t="shared" si="19"/>
        <v>0.5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Gifts/remittances: cereal</v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>
        <v>13</v>
      </c>
      <c r="O23" s="2"/>
      <c r="P23" s="22"/>
      <c r="Q23" s="171" t="s">
        <v>100</v>
      </c>
      <c r="R23" s="179">
        <f>SUM(R7:R22)</f>
        <v>38348.619717625661</v>
      </c>
      <c r="S23" s="179">
        <f>SUM(S7:S22)</f>
        <v>28712.41152899967</v>
      </c>
      <c r="T23" s="179">
        <f>SUM(T7:T22)</f>
        <v>28747.200643043027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Gifts/remittances: Other</v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29831.109022148565</v>
      </c>
      <c r="S24" s="41">
        <f>IF($B$81=0,0,(SUM(($B$70*$H$70))+((1-$D$29)*$I$83))*Poor!$B$81/$B$81)</f>
        <v>29831.109022148565</v>
      </c>
      <c r="T24" s="41">
        <f>IF($B$81=0,0,(SUM(($B$70*$H$70))+((1-$D$29)*$I$83))*Poor!$B$81/$B$81)</f>
        <v>29831.109022148565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46325.935688815232</v>
      </c>
      <c r="S25" s="41">
        <f>IF($B$81=0,0,(SUM(($B$70*$H$70),($B$71*$H$71))+((1-$D$29)*$I$83))*Poor!$B$81/$B$81)</f>
        <v>46325.935688815232</v>
      </c>
      <c r="T25" s="41">
        <f>IF($B$81=0,0,(SUM(($B$70*$H$70),($B$71*$H$71))+((1-$D$29)*$I$83))*Poor!$B$81/$B$81)</f>
        <v>46325.935688815232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0.11904761904761904</v>
      </c>
      <c r="C26" s="215">
        <f>IF([1]Summ!D1064="",0,[1]Summ!D1064)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79063.855688815223</v>
      </c>
      <c r="S26" s="41">
        <f>IF($B$81=0,0,(SUM(($B$70*$H$70),($B$71*$H$71),($B$72*$H$72))+((1-$D$29)*$I$83))*Poor!$B$81/$B$81)</f>
        <v>79063.855688815223</v>
      </c>
      <c r="T26" s="41">
        <f>IF($B$81=0,0,(SUM(($B$70*$H$70),($B$71*$H$71),($B$72*$H$72))+((1-$D$29)*$I$83))*Poor!$B$81/$B$81)</f>
        <v>79063.855688815223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3.314115504358655E-2</v>
      </c>
      <c r="C27" s="215">
        <f>IF([1]Summ!D1065="",0,[1]Summ!D1065)</f>
        <v>-3.314115504358655E-2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0.18129873754669984</v>
      </c>
      <c r="C29" s="215">
        <f>IF([1]Summ!D1067="",0,[1]Summ!D1067)</f>
        <v>4.3338036395297215E-2</v>
      </c>
      <c r="D29" s="24">
        <f>(B29+C29)</f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0.18129873754669984</v>
      </c>
      <c r="L29" s="22">
        <f t="shared" si="5"/>
        <v>0.18129873754669984</v>
      </c>
      <c r="M29" s="224">
        <f t="shared" si="6"/>
        <v>0.22463677394199705</v>
      </c>
      <c r="N29" s="229"/>
      <c r="P29" s="22"/>
      <c r="V29" s="56"/>
      <c r="W29" s="110"/>
      <c r="X29" s="118"/>
      <c r="Y29" s="183">
        <f t="shared" si="9"/>
        <v>0.89854709576798819</v>
      </c>
      <c r="Z29" s="156">
        <f>Poor!Z29</f>
        <v>0.25</v>
      </c>
      <c r="AA29" s="121">
        <f t="shared" si="16"/>
        <v>0.22463677394199705</v>
      </c>
      <c r="AB29" s="156">
        <f>Poor!AB29</f>
        <v>0.25</v>
      </c>
      <c r="AC29" s="121">
        <f t="shared" si="7"/>
        <v>0.22463677394199705</v>
      </c>
      <c r="AD29" s="156">
        <f>Poor!AD29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0.57517989881693654</v>
      </c>
      <c r="C30" s="103"/>
      <c r="D30" s="24">
        <f>(D119-B124)</f>
        <v>0.9980124606292875</v>
      </c>
      <c r="E30" s="75">
        <f>Poor!E30</f>
        <v>1</v>
      </c>
      <c r="H30" s="96">
        <f>(E30*F$7/F$9)</f>
        <v>1</v>
      </c>
      <c r="I30" s="29">
        <f>IF(E30&gt;=1,I119-I124,MIN(I119-I124,B30*H30))</f>
        <v>0.49965837941520874</v>
      </c>
      <c r="J30" s="231">
        <f>IF(I$32&lt;=1,I30,1-SUM(J6:J29))</f>
        <v>0.49965837941520874</v>
      </c>
      <c r="K30" s="22">
        <f t="shared" si="4"/>
        <v>0.57517989881693654</v>
      </c>
      <c r="L30" s="22">
        <f>IF(L124=L119,0,IF(K30="",0,(L119-L124)/(B119-B124)*K30))</f>
        <v>0.2879657994789574</v>
      </c>
      <c r="M30" s="175">
        <f t="shared" si="6"/>
        <v>0.49965837941520874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1118.6974931488949</v>
      </c>
      <c r="T30" s="234">
        <f t="shared" si="24"/>
        <v>1083.9083791055382</v>
      </c>
      <c r="V30" s="56"/>
      <c r="W30" s="110"/>
      <c r="X30" s="118"/>
      <c r="Y30" s="183">
        <f>M30*4</f>
        <v>1.998633517660835</v>
      </c>
      <c r="Z30" s="122">
        <f>IF($Y30=0,0,AA30/($Y$30))</f>
        <v>-0.68160306637054313</v>
      </c>
      <c r="AA30" s="187">
        <f>IF(AA79*4/$I$83+SUM(AA6:AA29)&lt;1,AA79*4/$I$83,1-SUM(AA6:AA29))</f>
        <v>-1.3622747341885701</v>
      </c>
      <c r="AB30" s="122">
        <f>IF($Y30=0,0,AC30/($Y$30))</f>
        <v>-0.68160306637054313</v>
      </c>
      <c r="AC30" s="187">
        <f>IF(AC79*4/$I$83+SUM(AC6:AC29)&lt;1,AC79*4/$I$83,1-SUM(AC6:AC29))</f>
        <v>-1.3622747341885701</v>
      </c>
      <c r="AD30" s="122">
        <f>IF($Y30=0,0,AE30/($Y$30))</f>
        <v>-0.68160306637054313</v>
      </c>
      <c r="AE30" s="187">
        <f>IF(AE79*4/$I$83+SUM(AE6:AE29)&lt;1,AE79*4/$I$83,1-SUM(AE6:AE29))</f>
        <v>-1.3622747341885701</v>
      </c>
      <c r="AF30" s="122">
        <f>IF($Y30=0,0,AG30/($Y$30))</f>
        <v>-0.68160306637054313</v>
      </c>
      <c r="AG30" s="187">
        <f>IF(AG79*4/$I$83+SUM(AG6:AG29)&lt;1,AG79*4/$I$83,1-SUM(AG6:AG29))</f>
        <v>-1.3622747341885701</v>
      </c>
      <c r="AH30" s="123">
        <f t="shared" si="12"/>
        <v>-2.7264122654821725</v>
      </c>
      <c r="AI30" s="183">
        <f t="shared" si="13"/>
        <v>-1.3622747341885701</v>
      </c>
      <c r="AJ30" s="120">
        <f t="shared" si="14"/>
        <v>-1.3622747341885701</v>
      </c>
      <c r="AK30" s="119">
        <f t="shared" si="15"/>
        <v>-1.3622747341885701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7.7670719344863803E-2</v>
      </c>
      <c r="K31" s="22" t="str">
        <f t="shared" si="4"/>
        <v/>
      </c>
      <c r="L31" s="22">
        <f>(1-SUM(L6:L30))</f>
        <v>0.30205309937504254</v>
      </c>
      <c r="M31" s="241">
        <f t="shared" si="6"/>
        <v>7.7670719344863803E-2</v>
      </c>
      <c r="N31" s="167">
        <f>M31*I83</f>
        <v>1083.90837910554</v>
      </c>
      <c r="P31" s="22"/>
      <c r="Q31" s="238" t="s">
        <v>142</v>
      </c>
      <c r="R31" s="234">
        <f t="shared" si="24"/>
        <v>7977.3159711895714</v>
      </c>
      <c r="S31" s="234">
        <f t="shared" si="24"/>
        <v>17613.524159815563</v>
      </c>
      <c r="T31" s="234">
        <f>IF(T25&gt;T$23,T25-T$23,0)</f>
        <v>17578.735045772206</v>
      </c>
      <c r="V31" s="56"/>
      <c r="W31" s="129" t="s">
        <v>84</v>
      </c>
      <c r="X31" s="130"/>
      <c r="Y31" s="121">
        <f>M31*4</f>
        <v>0.31068287737945521</v>
      </c>
      <c r="Z31" s="131"/>
      <c r="AA31" s="132">
        <f>1-AA32+IF($Y32&lt;0,$Y32/4,0)</f>
        <v>1.8216296500407971</v>
      </c>
      <c r="AB31" s="131"/>
      <c r="AC31" s="133">
        <f>1-AC32+IF($Y32&lt;0,$Y32/4,0)</f>
        <v>2.0166754595053051</v>
      </c>
      <c r="AD31" s="134"/>
      <c r="AE31" s="133">
        <f>1-AE32+IF($Y32&lt;0,$Y32/4,0)</f>
        <v>1.9911883391067997</v>
      </c>
      <c r="AF31" s="134"/>
      <c r="AG31" s="133">
        <f>1-AG32+IF($Y32&lt;0,$Y32/4,0)</f>
        <v>2.0013301963421668</v>
      </c>
      <c r="AH31" s="123"/>
      <c r="AI31" s="182">
        <f>SUM(AA31,AC31,AE31,AG31)/4</f>
        <v>1.9577059112487671</v>
      </c>
      <c r="AJ31" s="135">
        <f t="shared" si="14"/>
        <v>1.919152554773051</v>
      </c>
      <c r="AK31" s="136">
        <f t="shared" si="15"/>
        <v>1.9962592677244833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1.2467760686117537</v>
      </c>
      <c r="C32" s="77">
        <f>SUM(C6:C31)</f>
        <v>2.2661475062794104E-2</v>
      </c>
      <c r="D32" s="24">
        <f>SUM(D6:D30)</f>
        <v>1.6922701054868987</v>
      </c>
      <c r="E32" s="2"/>
      <c r="F32" s="2"/>
      <c r="H32" s="17"/>
      <c r="I32" s="22">
        <f>SUM(I6:I30)</f>
        <v>0.9223292806551362</v>
      </c>
      <c r="J32" s="17"/>
      <c r="L32" s="22">
        <f>SUM(L6:L30)</f>
        <v>0.69794690062495746</v>
      </c>
      <c r="M32" s="23"/>
      <c r="N32" s="56"/>
      <c r="O32" s="2"/>
      <c r="P32" s="22"/>
      <c r="Q32" s="234" t="s">
        <v>143</v>
      </c>
      <c r="R32" s="234">
        <f t="shared" si="24"/>
        <v>40715.235971189562</v>
      </c>
      <c r="S32" s="234">
        <f t="shared" si="24"/>
        <v>50351.444159815554</v>
      </c>
      <c r="T32" s="234">
        <f t="shared" si="24"/>
        <v>50316.655045772197</v>
      </c>
      <c r="V32" s="56"/>
      <c r="W32" s="110"/>
      <c r="X32" s="118"/>
      <c r="Y32" s="115">
        <f>SUM(Y6:Y31)</f>
        <v>3.9275916867995018</v>
      </c>
      <c r="Z32" s="137"/>
      <c r="AA32" s="138">
        <f>SUM(AA6:AA30)</f>
        <v>-0.82162965004079713</v>
      </c>
      <c r="AB32" s="137"/>
      <c r="AC32" s="139">
        <f>SUM(AC6:AC30)</f>
        <v>-1.0166754595053051</v>
      </c>
      <c r="AD32" s="137"/>
      <c r="AE32" s="139">
        <f>SUM(AE6:AE30)</f>
        <v>-0.9911883391067996</v>
      </c>
      <c r="AF32" s="137"/>
      <c r="AG32" s="139">
        <f>SUM(AG6:AG30)</f>
        <v>-1.001330196342167</v>
      </c>
      <c r="AH32" s="127"/>
      <c r="AI32" s="110"/>
      <c r="AJ32" s="140">
        <f>SUM(AJ6:AJ31)</f>
        <v>0.99999999999999978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2.4013078480607426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16494.826666666664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 sales: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Beans: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0.2</v>
      </c>
      <c r="F41" s="75">
        <f>Poor!F41</f>
        <v>1.4</v>
      </c>
      <c r="G41" s="75">
        <f>Poor!G41</f>
        <v>1.65</v>
      </c>
      <c r="H41" s="24">
        <f t="shared" si="30"/>
        <v>0.27999999999999997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Water melon: no. local meas (Bhece)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Sweet poatato: no. local meas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Groundnuts (dry): no. local meas</v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Irish potato: type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Yam: type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Spinach (cash): kg produced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Tomatoes (cash): kg produced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Cabbage (cash): kg produced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Agricultural cash income -- see Data2</v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0.5</v>
      </c>
      <c r="F50" s="75">
        <f>Poor!F50</f>
        <v>1.1100000000000001</v>
      </c>
      <c r="G50" s="75">
        <f>Poor!G50</f>
        <v>1.65</v>
      </c>
      <c r="H50" s="24">
        <f t="shared" si="30"/>
        <v>0.55500000000000005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Labour migration(formal employment): no. people per HH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0.4</v>
      </c>
      <c r="F51" s="75">
        <f>Poor!F51</f>
        <v>1.18</v>
      </c>
      <c r="G51" s="75">
        <f>Poor!G51</f>
        <v>1.65</v>
      </c>
      <c r="H51" s="24">
        <f t="shared" si="30"/>
        <v>0.47199999999999998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Formal Employment (conservancies, etc.)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0.6</v>
      </c>
      <c r="F52" s="75">
        <f>Poor!F52</f>
        <v>1.18</v>
      </c>
      <c r="G52" s="75">
        <f>Poor!G52</f>
        <v>1.65</v>
      </c>
      <c r="H52" s="24">
        <f t="shared" si="30"/>
        <v>0.70799999999999996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Self-employment -- see Data2</v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0.8</v>
      </c>
      <c r="F53" s="75">
        <f>Poor!F53</f>
        <v>1</v>
      </c>
      <c r="G53" s="75">
        <f>Poor!G53</f>
        <v>1.65</v>
      </c>
      <c r="H53" s="24">
        <f t="shared" si="30"/>
        <v>0.8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Small business -- see Data2</v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0.8</v>
      </c>
      <c r="F54" s="75">
        <f>Poor!F54</f>
        <v>1.18</v>
      </c>
      <c r="G54" s="75">
        <f>Poor!G54</f>
        <v>1.65</v>
      </c>
      <c r="H54" s="24">
        <f t="shared" si="30"/>
        <v>0.94399999999999995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Social development -- see Data2</v>
      </c>
      <c r="B55" s="216">
        <f>IF([1]Summ!C1090="",0,[1]Summ!C1090)</f>
        <v>22020</v>
      </c>
      <c r="C55" s="216">
        <f>IF([1]Summ!D1090="",0,[1]Summ!D1090)</f>
        <v>0</v>
      </c>
      <c r="D55" s="38">
        <f t="shared" si="25"/>
        <v>22020</v>
      </c>
      <c r="E55" s="75">
        <f>Poor!E55</f>
        <v>1</v>
      </c>
      <c r="F55" s="75">
        <f>Poor!F55</f>
        <v>1.18</v>
      </c>
      <c r="G55" s="75">
        <f>Poor!G55</f>
        <v>1.65</v>
      </c>
      <c r="H55" s="24">
        <f t="shared" si="30"/>
        <v>1.18</v>
      </c>
      <c r="I55" s="39">
        <f t="shared" si="31"/>
        <v>25983.599999999999</v>
      </c>
      <c r="J55" s="38">
        <f t="shared" si="32"/>
        <v>25983.600000000002</v>
      </c>
      <c r="K55" s="40">
        <f t="shared" si="33"/>
        <v>1</v>
      </c>
      <c r="L55" s="22">
        <f t="shared" si="34"/>
        <v>1.18</v>
      </c>
      <c r="M55" s="24">
        <f t="shared" si="35"/>
        <v>1.1800000000000002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Public works -- see Data2</v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1.18</v>
      </c>
      <c r="G56" s="75">
        <f>Poor!G56</f>
        <v>1.65</v>
      </c>
      <c r="H56" s="24">
        <f t="shared" si="30"/>
        <v>1.18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Other income: e.g. Credit (cotton loans)</v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22020</v>
      </c>
      <c r="C65" s="39">
        <f>SUM(C37:C64)</f>
        <v>0</v>
      </c>
      <c r="D65" s="42">
        <f>SUM(D37:D64)</f>
        <v>22020</v>
      </c>
      <c r="E65" s="32"/>
      <c r="F65" s="32"/>
      <c r="G65" s="32"/>
      <c r="H65" s="31"/>
      <c r="I65" s="39">
        <f>SUM(I37:I64)</f>
        <v>25983.599999999999</v>
      </c>
      <c r="J65" s="39">
        <f>SUM(J37:J64)</f>
        <v>25983.600000000002</v>
      </c>
      <c r="K65" s="40">
        <f>SUM(K37:K64)</f>
        <v>1</v>
      </c>
      <c r="L65" s="22">
        <f>SUM(L37:L64)</f>
        <v>1.18</v>
      </c>
      <c r="M65" s="24">
        <f>SUM(M37:M64)</f>
        <v>1.1800000000000002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0</v>
      </c>
      <c r="AB65" s="137"/>
      <c r="AC65" s="153">
        <f>SUM(AC37:AC64)</f>
        <v>0</v>
      </c>
      <c r="AD65" s="137"/>
      <c r="AE65" s="153">
        <f>SUM(AE37:AE64)</f>
        <v>0</v>
      </c>
      <c r="AF65" s="137"/>
      <c r="AG65" s="153">
        <f>SUM(AG37:AG64)</f>
        <v>0</v>
      </c>
      <c r="AH65" s="137"/>
      <c r="AI65" s="153">
        <f>SUM(AI37:AI64)</f>
        <v>0</v>
      </c>
      <c r="AJ65" s="153">
        <f>SUM(AJ37:AJ64)</f>
        <v>0</v>
      </c>
      <c r="AK65" s="153">
        <f>SUM(AK37:AK64)</f>
        <v>0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13579.12894961681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19010.780529463536</v>
      </c>
      <c r="J70" s="51">
        <f t="shared" ref="J70:J77" si="44">J124*I$83</f>
        <v>19010.780529463536</v>
      </c>
      <c r="K70" s="40">
        <f>B70/B$76</f>
        <v>0.61667252268922845</v>
      </c>
      <c r="L70" s="22">
        <f t="shared" ref="L70:L74" si="45">(L124*G$37*F$9/F$7)/B$130</f>
        <v>0.86334153176491979</v>
      </c>
      <c r="M70" s="24">
        <f>J70/B$76</f>
        <v>0.8633415317649199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4752.6951323658841</v>
      </c>
      <c r="AB70" s="156">
        <f>Poor!AB70</f>
        <v>0.25</v>
      </c>
      <c r="AC70" s="147">
        <f>$J70*AB70</f>
        <v>4752.6951323658841</v>
      </c>
      <c r="AD70" s="156">
        <f>Poor!AD70</f>
        <v>0.25</v>
      </c>
      <c r="AE70" s="147">
        <f>$J70*AD70</f>
        <v>4752.6951323658841</v>
      </c>
      <c r="AF70" s="156">
        <f>Poor!AF70</f>
        <v>0.25</v>
      </c>
      <c r="AG70" s="147">
        <f>$J70*AF70</f>
        <v>4752.6951323658841</v>
      </c>
      <c r="AH70" s="155">
        <f>SUM(Z70,AB70,AD70,AF70)</f>
        <v>1</v>
      </c>
      <c r="AI70" s="147">
        <f>SUM(AA70,AC70,AE70,AG70)</f>
        <v>19010.780529463536</v>
      </c>
      <c r="AJ70" s="148">
        <f>(AA70+AC70)</f>
        <v>9505.3902647317682</v>
      </c>
      <c r="AK70" s="147">
        <f>(AE70+AG70)</f>
        <v>9505.3902647317682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13978.666666666668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6972.8194705364685</v>
      </c>
      <c r="J71" s="51">
        <f t="shared" si="44"/>
        <v>6972.8194705364685</v>
      </c>
      <c r="K71" s="40">
        <f t="shared" ref="K71:K72" si="47">B71/B$76</f>
        <v>0.63481683318195581</v>
      </c>
      <c r="L71" s="22">
        <f t="shared" si="45"/>
        <v>0.31665846823508031</v>
      </c>
      <c r="M71" s="24">
        <f t="shared" ref="M71:M72" si="48">J71/B$76</f>
        <v>0.31665846823508031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1.2599455040871934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2800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0.12715712988192551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297.36</v>
      </c>
      <c r="AB73" s="156">
        <f>Poor!AB73</f>
        <v>0.09</v>
      </c>
      <c r="AC73" s="147">
        <f>$H$73*$B$73*AB73</f>
        <v>297.36</v>
      </c>
      <c r="AD73" s="156">
        <f>Poor!AD73</f>
        <v>0.23</v>
      </c>
      <c r="AE73" s="147">
        <f>$H$73*$B$73*AD73</f>
        <v>759.92000000000007</v>
      </c>
      <c r="AF73" s="156">
        <f>Poor!AF73</f>
        <v>0.59</v>
      </c>
      <c r="AG73" s="147">
        <f>$H$73*$B$73*AF73</f>
        <v>1949.36</v>
      </c>
      <c r="AH73" s="155">
        <f>SUM(Z73,AB73,AD73,AF73)</f>
        <v>1</v>
      </c>
      <c r="AI73" s="147">
        <f>SUM(AA73,AC73,AE73,AG73)</f>
        <v>3304</v>
      </c>
      <c r="AJ73" s="148">
        <f>(AA73+AC73)</f>
        <v>594.72</v>
      </c>
      <c r="AK73" s="147">
        <f>(AE73+AG73)</f>
        <v>2709.2799999999997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4864.6881158426877</v>
      </c>
      <c r="C74" s="39"/>
      <c r="D74" s="38"/>
      <c r="E74" s="32"/>
      <c r="F74" s="32"/>
      <c r="G74" s="32"/>
      <c r="H74" s="31"/>
      <c r="I74" s="39">
        <f>I128*I$83</f>
        <v>6972.8194705364685</v>
      </c>
      <c r="J74" s="51">
        <f t="shared" si="44"/>
        <v>6972.8194705364685</v>
      </c>
      <c r="K74" s="40">
        <f>B74/B$76</f>
        <v>0.22092134949331008</v>
      </c>
      <c r="L74" s="22">
        <f t="shared" si="45"/>
        <v>0.18249830829179797</v>
      </c>
      <c r="M74" s="24">
        <f>J74/B$76</f>
        <v>0.31665846823508031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-4752.6951323658841</v>
      </c>
      <c r="AB74" s="156"/>
      <c r="AC74" s="147">
        <f>AC30*$I$83/4</f>
        <v>-4752.6951323658841</v>
      </c>
      <c r="AD74" s="156"/>
      <c r="AE74" s="147">
        <f>AE30*$I$83/4</f>
        <v>-4752.6951323658841</v>
      </c>
      <c r="AF74" s="156"/>
      <c r="AG74" s="147">
        <f>AG30*$I$83/4</f>
        <v>-4752.6951323658841</v>
      </c>
      <c r="AH74" s="155"/>
      <c r="AI74" s="147">
        <f>SUM(AA74,AC74,AE74,AG74)</f>
        <v>-19010.780529463536</v>
      </c>
      <c r="AJ74" s="148">
        <f>(AA74+AC74)</f>
        <v>-9505.3902647317682</v>
      </c>
      <c r="AK74" s="147">
        <f>(AE74+AG74)</f>
        <v>-9505.3902647317682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22020</v>
      </c>
      <c r="C76" s="39"/>
      <c r="D76" s="38"/>
      <c r="E76" s="32"/>
      <c r="F76" s="32"/>
      <c r="G76" s="32"/>
      <c r="H76" s="31"/>
      <c r="I76" s="39">
        <f>I130*I$83</f>
        <v>25983.600000000002</v>
      </c>
      <c r="J76" s="51">
        <f t="shared" si="44"/>
        <v>25983.600000000002</v>
      </c>
      <c r="K76" s="40">
        <f>SUM(K70:K75)</f>
        <v>2.8595133393336134</v>
      </c>
      <c r="L76" s="22">
        <f>SUM(L70:L75)</f>
        <v>1.3624983082917981</v>
      </c>
      <c r="M76" s="24">
        <f>SUM(M70:M75)</f>
        <v>1.4966584682350805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0</v>
      </c>
      <c r="AB76" s="137"/>
      <c r="AC76" s="153">
        <f>AC65</f>
        <v>0</v>
      </c>
      <c r="AD76" s="137"/>
      <c r="AE76" s="153">
        <f>AE65</f>
        <v>0</v>
      </c>
      <c r="AF76" s="137"/>
      <c r="AG76" s="153">
        <f>AG65</f>
        <v>0</v>
      </c>
      <c r="AH76" s="137"/>
      <c r="AI76" s="153">
        <f>SUM(AA76,AC76,AE76,AG76)</f>
        <v>0</v>
      </c>
      <c r="AJ76" s="154">
        <f>SUM(AA76,AC76)</f>
        <v>0</v>
      </c>
      <c r="AK76" s="154">
        <f>SUM(AE76,AG76)</f>
        <v>0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16494.826666666664</v>
      </c>
      <c r="J77" s="100">
        <f t="shared" si="44"/>
        <v>16494.826666666664</v>
      </c>
      <c r="K77" s="40"/>
      <c r="L77" s="22">
        <f>-(L131*G$37*F$9/F$7)/B$130</f>
        <v>-0.74908386315470787</v>
      </c>
      <c r="M77" s="24">
        <f>-J77/B$76</f>
        <v>-0.74908386315470776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6355.2895414148134</v>
      </c>
      <c r="AB77" s="112"/>
      <c r="AC77" s="111">
        <f>AC31*$I$83/4</f>
        <v>7035.7640785737867</v>
      </c>
      <c r="AD77" s="112"/>
      <c r="AE77" s="111">
        <f>AE31*$I$83/4</f>
        <v>6946.8447805673159</v>
      </c>
      <c r="AF77" s="112"/>
      <c r="AG77" s="111">
        <f>AG31*$I$83/4</f>
        <v>6982.2276253826749</v>
      </c>
      <c r="AH77" s="110"/>
      <c r="AI77" s="154">
        <f>SUM(AA77,AC77,AE77,AG77)</f>
        <v>27320.126025938593</v>
      </c>
      <c r="AJ77" s="153">
        <f>SUM(AA77,AC77)</f>
        <v>13391.053619988601</v>
      </c>
      <c r="AK77" s="160">
        <f>SUM(AE77,AG77)</f>
        <v>13929.072405949992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-4752.6951323658841</v>
      </c>
      <c r="AB79" s="112"/>
      <c r="AC79" s="112">
        <f>AA79-AA74+AC65-AC70</f>
        <v>-4752.6951323658841</v>
      </c>
      <c r="AD79" s="112"/>
      <c r="AE79" s="112">
        <f>AC79-AC74+AE65-AE70</f>
        <v>-4752.6951323658841</v>
      </c>
      <c r="AF79" s="112"/>
      <c r="AG79" s="112">
        <f>AE79-AE74+AG65-AG70</f>
        <v>-4752.6951323658841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0.64232512570888012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4.509345794392523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8457.6810244041226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13955.173690266802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3488.7934225667004</v>
      </c>
      <c r="AB83" s="112"/>
      <c r="AC83" s="165">
        <f>$I$83*AB82/4</f>
        <v>3488.7934225667004</v>
      </c>
      <c r="AD83" s="112"/>
      <c r="AE83" s="165">
        <f>$I$83*AD82/4</f>
        <v>3488.7934225667004</v>
      </c>
      <c r="AF83" s="112"/>
      <c r="AG83" s="165">
        <f>$I$83*AF82/4</f>
        <v>3488.7934225667004</v>
      </c>
      <c r="AH83" s="165">
        <f>SUM(AA83,AC83,AE83,AG83)</f>
        <v>13955.173690266802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20136.903793668345</v>
      </c>
      <c r="C84" s="46"/>
      <c r="D84" s="235"/>
      <c r="E84" s="64"/>
      <c r="F84" s="64"/>
      <c r="G84" s="64"/>
      <c r="H84" s="236">
        <f>IF(B84=0,0,I84/B84)</f>
        <v>1.4814148852182714</v>
      </c>
      <c r="I84" s="234">
        <f>(B70*H70)+((1-(D29*H29))*I83)</f>
        <v>29831.109022148565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7">
        <f t="shared" si="49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 sales: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0.7151515151515152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0.25454545454545457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Beans: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0.16969696969696968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Water melon: no. local meas (Bhece)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Sweet poatato: no. local meas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Groundnuts (dry): no. local meas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0.16969696969696968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Irish potato: type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0.16969696969696968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Yam: type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0.16969696969696968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Spinach (cash): kg produced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0.16969696969696968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Tomatoes (cash): kg produced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0.16969696969696968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8">
        <f t="shared" si="49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Cabbage (cash): kg produced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0.16969696969696968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Agricultural cash income -- see Data2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0.33636363636363642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Labour migration(formal employment): no. people per HH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0.28606060606060607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Formal Employment (conservancies, etc.)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0.42909090909090908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8">
        <f>(J106)</f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Self-employment -- see Data2</v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0.48484848484848486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Small business -- see Data2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0.57212121212121214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Social development -- see Data2</v>
      </c>
      <c r="B109" s="75">
        <f t="shared" si="51"/>
        <v>2.6035505402086736</v>
      </c>
      <c r="C109" s="75">
        <f t="shared" si="51"/>
        <v>0</v>
      </c>
      <c r="D109" s="24">
        <f t="shared" si="59"/>
        <v>2.6035505402086736</v>
      </c>
      <c r="H109" s="24">
        <f t="shared" si="60"/>
        <v>0.7151515151515152</v>
      </c>
      <c r="I109" s="22">
        <f t="shared" si="61"/>
        <v>1.8619331136037789</v>
      </c>
      <c r="J109" s="24">
        <f t="shared" si="62"/>
        <v>1.8619331136037789</v>
      </c>
      <c r="K109" s="22">
        <f t="shared" si="63"/>
        <v>2.6035505402086736</v>
      </c>
      <c r="L109" s="22">
        <f t="shared" si="64"/>
        <v>1.8619331136037789</v>
      </c>
      <c r="M109" s="228">
        <f t="shared" si="65"/>
        <v>1.8619331136037789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Public works -- see Data2</v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0.7151515151515152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Other income: e.g. Credit (cotton loans)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2.6035505402086736</v>
      </c>
      <c r="C119" s="22">
        <f>SUM(C91:C118)</f>
        <v>0</v>
      </c>
      <c r="D119" s="24">
        <f>SUM(D91:D118)</f>
        <v>2.6035505402086736</v>
      </c>
      <c r="E119" s="22"/>
      <c r="F119" s="2"/>
      <c r="G119" s="2"/>
      <c r="H119" s="31"/>
      <c r="I119" s="22">
        <f>SUM(I91:I118)</f>
        <v>1.8619331136037789</v>
      </c>
      <c r="J119" s="24">
        <f>SUM(J91:J118)</f>
        <v>1.8619331136037789</v>
      </c>
      <c r="K119" s="22">
        <f>SUM(K91:K118)</f>
        <v>2.6035505402086736</v>
      </c>
      <c r="L119" s="22">
        <f>SUM(L91:L118)</f>
        <v>1.8619331136037789</v>
      </c>
      <c r="M119" s="57">
        <f t="shared" si="49"/>
        <v>1.8619331136037789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1.6055380795793861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1.3622747341885701</v>
      </c>
      <c r="J124" s="237">
        <f>IF(SUMPRODUCT($B$124:$B124,$H$124:$H124)&lt;J$119,($B124*$H124),J$119)</f>
        <v>1.3622747341885701</v>
      </c>
      <c r="K124" s="29">
        <f>(B124)</f>
        <v>1.6055380795793861</v>
      </c>
      <c r="L124" s="29">
        <f>IF(SUMPRODUCT($B$124:$B124,$H$124:$H124)&lt;L$119,($B124*$H124),L$119)</f>
        <v>1.3622747341885701</v>
      </c>
      <c r="M124" s="240">
        <f t="shared" si="66"/>
        <v>1.3622747341885701</v>
      </c>
      <c r="N124" s="58"/>
      <c r="O124" s="174">
        <f>B124*H124</f>
        <v>1.3622747341885701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1.6527777089644404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0.49965837941520874</v>
      </c>
      <c r="J125" s="237">
        <f>IF(SUMPRODUCT($B$124:$B125,$H$124:$H125)&lt;J$119,($B125*$H125),IF(SUMPRODUCT($B$124:$B124,$H$124:$H124)&lt;J$119,J$119-SUMPRODUCT($B$124:$B124,$H$124:$H124),0))</f>
        <v>0.49965837941520874</v>
      </c>
      <c r="K125" s="29">
        <f>(B125)</f>
        <v>1.6527777089644404</v>
      </c>
      <c r="L125" s="29">
        <f>IF(SUMPRODUCT($B$124:$B125,$H$124:$H125)&lt;L$119,($B125*$H125),IF(SUMPRODUCT($B$124:$B124,$H$124:$H124)&lt;L$119,L$119-SUMPRODUCT($B$124:$B124,$H$124:$H124),0))</f>
        <v>0.49965837941520874</v>
      </c>
      <c r="M125" s="240">
        <f t="shared" si="66"/>
        <v>0.49965837941520874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3.2803317977997017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0.33106001419547165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0.33106001419547165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0.23675807075797367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0.57517989881693654</v>
      </c>
      <c r="C128" s="2"/>
      <c r="D128" s="31"/>
      <c r="E128" s="2"/>
      <c r="F128" s="2"/>
      <c r="G128" s="2"/>
      <c r="H128" s="24"/>
      <c r="I128" s="29">
        <f>(I30)</f>
        <v>0.49965837941520874</v>
      </c>
      <c r="J128" s="228">
        <f>(J30)</f>
        <v>0.49965837941520874</v>
      </c>
      <c r="K128" s="29">
        <f>(B128)</f>
        <v>0.57517989881693654</v>
      </c>
      <c r="L128" s="29">
        <f>IF(L124=L119,0,(L119-L124)/(B119-B124)*K128)</f>
        <v>0.2879657994789574</v>
      </c>
      <c r="M128" s="240">
        <f t="shared" si="66"/>
        <v>0.49965837941520874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2.6035505402086736</v>
      </c>
      <c r="C130" s="2"/>
      <c r="D130" s="31"/>
      <c r="E130" s="2"/>
      <c r="F130" s="2"/>
      <c r="G130" s="2"/>
      <c r="H130" s="24"/>
      <c r="I130" s="29">
        <f>(I119)</f>
        <v>1.8619331136037789</v>
      </c>
      <c r="J130" s="228">
        <f>(J119)</f>
        <v>1.8619331136037789</v>
      </c>
      <c r="K130" s="29">
        <f>(B130)</f>
        <v>2.6035505402086736</v>
      </c>
      <c r="L130" s="29">
        <f>(L119)</f>
        <v>1.8619331136037789</v>
      </c>
      <c r="M130" s="240">
        <f t="shared" si="66"/>
        <v>1.8619331136037789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1.1819864827745694</v>
      </c>
      <c r="J131" s="237">
        <f>IF(SUMPRODUCT($B124:$B125,$H124:$H125)&gt;(J119-J128),SUMPRODUCT($B124:$B125,$H124:$H125)+J128-J119,0)</f>
        <v>1.1819864827745694</v>
      </c>
      <c r="K131" s="29"/>
      <c r="L131" s="29">
        <f>IF(I131&lt;SUM(L126:L127),0,I131-(SUM(L126:L127)))</f>
        <v>1.1819864827745694</v>
      </c>
      <c r="M131" s="237">
        <f>IF(I131&lt;SUM(M126:M127),0,I131-(SUM(M126:M127)))</f>
        <v>1.1819864827745694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347" priority="84" operator="equal">
      <formula>16</formula>
    </cfRule>
    <cfRule type="cellIs" dxfId="346" priority="85" operator="equal">
      <formula>15</formula>
    </cfRule>
    <cfRule type="cellIs" dxfId="345" priority="86" operator="equal">
      <formula>14</formula>
    </cfRule>
    <cfRule type="cellIs" dxfId="344" priority="87" operator="equal">
      <formula>13</formula>
    </cfRule>
    <cfRule type="cellIs" dxfId="343" priority="88" operator="equal">
      <formula>12</formula>
    </cfRule>
    <cfRule type="cellIs" dxfId="342" priority="89" operator="equal">
      <formula>11</formula>
    </cfRule>
    <cfRule type="cellIs" dxfId="341" priority="90" operator="equal">
      <formula>10</formula>
    </cfRule>
    <cfRule type="cellIs" dxfId="340" priority="91" operator="equal">
      <formula>9</formula>
    </cfRule>
    <cfRule type="cellIs" dxfId="339" priority="92" operator="equal">
      <formula>8</formula>
    </cfRule>
    <cfRule type="cellIs" dxfId="338" priority="93" operator="equal">
      <formula>7</formula>
    </cfRule>
    <cfRule type="cellIs" dxfId="337" priority="94" operator="equal">
      <formula>6</formula>
    </cfRule>
    <cfRule type="cellIs" dxfId="336" priority="95" operator="equal">
      <formula>5</formula>
    </cfRule>
    <cfRule type="cellIs" dxfId="335" priority="96" operator="equal">
      <formula>4</formula>
    </cfRule>
    <cfRule type="cellIs" dxfId="334" priority="97" operator="equal">
      <formula>3</formula>
    </cfRule>
    <cfRule type="cellIs" dxfId="333" priority="98" operator="equal">
      <formula>2</formula>
    </cfRule>
    <cfRule type="cellIs" dxfId="332" priority="99" operator="equal">
      <formula>1</formula>
    </cfRule>
  </conditionalFormatting>
  <conditionalFormatting sqref="N29">
    <cfRule type="cellIs" dxfId="331" priority="68" operator="equal">
      <formula>16</formula>
    </cfRule>
    <cfRule type="cellIs" dxfId="330" priority="69" operator="equal">
      <formula>15</formula>
    </cfRule>
    <cfRule type="cellIs" dxfId="329" priority="70" operator="equal">
      <formula>14</formula>
    </cfRule>
    <cfRule type="cellIs" dxfId="328" priority="71" operator="equal">
      <formula>13</formula>
    </cfRule>
    <cfRule type="cellIs" dxfId="327" priority="72" operator="equal">
      <formula>12</formula>
    </cfRule>
    <cfRule type="cellIs" dxfId="326" priority="73" operator="equal">
      <formula>11</formula>
    </cfRule>
    <cfRule type="cellIs" dxfId="325" priority="74" operator="equal">
      <formula>10</formula>
    </cfRule>
    <cfRule type="cellIs" dxfId="324" priority="75" operator="equal">
      <formula>9</formula>
    </cfRule>
    <cfRule type="cellIs" dxfId="323" priority="76" operator="equal">
      <formula>8</formula>
    </cfRule>
    <cfRule type="cellIs" dxfId="322" priority="77" operator="equal">
      <formula>7</formula>
    </cfRule>
    <cfRule type="cellIs" dxfId="321" priority="78" operator="equal">
      <formula>6</formula>
    </cfRule>
    <cfRule type="cellIs" dxfId="320" priority="79" operator="equal">
      <formula>5</formula>
    </cfRule>
    <cfRule type="cellIs" dxfId="319" priority="80" operator="equal">
      <formula>4</formula>
    </cfRule>
    <cfRule type="cellIs" dxfId="318" priority="81" operator="equal">
      <formula>3</formula>
    </cfRule>
    <cfRule type="cellIs" dxfId="317" priority="82" operator="equal">
      <formula>2</formula>
    </cfRule>
    <cfRule type="cellIs" dxfId="316" priority="83" operator="equal">
      <formula>1</formula>
    </cfRule>
  </conditionalFormatting>
  <conditionalFormatting sqref="N113:N119">
    <cfRule type="cellIs" dxfId="315" priority="52" operator="equal">
      <formula>16</formula>
    </cfRule>
    <cfRule type="cellIs" dxfId="314" priority="53" operator="equal">
      <formula>15</formula>
    </cfRule>
    <cfRule type="cellIs" dxfId="313" priority="54" operator="equal">
      <formula>14</formula>
    </cfRule>
    <cfRule type="cellIs" dxfId="312" priority="55" operator="equal">
      <formula>13</formula>
    </cfRule>
    <cfRule type="cellIs" dxfId="311" priority="56" operator="equal">
      <formula>12</formula>
    </cfRule>
    <cfRule type="cellIs" dxfId="310" priority="57" operator="equal">
      <formula>11</formula>
    </cfRule>
    <cfRule type="cellIs" dxfId="309" priority="58" operator="equal">
      <formula>10</formula>
    </cfRule>
    <cfRule type="cellIs" dxfId="308" priority="59" operator="equal">
      <formula>9</formula>
    </cfRule>
    <cfRule type="cellIs" dxfId="307" priority="60" operator="equal">
      <formula>8</formula>
    </cfRule>
    <cfRule type="cellIs" dxfId="306" priority="61" operator="equal">
      <formula>7</formula>
    </cfRule>
    <cfRule type="cellIs" dxfId="305" priority="62" operator="equal">
      <formula>6</formula>
    </cfRule>
    <cfRule type="cellIs" dxfId="304" priority="63" operator="equal">
      <formula>5</formula>
    </cfRule>
    <cfRule type="cellIs" dxfId="303" priority="64" operator="equal">
      <formula>4</formula>
    </cfRule>
    <cfRule type="cellIs" dxfId="302" priority="65" operator="equal">
      <formula>3</formula>
    </cfRule>
    <cfRule type="cellIs" dxfId="301" priority="66" operator="equal">
      <formula>2</formula>
    </cfRule>
    <cfRule type="cellIs" dxfId="300" priority="67" operator="equal">
      <formula>1</formula>
    </cfRule>
  </conditionalFormatting>
  <conditionalFormatting sqref="N91:N104">
    <cfRule type="cellIs" dxfId="299" priority="36" operator="equal">
      <formula>16</formula>
    </cfRule>
    <cfRule type="cellIs" dxfId="298" priority="37" operator="equal">
      <formula>15</formula>
    </cfRule>
    <cfRule type="cellIs" dxfId="297" priority="38" operator="equal">
      <formula>14</formula>
    </cfRule>
    <cfRule type="cellIs" dxfId="296" priority="39" operator="equal">
      <formula>13</formula>
    </cfRule>
    <cfRule type="cellIs" dxfId="295" priority="40" operator="equal">
      <formula>12</formula>
    </cfRule>
    <cfRule type="cellIs" dxfId="294" priority="41" operator="equal">
      <formula>11</formula>
    </cfRule>
    <cfRule type="cellIs" dxfId="293" priority="42" operator="equal">
      <formula>10</formula>
    </cfRule>
    <cfRule type="cellIs" dxfId="292" priority="43" operator="equal">
      <formula>9</formula>
    </cfRule>
    <cfRule type="cellIs" dxfId="291" priority="44" operator="equal">
      <formula>8</formula>
    </cfRule>
    <cfRule type="cellIs" dxfId="290" priority="45" operator="equal">
      <formula>7</formula>
    </cfRule>
    <cfRule type="cellIs" dxfId="289" priority="46" operator="equal">
      <formula>6</formula>
    </cfRule>
    <cfRule type="cellIs" dxfId="288" priority="47" operator="equal">
      <formula>5</formula>
    </cfRule>
    <cfRule type="cellIs" dxfId="287" priority="48" operator="equal">
      <formula>4</formula>
    </cfRule>
    <cfRule type="cellIs" dxfId="286" priority="49" operator="equal">
      <formula>3</formula>
    </cfRule>
    <cfRule type="cellIs" dxfId="285" priority="50" operator="equal">
      <formula>2</formula>
    </cfRule>
    <cfRule type="cellIs" dxfId="284" priority="51" operator="equal">
      <formula>1</formula>
    </cfRule>
  </conditionalFormatting>
  <conditionalFormatting sqref="N105:N112">
    <cfRule type="cellIs" dxfId="283" priority="20" operator="equal">
      <formula>16</formula>
    </cfRule>
    <cfRule type="cellIs" dxfId="282" priority="21" operator="equal">
      <formula>15</formula>
    </cfRule>
    <cfRule type="cellIs" dxfId="281" priority="22" operator="equal">
      <formula>14</formula>
    </cfRule>
    <cfRule type="cellIs" dxfId="280" priority="23" operator="equal">
      <formula>13</formula>
    </cfRule>
    <cfRule type="cellIs" dxfId="279" priority="24" operator="equal">
      <formula>12</formula>
    </cfRule>
    <cfRule type="cellIs" dxfId="278" priority="25" operator="equal">
      <formula>11</formula>
    </cfRule>
    <cfRule type="cellIs" dxfId="277" priority="26" operator="equal">
      <formula>10</formula>
    </cfRule>
    <cfRule type="cellIs" dxfId="276" priority="27" operator="equal">
      <formula>9</formula>
    </cfRule>
    <cfRule type="cellIs" dxfId="275" priority="28" operator="equal">
      <formula>8</formula>
    </cfRule>
    <cfRule type="cellIs" dxfId="274" priority="29" operator="equal">
      <formula>7</formula>
    </cfRule>
    <cfRule type="cellIs" dxfId="273" priority="30" operator="equal">
      <formula>6</formula>
    </cfRule>
    <cfRule type="cellIs" dxfId="272" priority="31" operator="equal">
      <formula>5</formula>
    </cfRule>
    <cfRule type="cellIs" dxfId="271" priority="32" operator="equal">
      <formula>4</formula>
    </cfRule>
    <cfRule type="cellIs" dxfId="270" priority="33" operator="equal">
      <formula>3</formula>
    </cfRule>
    <cfRule type="cellIs" dxfId="269" priority="34" operator="equal">
      <formula>2</formula>
    </cfRule>
    <cfRule type="cellIs" dxfId="268" priority="35" operator="equal">
      <formula>1</formula>
    </cfRule>
  </conditionalFormatting>
  <conditionalFormatting sqref="N6:N28">
    <cfRule type="cellIs" dxfId="267" priority="4" operator="equal">
      <formula>16</formula>
    </cfRule>
    <cfRule type="cellIs" dxfId="266" priority="5" operator="equal">
      <formula>15</formula>
    </cfRule>
    <cfRule type="cellIs" dxfId="265" priority="6" operator="equal">
      <formula>14</formula>
    </cfRule>
    <cfRule type="cellIs" dxfId="264" priority="7" operator="equal">
      <formula>13</formula>
    </cfRule>
    <cfRule type="cellIs" dxfId="263" priority="8" operator="equal">
      <formula>12</formula>
    </cfRule>
    <cfRule type="cellIs" dxfId="262" priority="9" operator="equal">
      <formula>11</formula>
    </cfRule>
    <cfRule type="cellIs" dxfId="261" priority="10" operator="equal">
      <formula>10</formula>
    </cfRule>
    <cfRule type="cellIs" dxfId="260" priority="11" operator="equal">
      <formula>9</formula>
    </cfRule>
    <cfRule type="cellIs" dxfId="259" priority="12" operator="equal">
      <formula>8</formula>
    </cfRule>
    <cfRule type="cellIs" dxfId="258" priority="13" operator="equal">
      <formula>7</formula>
    </cfRule>
    <cfRule type="cellIs" dxfId="257" priority="14" operator="equal">
      <formula>6</formula>
    </cfRule>
    <cfRule type="cellIs" dxfId="256" priority="15" operator="equal">
      <formula>5</formula>
    </cfRule>
    <cfRule type="cellIs" dxfId="255" priority="16" operator="equal">
      <formula>4</formula>
    </cfRule>
    <cfRule type="cellIs" dxfId="254" priority="17" operator="equal">
      <formula>3</formula>
    </cfRule>
    <cfRule type="cellIs" dxfId="253" priority="18" operator="equal">
      <formula>2</formula>
    </cfRule>
    <cfRule type="cellIs" dxfId="252" priority="19" operator="equal">
      <formula>1</formula>
    </cfRule>
  </conditionalFormatting>
  <conditionalFormatting sqref="R31:T31">
    <cfRule type="cellIs" dxfId="251" priority="3" operator="greaterThan">
      <formula>0</formula>
    </cfRule>
  </conditionalFormatting>
  <conditionalFormatting sqref="R32:T32">
    <cfRule type="cellIs" dxfId="250" priority="2" operator="greaterThan">
      <formula>0</formula>
    </cfRule>
  </conditionalFormatting>
  <conditionalFormatting sqref="R30:T30">
    <cfRule type="cellIs" dxfId="24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19" activePane="bottomRight" state="frozen"/>
      <selection pane="topRight" activeCell="B1" sqref="B1"/>
      <selection pane="bottomLeft" activeCell="A3" sqref="A3"/>
      <selection pane="bottomRight" activeCell="E53" sqref="E53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ZACNI: 59106</v>
      </c>
      <c r="B1" s="244" t="str">
        <f>[1]WB!$A$2</f>
        <v>Coastal open access non-crop income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105</v>
      </c>
      <c r="AA1" s="261"/>
      <c r="AB1" s="260" t="s">
        <v>106</v>
      </c>
      <c r="AC1" s="261"/>
      <c r="AD1" s="260" t="s">
        <v>107</v>
      </c>
      <c r="AE1" s="261"/>
      <c r="AF1" s="260" t="s">
        <v>108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109</v>
      </c>
      <c r="AA2" s="262"/>
      <c r="AB2" s="258" t="s">
        <v>110</v>
      </c>
      <c r="AC2" s="262"/>
      <c r="AD2" s="258" t="s">
        <v>111</v>
      </c>
      <c r="AE2" s="262"/>
      <c r="AF2" s="258" t="s">
        <v>112</v>
      </c>
      <c r="AG2" s="262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8.3437110834371116E-3</v>
      </c>
      <c r="C6" s="215">
        <f>IF([1]Summ!F1044="",0,[1]Summ!F1044)</f>
        <v>0</v>
      </c>
      <c r="D6" s="24">
        <f t="shared" ref="D6:D16" si="0">SUM(B6,C6)</f>
        <v>8.3437110834371116E-3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1.6687422166874223E-3</v>
      </c>
      <c r="J6" s="24">
        <f t="shared" ref="J6:J13" si="3">IF(I$32&lt;=1+I$131,I6,B6*H6+J$33*(I6-B6*H6))</f>
        <v>1.6687422166874223E-3</v>
      </c>
      <c r="K6" s="22">
        <f t="shared" ref="K6:K31" si="4">B6</f>
        <v>8.3437110834371116E-3</v>
      </c>
      <c r="L6" s="22">
        <f t="shared" ref="L6:L29" si="5">IF(K6="","",K6*H6)</f>
        <v>1.6687422166874223E-3</v>
      </c>
      <c r="M6" s="224">
        <f t="shared" ref="M6:M31" si="6">J6</f>
        <v>1.6687422166874223E-3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6.6749688667496893E-3</v>
      </c>
      <c r="Z6" s="116">
        <v>0.17</v>
      </c>
      <c r="AA6" s="121">
        <f>$M6*Z6*4</f>
        <v>1.1347447073474474E-3</v>
      </c>
      <c r="AB6" s="116">
        <v>0.17</v>
      </c>
      <c r="AC6" s="121">
        <f t="shared" ref="AC6:AC29" si="7">$M6*AB6*4</f>
        <v>1.1347447073474474E-3</v>
      </c>
      <c r="AD6" s="116">
        <v>0.33</v>
      </c>
      <c r="AE6" s="121">
        <f t="shared" ref="AE6:AE29" si="8">$M6*AD6*4</f>
        <v>2.2027397260273975E-3</v>
      </c>
      <c r="AF6" s="122">
        <f>1-SUM(Z6,AB6,AD6)</f>
        <v>0.32999999999999996</v>
      </c>
      <c r="AG6" s="121">
        <f>$M6*AF6*4</f>
        <v>2.2027397260273971E-3</v>
      </c>
      <c r="AH6" s="123">
        <f>SUM(Z6,AB6,AD6,AF6)</f>
        <v>1</v>
      </c>
      <c r="AI6" s="183">
        <f>SUM(AA6,AC6,AE6,AG6)/4</f>
        <v>1.6687422166874223E-3</v>
      </c>
      <c r="AJ6" s="120">
        <f>(AA6+AC6)/2</f>
        <v>1.1347447073474474E-3</v>
      </c>
      <c r="AK6" s="119">
        <f>(AE6+AG6)/2</f>
        <v>2.2027397260273975E-3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4381.2423919338971</v>
      </c>
      <c r="S7" s="222">
        <f>IF($B$81=0,0,(SUMIF($N$6:$N$28,$U7,L$6:L$28)+SUMIF($N$91:$N$118,$U7,L$91:L$118))*$I$83*Poor!$B$81/$B$81)</f>
        <v>1099.7739325006637</v>
      </c>
      <c r="T7" s="222">
        <f>IF($B$81=0,0,(SUMIF($N$6:$N$28,$U7,M$6:M$28)+SUMIF($N$91:$N$118,$U7,M$91:M$118))*$I$83*Poor!$B$81/$B$81)</f>
        <v>1242.8631944117926</v>
      </c>
      <c r="U7" s="223">
        <v>1</v>
      </c>
      <c r="V7" s="56"/>
      <c r="W7" s="115"/>
      <c r="X7" s="124"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5">
        <f>IF([1]Summ!E1046="",0,[1]Summ!E1046)</f>
        <v>2.6171573396637608E-2</v>
      </c>
      <c r="C8" s="215">
        <f>IF([1]Summ!F1046="",0,[1]Summ!F1046)</f>
        <v>0</v>
      </c>
      <c r="D8" s="24">
        <f t="shared" si="0"/>
        <v>2.6171573396637608E-2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5.2343146793275216E-3</v>
      </c>
      <c r="J8" s="24">
        <f t="shared" si="3"/>
        <v>5.2343146793275216E-3</v>
      </c>
      <c r="K8" s="22">
        <f t="shared" si="4"/>
        <v>2.6171573396637608E-2</v>
      </c>
      <c r="L8" s="22">
        <f t="shared" si="5"/>
        <v>5.2343146793275216E-3</v>
      </c>
      <c r="M8" s="224">
        <f t="shared" si="6"/>
        <v>5.2343146793275216E-3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1238.4628440424749</v>
      </c>
      <c r="S8" s="222">
        <f>IF($B$81=0,0,(SUMIF($N$6:$N$28,$U8,L$6:L$28)+SUMIF($N$91:$N$118,$U8,L$91:L$118))*$I$83*Poor!$B$81/$B$81)</f>
        <v>234.08</v>
      </c>
      <c r="T8" s="222">
        <f>IF($B$81=0,0,(SUMIF($N$6:$N$28,$U8,M$6:M$28)+SUMIF($N$91:$N$118,$U8,M$91:M$118))*$I$83*Poor!$B$81/$B$81)</f>
        <v>42</v>
      </c>
      <c r="U8" s="223">
        <v>2</v>
      </c>
      <c r="V8" s="184"/>
      <c r="W8" s="115"/>
      <c r="X8" s="124">
        <v>1</v>
      </c>
      <c r="Y8" s="183">
        <f t="shared" si="9"/>
        <v>2.0937258717310087E-2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2.0937258717310087E-2</v>
      </c>
      <c r="AH8" s="123">
        <f t="shared" si="12"/>
        <v>1</v>
      </c>
      <c r="AI8" s="183">
        <f t="shared" si="13"/>
        <v>5.2343146793275216E-3</v>
      </c>
      <c r="AJ8" s="120">
        <f t="shared" si="14"/>
        <v>0</v>
      </c>
      <c r="AK8" s="119">
        <f t="shared" si="15"/>
        <v>1.0468629358655043E-2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Green cons - Season 1: no of months</v>
      </c>
      <c r="B9" s="215">
        <f>IF([1]Summ!E1047="",0,[1]Summ!E1047)</f>
        <v>4.2500000000000003E-2</v>
      </c>
      <c r="C9" s="215">
        <f>IF([1]Summ!F1047="",0,[1]Summ!F1047)</f>
        <v>0</v>
      </c>
      <c r="D9" s="24">
        <f t="shared" si="0"/>
        <v>4.2500000000000003E-2</v>
      </c>
      <c r="E9" s="26">
        <v>0.2</v>
      </c>
      <c r="F9" s="28">
        <v>8800</v>
      </c>
      <c r="H9" s="24">
        <f t="shared" si="1"/>
        <v>0.2</v>
      </c>
      <c r="I9" s="22">
        <f t="shared" si="2"/>
        <v>8.5000000000000006E-3</v>
      </c>
      <c r="J9" s="24">
        <f t="shared" si="3"/>
        <v>8.5000000000000006E-3</v>
      </c>
      <c r="K9" s="22">
        <f t="shared" si="4"/>
        <v>4.2500000000000003E-2</v>
      </c>
      <c r="L9" s="22">
        <f t="shared" si="5"/>
        <v>8.5000000000000006E-3</v>
      </c>
      <c r="M9" s="224">
        <f t="shared" si="6"/>
        <v>8.5000000000000006E-3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432.45354682181602</v>
      </c>
      <c r="S9" s="222">
        <f>IF($B$81=0,0,(SUMIF($N$6:$N$28,$U9,L$6:L$28)+SUMIF($N$91:$N$118,$U9,L$91:L$118))*$I$83*Poor!$B$81/$B$81)</f>
        <v>96.333357977682553</v>
      </c>
      <c r="T9" s="222">
        <f>IF($B$81=0,0,(SUMIF($N$6:$N$28,$U9,M$6:M$28)+SUMIF($N$91:$N$118,$U9,M$91:M$118))*$I$83*Poor!$B$81/$B$81)</f>
        <v>96.333357977682553</v>
      </c>
      <c r="U9" s="223">
        <v>3</v>
      </c>
      <c r="V9" s="56"/>
      <c r="W9" s="115"/>
      <c r="X9" s="124">
        <v>1</v>
      </c>
      <c r="Y9" s="183">
        <f t="shared" si="9"/>
        <v>3.4000000000000002E-2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3.4000000000000002E-2</v>
      </c>
      <c r="AH9" s="123">
        <f t="shared" si="12"/>
        <v>1</v>
      </c>
      <c r="AI9" s="183">
        <f t="shared" si="13"/>
        <v>8.5000000000000006E-3</v>
      </c>
      <c r="AJ9" s="120">
        <f t="shared" si="14"/>
        <v>0</v>
      </c>
      <c r="AK9" s="119">
        <f t="shared" si="15"/>
        <v>1.7000000000000001E-2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Maize: kg produced</v>
      </c>
      <c r="B10" s="215">
        <f>IF([1]Summ!E1048="",0,[1]Summ!E1048)</f>
        <v>8.8718578767123274E-2</v>
      </c>
      <c r="C10" s="215">
        <f>IF([1]Summ!F1048="",0,[1]Summ!F1048)</f>
        <v>0</v>
      </c>
      <c r="D10" s="24">
        <f t="shared" si="0"/>
        <v>8.8718578767123274E-2</v>
      </c>
      <c r="E10" s="26">
        <v>0.3</v>
      </c>
      <c r="H10" s="24">
        <f t="shared" si="1"/>
        <v>0.3</v>
      </c>
      <c r="I10" s="22">
        <f t="shared" si="2"/>
        <v>2.6615573630136981E-2</v>
      </c>
      <c r="J10" s="24">
        <f t="shared" si="3"/>
        <v>2.6615573630136981E-2</v>
      </c>
      <c r="K10" s="22">
        <f t="shared" si="4"/>
        <v>8.8718578767123274E-2</v>
      </c>
      <c r="L10" s="22">
        <f t="shared" si="5"/>
        <v>2.6615573630136981E-2</v>
      </c>
      <c r="M10" s="224">
        <f t="shared" si="6"/>
        <v>2.6615573630136981E-2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3">
        <f t="shared" si="9"/>
        <v>0.10646229452054792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0.10646229452054792</v>
      </c>
      <c r="AH10" s="123">
        <f t="shared" si="12"/>
        <v>1</v>
      </c>
      <c r="AI10" s="183">
        <f t="shared" si="13"/>
        <v>2.6615573630136981E-2</v>
      </c>
      <c r="AJ10" s="120">
        <f t="shared" si="14"/>
        <v>0</v>
      </c>
      <c r="AK10" s="119">
        <f t="shared" si="15"/>
        <v>5.3231147260273962E-2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Sorghum: kg produced</v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0.3</v>
      </c>
      <c r="H11" s="24">
        <f t="shared" si="1"/>
        <v>0.3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740.70744260913568</v>
      </c>
      <c r="S11" s="222">
        <f>IF($B$81=0,0,(SUMIF($N$6:$N$28,$U11,L$6:L$28)+SUMIF($N$91:$N$118,$U11,L$91:L$118))*$I$83*Poor!$B$81/$B$81)</f>
        <v>295</v>
      </c>
      <c r="T11" s="222">
        <f>IF($B$81=0,0,(SUMIF($N$6:$N$28,$U11,M$6:M$28)+SUMIF($N$91:$N$118,$U11,M$91:M$118))*$I$83*Poor!$B$81/$B$81)</f>
        <v>295</v>
      </c>
      <c r="U11" s="223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Beans: kg produced</v>
      </c>
      <c r="B12" s="215">
        <f>IF([1]Summ!E1050="",0,[1]Summ!E1050)</f>
        <v>8.2852887608966391E-2</v>
      </c>
      <c r="C12" s="215">
        <f>IF([1]Summ!F1050="",0,[1]Summ!F1050)</f>
        <v>0</v>
      </c>
      <c r="D12" s="24">
        <f t="shared" si="0"/>
        <v>8.2852887608966391E-2</v>
      </c>
      <c r="E12" s="26">
        <v>0.2</v>
      </c>
      <c r="H12" s="24">
        <f t="shared" si="1"/>
        <v>0.2</v>
      </c>
      <c r="I12" s="22">
        <f t="shared" si="2"/>
        <v>1.6570577521793278E-2</v>
      </c>
      <c r="J12" s="24">
        <f t="shared" si="3"/>
        <v>1.6570577521793278E-2</v>
      </c>
      <c r="K12" s="22">
        <f t="shared" si="4"/>
        <v>8.2852887608966391E-2</v>
      </c>
      <c r="L12" s="22">
        <f t="shared" si="5"/>
        <v>1.6570577521793278E-2</v>
      </c>
      <c r="M12" s="224">
        <f t="shared" si="6"/>
        <v>1.6570577521793278E-2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6.6282310087173113E-2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4.4409147758405987E-2</v>
      </c>
      <c r="AF12" s="122">
        <f>1-SUM(Z12,AB12,AD12)</f>
        <v>0.32999999999999996</v>
      </c>
      <c r="AG12" s="121">
        <f>$M12*AF12*4</f>
        <v>2.1873162328767126E-2</v>
      </c>
      <c r="AH12" s="123">
        <f t="shared" si="12"/>
        <v>1</v>
      </c>
      <c r="AI12" s="183">
        <f t="shared" si="13"/>
        <v>1.6570577521793278E-2</v>
      </c>
      <c r="AJ12" s="120">
        <f t="shared" si="14"/>
        <v>0</v>
      </c>
      <c r="AK12" s="119">
        <f t="shared" si="15"/>
        <v>3.3141155043586557E-2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Cassava: no. local meas.</v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2591.4414323271239</v>
      </c>
      <c r="S13" s="222">
        <f>IF($B$81=0,0,(SUMIF($N$6:$N$28,$U13,L$6:L$28)+SUMIF($N$91:$N$118,$U13,L$91:L$118))*$I$83*Poor!$B$81/$B$81)</f>
        <v>1143.7438218661641</v>
      </c>
      <c r="T13" s="222">
        <f>IF($B$81=0,0,(SUMIF($N$6:$N$28,$U13,M$6:M$28)+SUMIF($N$91:$N$118,$U13,M$91:M$118))*$I$83*Poor!$B$81/$B$81)</f>
        <v>1143.7438218661641</v>
      </c>
      <c r="U13" s="223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Water melon: no. local meas (Bhece)</v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0.2</v>
      </c>
      <c r="F14" s="22"/>
      <c r="H14" s="24">
        <f t="shared" si="1"/>
        <v>0.2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Pumpkin: no. local meas</v>
      </c>
      <c r="B15" s="215">
        <f>IF([1]Summ!E1053="",0,[1]Summ!E1053)</f>
        <v>2.1996341843088418E-2</v>
      </c>
      <c r="C15" s="215">
        <f>IF([1]Summ!F1053="",0,[1]Summ!F1053)</f>
        <v>0</v>
      </c>
      <c r="D15" s="24">
        <f t="shared" si="0"/>
        <v>2.1996341843088418E-2</v>
      </c>
      <c r="E15" s="26">
        <v>0.2</v>
      </c>
      <c r="F15" s="22"/>
      <c r="H15" s="24">
        <f t="shared" si="1"/>
        <v>0.2</v>
      </c>
      <c r="I15" s="22">
        <f t="shared" si="2"/>
        <v>4.3992683686176837E-3</v>
      </c>
      <c r="J15" s="24">
        <f>IF(I$32&lt;=1+I131,I15,B15*H15+J$33*(I15-B15*H15))</f>
        <v>4.3992683686176837E-3</v>
      </c>
      <c r="K15" s="22">
        <f t="shared" si="4"/>
        <v>2.1996341843088418E-2</v>
      </c>
      <c r="L15" s="22">
        <f t="shared" si="5"/>
        <v>4.3992683686176837E-3</v>
      </c>
      <c r="M15" s="226">
        <f t="shared" si="6"/>
        <v>4.3992683686176837E-3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1.7597073474470735E-2</v>
      </c>
      <c r="Z15" s="116">
        <v>0.25</v>
      </c>
      <c r="AA15" s="121">
        <f t="shared" si="16"/>
        <v>4.3992683686176837E-3</v>
      </c>
      <c r="AB15" s="116">
        <v>0.25</v>
      </c>
      <c r="AC15" s="121">
        <f t="shared" si="7"/>
        <v>4.3992683686176837E-3</v>
      </c>
      <c r="AD15" s="116">
        <v>0.25</v>
      </c>
      <c r="AE15" s="121">
        <f t="shared" si="8"/>
        <v>4.3992683686176837E-3</v>
      </c>
      <c r="AF15" s="122">
        <f t="shared" si="10"/>
        <v>0.25</v>
      </c>
      <c r="AG15" s="121">
        <f t="shared" si="11"/>
        <v>4.3992683686176837E-3</v>
      </c>
      <c r="AH15" s="123">
        <f t="shared" si="12"/>
        <v>1</v>
      </c>
      <c r="AI15" s="183">
        <f t="shared" si="13"/>
        <v>4.3992683686176837E-3</v>
      </c>
      <c r="AJ15" s="120">
        <f t="shared" si="14"/>
        <v>4.3992683686176837E-3</v>
      </c>
      <c r="AK15" s="119">
        <f t="shared" si="15"/>
        <v>4.3992683686176837E-3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Sweet poatato: no. local meas</v>
      </c>
      <c r="B16" s="215">
        <f>IF([1]Summ!E1054="",0,[1]Summ!E1054)</f>
        <v>2.5988480697384807E-2</v>
      </c>
      <c r="C16" s="215">
        <f>IF([1]Summ!F1054="",0,[1]Summ!F1054)</f>
        <v>0</v>
      </c>
      <c r="D16" s="24">
        <f t="shared" si="0"/>
        <v>2.5988480697384807E-2</v>
      </c>
      <c r="E16" s="26">
        <v>0.2</v>
      </c>
      <c r="F16" s="22"/>
      <c r="H16" s="24">
        <f t="shared" si="1"/>
        <v>0.2</v>
      </c>
      <c r="I16" s="22">
        <f t="shared" si="2"/>
        <v>5.197696139476962E-3</v>
      </c>
      <c r="J16" s="24">
        <f>IF(I$32&lt;=1+I131,I16,B16*H16+J$33*(I16-B16*H16))</f>
        <v>5.197696139476962E-3</v>
      </c>
      <c r="K16" s="22">
        <f t="shared" si="4"/>
        <v>2.5988480697384807E-2</v>
      </c>
      <c r="L16" s="22">
        <f t="shared" si="5"/>
        <v>5.197696139476962E-3</v>
      </c>
      <c r="M16" s="224">
        <f t="shared" si="6"/>
        <v>5.197696139476962E-3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2.0790784557907848E-2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2.0790784557907848E-2</v>
      </c>
      <c r="AH16" s="123">
        <f t="shared" si="12"/>
        <v>1</v>
      </c>
      <c r="AI16" s="183">
        <f t="shared" si="13"/>
        <v>5.197696139476962E-3</v>
      </c>
      <c r="AJ16" s="120">
        <f t="shared" si="14"/>
        <v>0</v>
      </c>
      <c r="AK16" s="119">
        <f t="shared" si="15"/>
        <v>1.0395392278953924E-2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Groundnuts (dry): no. local meas</v>
      </c>
      <c r="B17" s="215">
        <f>IF([1]Summ!E1055="",0,[1]Summ!E1055)</f>
        <v>5.849071699875466E-2</v>
      </c>
      <c r="C17" s="215">
        <f>IF([1]Summ!F1055="",0,[1]Summ!F1055)</f>
        <v>4.7169933063511846E-2</v>
      </c>
      <c r="D17" s="24">
        <f>SUM(B17,C17)</f>
        <v>0.10566065006226651</v>
      </c>
      <c r="E17" s="26">
        <v>0.2</v>
      </c>
      <c r="F17" s="22"/>
      <c r="H17" s="24">
        <f t="shared" si="1"/>
        <v>0.2</v>
      </c>
      <c r="I17" s="22">
        <f t="shared" si="2"/>
        <v>2.1132130012453301E-2</v>
      </c>
      <c r="J17" s="24">
        <f t="shared" ref="J17:J25" si="17">IF(I$32&lt;=1+I131,I17,B17*H17+J$33*(I17-B17*H17))</f>
        <v>2.1132130012453301E-2</v>
      </c>
      <c r="K17" s="22">
        <f t="shared" si="4"/>
        <v>5.849071699875466E-2</v>
      </c>
      <c r="L17" s="22">
        <f t="shared" si="5"/>
        <v>1.1698143399750933E-2</v>
      </c>
      <c r="M17" s="225">
        <f t="shared" si="6"/>
        <v>2.1132130012453301E-2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8.4528520049813205E-2</v>
      </c>
      <c r="Z17" s="116">
        <v>0.29409999999999997</v>
      </c>
      <c r="AA17" s="121">
        <f t="shared" si="16"/>
        <v>2.485983774665006E-2</v>
      </c>
      <c r="AB17" s="116">
        <v>0.17649999999999999</v>
      </c>
      <c r="AC17" s="121">
        <f t="shared" si="7"/>
        <v>1.491928378879203E-2</v>
      </c>
      <c r="AD17" s="116">
        <v>0.23530000000000001</v>
      </c>
      <c r="AE17" s="121">
        <f t="shared" si="8"/>
        <v>1.9889560767721047E-2</v>
      </c>
      <c r="AF17" s="122">
        <f t="shared" si="10"/>
        <v>0.29410000000000003</v>
      </c>
      <c r="AG17" s="121">
        <f t="shared" si="11"/>
        <v>2.4859837746650067E-2</v>
      </c>
      <c r="AH17" s="123">
        <f t="shared" si="12"/>
        <v>1</v>
      </c>
      <c r="AI17" s="183">
        <f t="shared" si="13"/>
        <v>2.1132130012453301E-2</v>
      </c>
      <c r="AJ17" s="120">
        <f t="shared" si="14"/>
        <v>1.9889560767721047E-2</v>
      </c>
      <c r="AK17" s="119">
        <f t="shared" si="15"/>
        <v>2.2374699257185555E-2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Irish potato: type</v>
      </c>
      <c r="B18" s="215">
        <f>IF([1]Summ!E1056="",0,[1]Summ!E1056)</f>
        <v>8.3094645080946453E-3</v>
      </c>
      <c r="C18" s="215">
        <f>IF([1]Summ!F1056="",0,[1]Summ!F1056)</f>
        <v>2.1995641344956414E-3</v>
      </c>
      <c r="D18" s="24">
        <f t="shared" ref="D18:D20" si="18">SUM(B18,C18)</f>
        <v>1.0509028642590287E-2</v>
      </c>
      <c r="E18" s="26">
        <v>0.2</v>
      </c>
      <c r="F18" s="22"/>
      <c r="H18" s="24">
        <f t="shared" ref="H18:H20" si="19">(E18*F$7/F$9)</f>
        <v>0.2</v>
      </c>
      <c r="I18" s="22">
        <f t="shared" ref="I18:I20" si="20">(D18*H18)</f>
        <v>2.1018057285180575E-3</v>
      </c>
      <c r="J18" s="24">
        <f t="shared" si="17"/>
        <v>2.4813982974702048E-3</v>
      </c>
      <c r="K18" s="22">
        <f t="shared" ref="K18:K20" si="21">B18</f>
        <v>8.3094645080946453E-3</v>
      </c>
      <c r="L18" s="22">
        <f t="shared" ref="L18:L20" si="22">IF(K18="","",K18*H18)</f>
        <v>1.6618929016189291E-3</v>
      </c>
      <c r="M18" s="225">
        <f t="shared" ref="M18:M20" si="23">J18</f>
        <v>2.4813982974702048E-3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1491.5874480929031</v>
      </c>
      <c r="S18" s="222">
        <f>IF($B$81=0,0,(SUMIF($N$6:$N$28,$U18,L$6:L$28)+SUMIF($N$91:$N$118,$U18,L$91:L$118))*$I$83*Poor!$B$81/$B$81)</f>
        <v>1661.3302012222382</v>
      </c>
      <c r="T18" s="222">
        <f>IF($B$81=0,0,(SUMIF($N$6:$N$28,$U18,M$6:M$28)+SUMIF($N$91:$N$118,$U18,M$91:M$118))*$I$83*Poor!$B$81/$B$81)</f>
        <v>1661.3302012222382</v>
      </c>
      <c r="U18" s="223">
        <v>12</v>
      </c>
      <c r="V18" s="56"/>
      <c r="W18" s="110"/>
      <c r="X18" s="118"/>
      <c r="Y18" s="183">
        <f t="shared" ref="Y18:Y20" si="24">M18*4</f>
        <v>9.9255931898808193E-3</v>
      </c>
      <c r="Z18" s="116">
        <v>1.2941</v>
      </c>
      <c r="AA18" s="121">
        <f t="shared" ref="AA18:AA20" si="25">$M18*Z18*4</f>
        <v>1.2844710147024768E-2</v>
      </c>
      <c r="AB18" s="116">
        <v>1.1765000000000001</v>
      </c>
      <c r="AC18" s="121">
        <f t="shared" ref="AC18:AC20" si="26">$M18*AB18*4</f>
        <v>1.1677460387894785E-2</v>
      </c>
      <c r="AD18" s="116">
        <v>1.2353000000000001</v>
      </c>
      <c r="AE18" s="121">
        <f t="shared" ref="AE18:AE20" si="27">$M18*AD18*4</f>
        <v>1.2261085267459776E-2</v>
      </c>
      <c r="AF18" s="122">
        <f t="shared" ref="AF18:AF20" si="28">1-SUM(Z18,AB18,AD18)</f>
        <v>-2.7059000000000002</v>
      </c>
      <c r="AG18" s="121">
        <f t="shared" ref="AG18:AG20" si="29">$M18*AF18*4</f>
        <v>-2.6857662612498511E-2</v>
      </c>
      <c r="AH18" s="123">
        <f t="shared" ref="AH18:AH20" si="30">SUM(Z18,AB18,AD18,AF18)</f>
        <v>1</v>
      </c>
      <c r="AI18" s="183">
        <f t="shared" ref="AI18:AI20" si="31">SUM(AA18,AC18,AE18,AG18)/4</f>
        <v>2.4813982974702048E-3</v>
      </c>
      <c r="AJ18" s="120">
        <f t="shared" ref="AJ18:AJ20" si="32">(AA18+AC18)/2</f>
        <v>1.2261085267459776E-2</v>
      </c>
      <c r="AK18" s="119">
        <f t="shared" ref="AK18:AK20" si="33">(AE18+AG18)/2</f>
        <v>-7.2982886725193674E-3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Yam: type</v>
      </c>
      <c r="B19" s="215">
        <f>IF([1]Summ!E1057="",0,[1]Summ!E1057)</f>
        <v>2.082230697384807E-2</v>
      </c>
      <c r="C19" s="215">
        <f>IF([1]Summ!F1057="",0,[1]Summ!F1057)</f>
        <v>0</v>
      </c>
      <c r="D19" s="24">
        <f t="shared" si="18"/>
        <v>2.082230697384807E-2</v>
      </c>
      <c r="E19" s="26">
        <v>0.2</v>
      </c>
      <c r="F19" s="22"/>
      <c r="H19" s="24">
        <f t="shared" si="19"/>
        <v>0.2</v>
      </c>
      <c r="I19" s="22">
        <f t="shared" si="20"/>
        <v>4.1644613947696141E-3</v>
      </c>
      <c r="J19" s="24">
        <f t="shared" si="17"/>
        <v>4.1644613947696141E-3</v>
      </c>
      <c r="K19" s="22">
        <f t="shared" si="21"/>
        <v>2.082230697384807E-2</v>
      </c>
      <c r="L19" s="22">
        <f t="shared" si="22"/>
        <v>4.1644613947696141E-3</v>
      </c>
      <c r="M19" s="225">
        <f t="shared" si="23"/>
        <v>4.1644613947696141E-3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>
        <f t="shared" si="24"/>
        <v>1.6657845579078456E-2</v>
      </c>
      <c r="Z19" s="116">
        <v>2.2940999999999998</v>
      </c>
      <c r="AA19" s="121">
        <f t="shared" si="25"/>
        <v>3.8214763542963881E-2</v>
      </c>
      <c r="AB19" s="116">
        <v>2.1764999999999999</v>
      </c>
      <c r="AC19" s="121">
        <f t="shared" si="26"/>
        <v>3.625580090286426E-2</v>
      </c>
      <c r="AD19" s="116">
        <v>2.2353000000000001</v>
      </c>
      <c r="AE19" s="121">
        <f t="shared" si="27"/>
        <v>3.7235282222914078E-2</v>
      </c>
      <c r="AF19" s="122">
        <f t="shared" si="28"/>
        <v>-5.7058999999999997</v>
      </c>
      <c r="AG19" s="121">
        <f t="shared" si="29"/>
        <v>-9.5048001089663756E-2</v>
      </c>
      <c r="AH19" s="123">
        <f t="shared" si="30"/>
        <v>1</v>
      </c>
      <c r="AI19" s="183">
        <f t="shared" si="31"/>
        <v>4.1644613947696175E-3</v>
      </c>
      <c r="AJ19" s="120">
        <f t="shared" si="32"/>
        <v>3.7235282222914071E-2</v>
      </c>
      <c r="AK19" s="119">
        <f t="shared" si="33"/>
        <v>-2.8906359433374839E-2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FISHING -- see worksheet Data 3</v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32620.755772506334</v>
      </c>
      <c r="S20" s="222">
        <f>IF($B$81=0,0,(SUMIF($N$6:$N$28,$U20,L$6:L$28)+SUMIF($N$91:$N$118,$U20,L$91:L$118))*$I$83*Poor!$B$81/$B$81)</f>
        <v>25983.600000000002</v>
      </c>
      <c r="T20" s="222">
        <f>IF($B$81=0,0,(SUMIF($N$6:$N$28,$U20,M$6:M$28)+SUMIF($N$91:$N$118,$U20,M$91:M$118))*$I$83*Poor!$B$81/$B$81)</f>
        <v>25983.600000000002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>Labour: Land clearing, construction, herding, slaughtering</v>
      </c>
      <c r="B21" s="215">
        <f>IF([1]Summ!E1059="",0,[1]Summ!E1059)</f>
        <v>5.6779890410958905E-2</v>
      </c>
      <c r="C21" s="215">
        <f>IF([1]Summ!F1059="",0,[1]Summ!F1059)</f>
        <v>0</v>
      </c>
      <c r="D21" s="24">
        <f t="shared" ref="D21:D25" si="34">SUM(B21,C21)</f>
        <v>5.6779890410958905E-2</v>
      </c>
      <c r="E21" s="26">
        <v>0.5</v>
      </c>
      <c r="F21" s="22"/>
      <c r="H21" s="24">
        <f t="shared" ref="H21:H25" si="35">(E21*F$7/F$9)</f>
        <v>0.5</v>
      </c>
      <c r="I21" s="22">
        <f t="shared" ref="I21:I25" si="36">(D21*H21)</f>
        <v>2.8389945205479453E-2</v>
      </c>
      <c r="J21" s="24">
        <f t="shared" si="17"/>
        <v>2.8389945205479453E-2</v>
      </c>
      <c r="K21" s="22">
        <f t="shared" ref="K21:K25" si="37">B21</f>
        <v>5.6779890410958905E-2</v>
      </c>
      <c r="L21" s="22">
        <f t="shared" ref="L21:L25" si="38">IF(K21="","",K21*H21)</f>
        <v>2.8389945205479453E-2</v>
      </c>
      <c r="M21" s="225">
        <f t="shared" ref="M21:M25" si="39">J21</f>
        <v>2.8389945205479453E-2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>
        <f t="shared" ref="Y21:Y25" si="40">M21*4</f>
        <v>0.11355978082191781</v>
      </c>
      <c r="Z21" s="116">
        <v>4.2941000000000003</v>
      </c>
      <c r="AA21" s="121">
        <f t="shared" ref="AA21:AA25" si="41">$M21*Z21*4</f>
        <v>0.48763705482739728</v>
      </c>
      <c r="AB21" s="116">
        <v>4.1764999999999999</v>
      </c>
      <c r="AC21" s="121">
        <f t="shared" ref="AC21:AC25" si="42">$M21*AB21*4</f>
        <v>0.47428242460273973</v>
      </c>
      <c r="AD21" s="116">
        <v>4.2352999999999996</v>
      </c>
      <c r="AE21" s="121">
        <f t="shared" ref="AE21:AE25" si="43">$M21*AD21*4</f>
        <v>0.48095973971506845</v>
      </c>
      <c r="AF21" s="122">
        <f t="shared" ref="AF21:AF25" si="44">1-SUM(Z21,AB21,AD21)</f>
        <v>-11.7059</v>
      </c>
      <c r="AG21" s="121">
        <f t="shared" ref="AG21:AG25" si="45">$M21*AF21*4</f>
        <v>-1.3293194383232876</v>
      </c>
      <c r="AH21" s="123">
        <f t="shared" ref="AH21:AH25" si="46">SUM(Z21,AB21,AD21,AF21)</f>
        <v>1</v>
      </c>
      <c r="AI21" s="183">
        <f t="shared" ref="AI21:AI25" si="47">SUM(AA21,AC21,AE21,AG21)/4</f>
        <v>2.8389945205479494E-2</v>
      </c>
      <c r="AJ21" s="120">
        <f t="shared" ref="AJ21:AJ25" si="48">(AA21+AC21)/2</f>
        <v>0.4809597397150685</v>
      </c>
      <c r="AK21" s="119">
        <f t="shared" ref="AK21:AK25" si="49">(AE21+AG21)/2</f>
        <v>-0.42417984930410957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>Labour: Weeding</v>
      </c>
      <c r="B22" s="215">
        <f>IF([1]Summ!E1060="",0,[1]Summ!E1060)</f>
        <v>1.8926630136986301E-2</v>
      </c>
      <c r="C22" s="215">
        <f>IF([1]Summ!F1060="",0,[1]Summ!F1060)</f>
        <v>0</v>
      </c>
      <c r="D22" s="24">
        <f t="shared" si="34"/>
        <v>1.8926630136986301E-2</v>
      </c>
      <c r="E22" s="26">
        <v>0.5</v>
      </c>
      <c r="F22" s="22"/>
      <c r="H22" s="24">
        <f t="shared" si="35"/>
        <v>0.5</v>
      </c>
      <c r="I22" s="22">
        <f t="shared" si="36"/>
        <v>9.4633150684931503E-3</v>
      </c>
      <c r="J22" s="24">
        <f t="shared" si="17"/>
        <v>9.4633150684931503E-3</v>
      </c>
      <c r="K22" s="22">
        <f t="shared" si="37"/>
        <v>1.8926630136986301E-2</v>
      </c>
      <c r="L22" s="22">
        <f t="shared" si="38"/>
        <v>9.4633150684931503E-3</v>
      </c>
      <c r="M22" s="225">
        <f t="shared" si="39"/>
        <v>9.4633150684931503E-3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>
        <f t="shared" si="40"/>
        <v>3.7853260273972601E-2</v>
      </c>
      <c r="Z22" s="116">
        <v>5.2941000000000003</v>
      </c>
      <c r="AA22" s="121">
        <f t="shared" si="41"/>
        <v>0.20039894521643836</v>
      </c>
      <c r="AB22" s="116">
        <v>5.1764999999999999</v>
      </c>
      <c r="AC22" s="121">
        <f t="shared" si="42"/>
        <v>0.19594740180821918</v>
      </c>
      <c r="AD22" s="116">
        <v>5.2352999999999996</v>
      </c>
      <c r="AE22" s="121">
        <f t="shared" si="43"/>
        <v>0.19817317351232874</v>
      </c>
      <c r="AF22" s="122">
        <f t="shared" si="44"/>
        <v>-14.7059</v>
      </c>
      <c r="AG22" s="121">
        <f t="shared" si="45"/>
        <v>-0.55666626026301369</v>
      </c>
      <c r="AH22" s="123">
        <f t="shared" si="46"/>
        <v>1</v>
      </c>
      <c r="AI22" s="183">
        <f t="shared" si="47"/>
        <v>9.4633150684931555E-3</v>
      </c>
      <c r="AJ22" s="120">
        <f t="shared" si="48"/>
        <v>0.19817317351232877</v>
      </c>
      <c r="AK22" s="119">
        <f t="shared" si="49"/>
        <v>-0.17924654337534246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>Gifts/remittances: cereal</v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>
        <v>13</v>
      </c>
      <c r="O23" s="2"/>
      <c r="P23" s="22"/>
      <c r="Q23" s="171" t="s">
        <v>100</v>
      </c>
      <c r="R23" s="179">
        <f>SUM(R7:R22)</f>
        <v>43496.650878333683</v>
      </c>
      <c r="S23" s="179">
        <f>SUM(S7:S22)</f>
        <v>30513.861313566751</v>
      </c>
      <c r="T23" s="179">
        <f>SUM(T7:T22)</f>
        <v>30464.870575477878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>Gifts/remittances: Other</v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29831.109022148565</v>
      </c>
      <c r="S24" s="41">
        <f>IF($B$81=0,0,(SUM(($B$70*$H$70))+((1-$D$29)*$I$83))*Poor!$B$81/$B$81)</f>
        <v>29831.109022148565</v>
      </c>
      <c r="T24" s="41">
        <f>IF($B$81=0,0,(SUM(($B$70*$H$70))+((1-$D$29)*$I$83))*Poor!$B$81/$B$81)</f>
        <v>29831.109022148565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46325.935688815232</v>
      </c>
      <c r="S25" s="41">
        <f>IF($B$81=0,0,(SUM(($B$70*$H$70),($B$71*$H$71))+((1-$D$29)*$I$83))*Poor!$B$81/$B$81)</f>
        <v>46325.935688815232</v>
      </c>
      <c r="T25" s="41">
        <f>IF($B$81=0,0,(SUM(($B$70*$H$70),($B$71*$H$71))+((1-$D$29)*$I$83))*Poor!$B$81/$B$81)</f>
        <v>46325.935688815232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0.11904761904761904</v>
      </c>
      <c r="C26" s="215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79063.855688815223</v>
      </c>
      <c r="S26" s="41">
        <f>IF($B$81=0,0,(SUM(($B$70*$H$70),($B$71*$H$71),($B$72*$H$72))+((1-$D$29)*$I$83))*Poor!$B$81/$B$81)</f>
        <v>79063.855688815223</v>
      </c>
      <c r="T26" s="41">
        <f>IF($B$81=0,0,(SUM(($B$70*$H$70),($B$71*$H$71),($B$72*$H$72))+((1-$D$29)*$I$83))*Poor!$B$81/$B$81)</f>
        <v>79063.855688815223</v>
      </c>
      <c r="U26" s="56"/>
      <c r="V26" s="56"/>
      <c r="W26" s="110"/>
      <c r="X26" s="118"/>
      <c r="Y26" s="183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3.314115504358655E-2</v>
      </c>
      <c r="C27" s="215">
        <f>IF([1]Summ!F1065="",0,[1]Summ!F1065)</f>
        <v>-3.314115504358655E-2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0.19715891469489413</v>
      </c>
      <c r="C29" s="215">
        <f>IF([1]Summ!F1067="",0,[1]Summ!F1067)</f>
        <v>2.7477859247102939E-2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0.19715891469489413</v>
      </c>
      <c r="L29" s="22">
        <f t="shared" si="5"/>
        <v>0.19715891469489413</v>
      </c>
      <c r="M29" s="224">
        <f t="shared" si="6"/>
        <v>0.22463677394199708</v>
      </c>
      <c r="N29" s="229"/>
      <c r="P29" s="22"/>
      <c r="V29" s="56"/>
      <c r="W29" s="110"/>
      <c r="X29" s="118"/>
      <c r="Y29" s="183">
        <f t="shared" si="9"/>
        <v>0.8985470957679883</v>
      </c>
      <c r="Z29" s="116">
        <v>0.25</v>
      </c>
      <c r="AA29" s="121">
        <f t="shared" si="16"/>
        <v>0.22463677394199708</v>
      </c>
      <c r="AB29" s="116">
        <v>0.25</v>
      </c>
      <c r="AC29" s="121">
        <f t="shared" si="7"/>
        <v>0.22463677394199708</v>
      </c>
      <c r="AD29" s="116"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0.57048734589041095</v>
      </c>
      <c r="C30" s="103"/>
      <c r="D30" s="24">
        <f>(D119-B124)</f>
        <v>1.2059890909756568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0.56791227729856719</v>
      </c>
      <c r="J30" s="231">
        <f>IF(I$32&lt;=1,I30,1-SUM(J6:J29))</f>
        <v>0.52249818447567831</v>
      </c>
      <c r="K30" s="22">
        <f t="shared" si="4"/>
        <v>0.57048734589041095</v>
      </c>
      <c r="L30" s="22">
        <f>IF(L124=L119,0,IF(K30="",0,(L119-L124)/(B119-B124)*K30))</f>
        <v>0.2578193666850912</v>
      </c>
      <c r="M30" s="175">
        <f t="shared" si="6"/>
        <v>0.52249818447567831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3">
        <f>M30*4</f>
        <v>2.0899927379027132</v>
      </c>
      <c r="Z30" s="122">
        <f>IF($Y30=0,0,AA30/($Y$30))</f>
        <v>-5.4150292244375987E-2</v>
      </c>
      <c r="AA30" s="187">
        <f>IF(AA79*4/$I$83+SUM(AA6:AA29)&lt;1,AA79*4/$I$83,1-SUM(AA6:AA29))</f>
        <v>-0.11317371754605543</v>
      </c>
      <c r="AB30" s="122">
        <f>IF($Y30=0,0,AC30/($Y$30))</f>
        <v>-3.9378499295016266E-2</v>
      </c>
      <c r="AC30" s="187">
        <f>IF(AC79*4/$I$83+SUM(AC6:AC29)&lt;1,AC79*4/$I$83,1-SUM(AC6:AC29))</f>
        <v>-8.2300777556091109E-2</v>
      </c>
      <c r="AD30" s="122">
        <f>IF($Y30=0,0,AE30/($Y$30))</f>
        <v>-6.8523869835008855E-2</v>
      </c>
      <c r="AE30" s="187">
        <f>IF(AE79*4/$I$83+SUM(AE6:AE29)&lt;1,AE79*4/$I$83,1-SUM(AE6:AE29))</f>
        <v>-0.1432143903281593</v>
      </c>
      <c r="AF30" s="122">
        <f>IF($Y30=0,0,AG30/($Y$30))</f>
        <v>1.1620526613744011</v>
      </c>
      <c r="AG30" s="187">
        <f>IF(AG79*4/$I$83+SUM(AG6:AG29)&lt;1,AG79*4/$I$83,1-SUM(AG6:AG29))</f>
        <v>2.4286816233330191</v>
      </c>
      <c r="AH30" s="123">
        <f t="shared" si="12"/>
        <v>1</v>
      </c>
      <c r="AI30" s="183">
        <f t="shared" si="13"/>
        <v>0.52249818447567831</v>
      </c>
      <c r="AJ30" s="120">
        <f t="shared" si="14"/>
        <v>-9.773724755107327E-2</v>
      </c>
      <c r="AK30" s="119">
        <f t="shared" si="15"/>
        <v>1.1427336165024298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0.26926901400265713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2829.2848104815494</v>
      </c>
      <c r="S31" s="234">
        <f t="shared" si="50"/>
        <v>15812.074375248481</v>
      </c>
      <c r="T31" s="234">
        <f>IF(T25&gt;T$23,T25-T$23,0)</f>
        <v>15861.065113337354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2.2204460492503131E-16</v>
      </c>
      <c r="AH31" s="123"/>
      <c r="AI31" s="182">
        <f>SUM(AA31,AC31,AE31,AG31)/4</f>
        <v>5.5511151231257827E-17</v>
      </c>
      <c r="AJ31" s="135">
        <f t="shared" si="14"/>
        <v>0</v>
      </c>
      <c r="AK31" s="136">
        <f t="shared" si="15"/>
        <v>1.1102230246251565E-16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1.3797356171017907</v>
      </c>
      <c r="C32" s="29">
        <f>SUM(C6:C31)</f>
        <v>4.370620140152387E-2</v>
      </c>
      <c r="D32" s="24">
        <f>SUM(D6:D30)</f>
        <v>2.0589435635885605</v>
      </c>
      <c r="E32" s="2"/>
      <c r="F32" s="2"/>
      <c r="H32" s="17"/>
      <c r="I32" s="22">
        <f>SUM(I6:I30)</f>
        <v>1.0450345002539367</v>
      </c>
      <c r="J32" s="17"/>
      <c r="L32" s="22">
        <f>SUM(L6:L30)</f>
        <v>0.73073098599734287</v>
      </c>
      <c r="M32" s="23"/>
      <c r="N32" s="56"/>
      <c r="O32" s="2"/>
      <c r="P32" s="22"/>
      <c r="Q32" s="234" t="s">
        <v>143</v>
      </c>
      <c r="R32" s="234">
        <f t="shared" si="50"/>
        <v>35567.20481048154</v>
      </c>
      <c r="S32" s="234">
        <f t="shared" si="50"/>
        <v>48549.994375248469</v>
      </c>
      <c r="T32" s="234">
        <f t="shared" si="50"/>
        <v>48598.985113337345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0.99999999999999978</v>
      </c>
      <c r="AH32" s="127"/>
      <c r="AI32" s="110"/>
      <c r="AJ32" s="140">
        <f>SUM(AJ6:AJ31)</f>
        <v>1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1.8628813386229981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15861.065113337354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0</v>
      </c>
      <c r="C37" s="216">
        <f>IF([1]Summ!F1072="",0,[1]Summ!F1072)</f>
        <v>0</v>
      </c>
      <c r="D37" s="38">
        <f>SUM(B37,C37)</f>
        <v>0</v>
      </c>
      <c r="E37" s="233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500</v>
      </c>
      <c r="C38" s="216">
        <f>IF([1]Summ!F1073="",0,[1]Summ!F1073)</f>
        <v>0</v>
      </c>
      <c r="D38" s="38">
        <f t="shared" ref="D38:D47" si="58">SUM(B38,C38)</f>
        <v>500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295</v>
      </c>
      <c r="J38" s="38">
        <f t="shared" si="53"/>
        <v>295</v>
      </c>
      <c r="K38" s="40">
        <f t="shared" si="54"/>
        <v>2.0437359493153485E-2</v>
      </c>
      <c r="L38" s="22">
        <f t="shared" si="55"/>
        <v>1.2058042100960556E-2</v>
      </c>
      <c r="M38" s="24">
        <f t="shared" si="56"/>
        <v>1.2058042100960556E-2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295</v>
      </c>
      <c r="AH38" s="123">
        <f t="shared" ref="AH38:AI58" si="61">SUM(Z38,AB38,AD38,AF38)</f>
        <v>1</v>
      </c>
      <c r="AI38" s="112">
        <f t="shared" si="61"/>
        <v>295</v>
      </c>
      <c r="AJ38" s="148">
        <f t="shared" ref="AJ38:AJ64" si="62">(AA38+AC38)</f>
        <v>0</v>
      </c>
      <c r="AK38" s="147">
        <f t="shared" ref="AK38:AK64" si="63">(AE38+AG38)</f>
        <v>295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 sales: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1</v>
      </c>
      <c r="F39" s="26">
        <v>1.18</v>
      </c>
      <c r="G39" s="22">
        <f t="shared" si="59"/>
        <v>1.65</v>
      </c>
      <c r="H39" s="24">
        <f t="shared" si="51"/>
        <v>1.18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E10</f>
        <v>0.3</v>
      </c>
      <c r="F40" s="26">
        <v>1.4</v>
      </c>
      <c r="G40" s="22">
        <f t="shared" si="59"/>
        <v>1.65</v>
      </c>
      <c r="H40" s="24">
        <f t="shared" si="51"/>
        <v>0.42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Beans: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E12</f>
        <v>0.2</v>
      </c>
      <c r="F41" s="26">
        <v>1.4</v>
      </c>
      <c r="G41" s="22">
        <f t="shared" si="59"/>
        <v>1.65</v>
      </c>
      <c r="H41" s="24">
        <f t="shared" si="51"/>
        <v>0.27999999999999997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Water melon: no. local meas (Bhece)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E14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Sweet poatato: no. local meas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>E16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Groundnuts (dry): no. local meas</v>
      </c>
      <c r="B44" s="216">
        <f>IF([1]Summ!E1079="",0,[1]Summ!E1079)</f>
        <v>650</v>
      </c>
      <c r="C44" s="216">
        <f>IF([1]Summ!F1079="",0,[1]Summ!F1079)</f>
        <v>-650</v>
      </c>
      <c r="D44" s="38">
        <f t="shared" si="58"/>
        <v>0</v>
      </c>
      <c r="E44" s="75">
        <f>E17</f>
        <v>0.2</v>
      </c>
      <c r="F44" s="26">
        <v>1.4</v>
      </c>
      <c r="G44" s="22">
        <f t="shared" si="59"/>
        <v>1.65</v>
      </c>
      <c r="H44" s="24">
        <f t="shared" si="51"/>
        <v>0.27999999999999997</v>
      </c>
      <c r="I44" s="39">
        <f t="shared" si="52"/>
        <v>0</v>
      </c>
      <c r="J44" s="38">
        <f t="shared" si="53"/>
        <v>0</v>
      </c>
      <c r="K44" s="40">
        <f t="shared" si="54"/>
        <v>2.6568567341099528E-2</v>
      </c>
      <c r="L44" s="22">
        <f t="shared" si="55"/>
        <v>7.439198855507867E-3</v>
      </c>
      <c r="M44" s="24">
        <f t="shared" si="56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Irish potato: type</v>
      </c>
      <c r="B45" s="216">
        <f>IF([1]Summ!E1080="",0,[1]Summ!E1080)</f>
        <v>36</v>
      </c>
      <c r="C45" s="216">
        <f>IF([1]Summ!F1080="",0,[1]Summ!F1080)</f>
        <v>-36</v>
      </c>
      <c r="D45" s="38">
        <f t="shared" si="58"/>
        <v>0</v>
      </c>
      <c r="E45" s="75">
        <f>E18</f>
        <v>0.2</v>
      </c>
      <c r="F45" s="26">
        <v>1.4</v>
      </c>
      <c r="G45" s="22">
        <f t="shared" si="59"/>
        <v>1.65</v>
      </c>
      <c r="H45" s="24">
        <f t="shared" si="51"/>
        <v>0.27999999999999997</v>
      </c>
      <c r="I45" s="39">
        <f t="shared" si="52"/>
        <v>0</v>
      </c>
      <c r="J45" s="38">
        <f t="shared" si="53"/>
        <v>0</v>
      </c>
      <c r="K45" s="40">
        <f t="shared" si="54"/>
        <v>1.4714898835070508E-3</v>
      </c>
      <c r="L45" s="22">
        <f t="shared" si="55"/>
        <v>4.120171673819742E-4</v>
      </c>
      <c r="M45" s="24">
        <f t="shared" si="56"/>
        <v>0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Yam: type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75">
        <f>E19</f>
        <v>0.2</v>
      </c>
      <c r="F46" s="26">
        <v>1.4</v>
      </c>
      <c r="G46" s="22">
        <f t="shared" si="59"/>
        <v>1.65</v>
      </c>
      <c r="H46" s="24">
        <f t="shared" si="51"/>
        <v>0.27999999999999997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Spinach (cash): kg produced</v>
      </c>
      <c r="B47" s="216">
        <f>IF([1]Summ!E1082="",0,[1]Summ!E1082)</f>
        <v>150</v>
      </c>
      <c r="C47" s="216">
        <f>IF([1]Summ!F1082="",0,[1]Summ!F1082)</f>
        <v>0</v>
      </c>
      <c r="D47" s="38">
        <f t="shared" si="58"/>
        <v>150</v>
      </c>
      <c r="E47" s="26">
        <v>0.2</v>
      </c>
      <c r="F47" s="26">
        <v>1.4</v>
      </c>
      <c r="G47" s="22">
        <f t="shared" si="59"/>
        <v>1.65</v>
      </c>
      <c r="H47" s="24">
        <f t="shared" si="51"/>
        <v>0.27999999999999997</v>
      </c>
      <c r="I47" s="39">
        <f t="shared" si="52"/>
        <v>41.999999999999993</v>
      </c>
      <c r="J47" s="38">
        <f t="shared" si="53"/>
        <v>42</v>
      </c>
      <c r="K47" s="40">
        <f t="shared" si="54"/>
        <v>6.1312078479460455E-3</v>
      </c>
      <c r="L47" s="22">
        <f t="shared" si="55"/>
        <v>1.7167381974248926E-3</v>
      </c>
      <c r="M47" s="24">
        <f t="shared" si="56"/>
        <v>1.7167381974248926E-3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10.5</v>
      </c>
      <c r="AB47" s="116">
        <v>0.25</v>
      </c>
      <c r="AC47" s="147">
        <f t="shared" si="65"/>
        <v>10.5</v>
      </c>
      <c r="AD47" s="116">
        <v>0.25</v>
      </c>
      <c r="AE47" s="147">
        <f t="shared" si="66"/>
        <v>10.5</v>
      </c>
      <c r="AF47" s="122">
        <f t="shared" si="57"/>
        <v>0.25</v>
      </c>
      <c r="AG47" s="147">
        <f t="shared" si="60"/>
        <v>10.5</v>
      </c>
      <c r="AH47" s="123">
        <f t="shared" si="61"/>
        <v>1</v>
      </c>
      <c r="AI47" s="112">
        <f t="shared" si="61"/>
        <v>42</v>
      </c>
      <c r="AJ47" s="148">
        <f t="shared" si="62"/>
        <v>21</v>
      </c>
      <c r="AK47" s="147">
        <f t="shared" si="63"/>
        <v>21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Tomatoes (cash): kg produced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0.2</v>
      </c>
      <c r="F48" s="26">
        <v>1.4</v>
      </c>
      <c r="G48" s="22">
        <f t="shared" si="59"/>
        <v>1.65</v>
      </c>
      <c r="H48" s="24">
        <f t="shared" si="51"/>
        <v>0.27999999999999997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Cabbage (cash): kg produced</v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0.2</v>
      </c>
      <c r="F49" s="26">
        <v>1.4</v>
      </c>
      <c r="G49" s="22">
        <f t="shared" si="59"/>
        <v>1.65</v>
      </c>
      <c r="H49" s="24">
        <f t="shared" si="51"/>
        <v>0.27999999999999997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Agricultural cash income -- see Data2</v>
      </c>
      <c r="B50" s="216">
        <f>IF([1]Summ!E1085="",0,[1]Summ!E1085)</f>
        <v>1109</v>
      </c>
      <c r="C50" s="216">
        <f>IF([1]Summ!F1085="",0,[1]Summ!F1085)</f>
        <v>0</v>
      </c>
      <c r="D50" s="38">
        <f t="shared" si="67"/>
        <v>1109</v>
      </c>
      <c r="E50" s="26">
        <v>0.5</v>
      </c>
      <c r="F50" s="26">
        <v>1.1100000000000001</v>
      </c>
      <c r="G50" s="22">
        <f t="shared" si="59"/>
        <v>1.65</v>
      </c>
      <c r="H50" s="24">
        <f t="shared" ref="H50:H64" si="68">(E50*F50)</f>
        <v>0.55500000000000005</v>
      </c>
      <c r="I50" s="39">
        <f t="shared" ref="I50:I64" si="69">D50*H50</f>
        <v>615.495</v>
      </c>
      <c r="J50" s="38">
        <f t="shared" ref="J50:J64" si="70">J104*I$83</f>
        <v>615.49500000000012</v>
      </c>
      <c r="K50" s="40">
        <f t="shared" ref="K50:K64" si="71">(B50/B$65)</f>
        <v>4.533006335581443E-2</v>
      </c>
      <c r="L50" s="22">
        <f t="shared" ref="L50:L64" si="72">(K50*H50)</f>
        <v>2.5158185162477011E-2</v>
      </c>
      <c r="M50" s="24">
        <f t="shared" ref="M50:M64" si="73">J50/B$65</f>
        <v>2.5158185162477014E-2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Labour migration(formal employment): no. people per HH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0.4</v>
      </c>
      <c r="F51" s="26">
        <v>1.18</v>
      </c>
      <c r="G51" s="22">
        <f t="shared" si="59"/>
        <v>1.65</v>
      </c>
      <c r="H51" s="24">
        <f t="shared" si="68"/>
        <v>0.47199999999999998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Formal Employment (conservancies, etc.)</v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0.6</v>
      </c>
      <c r="F52" s="26">
        <v>1.18</v>
      </c>
      <c r="G52" s="22">
        <f t="shared" si="59"/>
        <v>1.65</v>
      </c>
      <c r="H52" s="24">
        <f t="shared" si="68"/>
        <v>0.70799999999999996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8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Self-employment -- see Data2</v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0.8</v>
      </c>
      <c r="F53" s="26">
        <v>1</v>
      </c>
      <c r="G53" s="22">
        <f t="shared" si="59"/>
        <v>1.65</v>
      </c>
      <c r="H53" s="24">
        <f t="shared" si="68"/>
        <v>0.8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Small business -- see Data2</v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0.8</v>
      </c>
      <c r="F54" s="26">
        <v>1.18</v>
      </c>
      <c r="G54" s="22">
        <f t="shared" si="59"/>
        <v>1.65</v>
      </c>
      <c r="H54" s="24">
        <f t="shared" si="68"/>
        <v>0.94399999999999995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Social development -- see Data2</v>
      </c>
      <c r="B55" s="216">
        <f>IF([1]Summ!E1090="",0,[1]Summ!E1090)</f>
        <v>22020</v>
      </c>
      <c r="C55" s="216">
        <f>IF([1]Summ!F1090="",0,[1]Summ!F1090)</f>
        <v>0</v>
      </c>
      <c r="D55" s="38">
        <f t="shared" si="67"/>
        <v>22020</v>
      </c>
      <c r="E55" s="26">
        <v>1</v>
      </c>
      <c r="F55" s="26">
        <v>1.18</v>
      </c>
      <c r="G55" s="22">
        <f t="shared" si="59"/>
        <v>1.65</v>
      </c>
      <c r="H55" s="24">
        <f t="shared" si="68"/>
        <v>1.18</v>
      </c>
      <c r="I55" s="39">
        <f t="shared" si="69"/>
        <v>25983.599999999999</v>
      </c>
      <c r="J55" s="38">
        <f t="shared" si="70"/>
        <v>25983.600000000002</v>
      </c>
      <c r="K55" s="40">
        <f t="shared" si="71"/>
        <v>0.9000613120784795</v>
      </c>
      <c r="L55" s="22">
        <f t="shared" si="72"/>
        <v>1.0620723482526058</v>
      </c>
      <c r="M55" s="24">
        <f t="shared" si="73"/>
        <v>1.0620723482526058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6495.9000000000005</v>
      </c>
      <c r="AB55" s="116">
        <v>0.25</v>
      </c>
      <c r="AC55" s="147">
        <f t="shared" si="65"/>
        <v>6495.9000000000005</v>
      </c>
      <c r="AD55" s="116">
        <v>0.25</v>
      </c>
      <c r="AE55" s="147">
        <f t="shared" si="66"/>
        <v>6495.9000000000005</v>
      </c>
      <c r="AF55" s="122">
        <f t="shared" si="57"/>
        <v>0.25</v>
      </c>
      <c r="AG55" s="147">
        <f t="shared" si="60"/>
        <v>6495.9000000000005</v>
      </c>
      <c r="AH55" s="123">
        <f t="shared" si="61"/>
        <v>1</v>
      </c>
      <c r="AI55" s="112">
        <f t="shared" si="61"/>
        <v>25983.600000000002</v>
      </c>
      <c r="AJ55" s="148">
        <f t="shared" si="62"/>
        <v>12991.800000000001</v>
      </c>
      <c r="AK55" s="147">
        <f t="shared" si="63"/>
        <v>12991.800000000001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Public works -- see Data2</v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1.18</v>
      </c>
      <c r="G56" s="22">
        <f t="shared" si="59"/>
        <v>1.65</v>
      </c>
      <c r="H56" s="24">
        <f t="shared" si="68"/>
        <v>1.18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Other income: e.g. Credit (cotton loans)</v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24465</v>
      </c>
      <c r="C65" s="41">
        <f>SUM(C37:C64)</f>
        <v>-686</v>
      </c>
      <c r="D65" s="42">
        <f>SUM(D37:D64)</f>
        <v>23779</v>
      </c>
      <c r="E65" s="32"/>
      <c r="F65" s="32"/>
      <c r="G65" s="32"/>
      <c r="H65" s="31"/>
      <c r="I65" s="39">
        <f>SUM(I37:I64)</f>
        <v>26936.094999999998</v>
      </c>
      <c r="J65" s="39">
        <f>SUM(J37:J64)</f>
        <v>26936.095000000001</v>
      </c>
      <c r="K65" s="40">
        <f>SUM(K37:K64)</f>
        <v>1</v>
      </c>
      <c r="L65" s="22">
        <f>SUM(L37:L64)</f>
        <v>1.1088565297363582</v>
      </c>
      <c r="M65" s="24">
        <f>SUM(M37:M64)</f>
        <v>1.1010053137134683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6506.4000000000005</v>
      </c>
      <c r="AB65" s="137"/>
      <c r="AC65" s="153">
        <f>SUM(AC37:AC64)</f>
        <v>6506.4000000000005</v>
      </c>
      <c r="AD65" s="137"/>
      <c r="AE65" s="153">
        <f>SUM(AE37:AE64)</f>
        <v>6506.4000000000005</v>
      </c>
      <c r="AF65" s="137"/>
      <c r="AG65" s="153">
        <f>SUM(AG37:AG64)</f>
        <v>6801.4000000000005</v>
      </c>
      <c r="AH65" s="137"/>
      <c r="AI65" s="153">
        <f>SUM(AI37:AI64)</f>
        <v>26320.600000000002</v>
      </c>
      <c r="AJ65" s="153">
        <f>SUM(AJ37:AJ64)</f>
        <v>13012.800000000001</v>
      </c>
      <c r="AK65" s="153">
        <f>SUM(AK37:AK64)</f>
        <v>13307.800000000001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13579.12894961681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19010.780529463536</v>
      </c>
      <c r="J70" s="51">
        <f t="shared" ref="J70:J77" si="75">J124*I$83</f>
        <v>19010.780529463536</v>
      </c>
      <c r="K70" s="40">
        <f>B70/B$76</f>
        <v>0.55504307989441282</v>
      </c>
      <c r="L70" s="22">
        <f t="shared" ref="L70:L75" si="76">(L124*G$37*F$9/F$7)/B$130</f>
        <v>0.77706031185217805</v>
      </c>
      <c r="M70" s="24">
        <f>J70/B$76</f>
        <v>0.77706031185217805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4752.6951323658841</v>
      </c>
      <c r="AB70" s="116">
        <v>0.25</v>
      </c>
      <c r="AC70" s="147">
        <f>$J70*AB70</f>
        <v>4752.6951323658841</v>
      </c>
      <c r="AD70" s="116">
        <v>0.25</v>
      </c>
      <c r="AE70" s="147">
        <f>$J70*AD70</f>
        <v>4752.6951323658841</v>
      </c>
      <c r="AF70" s="122">
        <f>1-SUM(Z70,AB70,AD70)</f>
        <v>0.25</v>
      </c>
      <c r="AG70" s="147">
        <f>$J70*AF70</f>
        <v>4752.6951323658841</v>
      </c>
      <c r="AH70" s="155">
        <f>SUM(Z70,AB70,AD70,AF70)</f>
        <v>1</v>
      </c>
      <c r="AI70" s="147">
        <f>SUM(AA70,AC70,AE70,AG70)</f>
        <v>19010.780529463536</v>
      </c>
      <c r="AJ70" s="148">
        <f>(AA70+AC70)</f>
        <v>9505.3902647317682</v>
      </c>
      <c r="AK70" s="147">
        <f>(AE70+AG70)</f>
        <v>9505.3902647317682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13978.666666666668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7925.3144705364693</v>
      </c>
      <c r="J71" s="51">
        <f t="shared" si="75"/>
        <v>7925.3144705364693</v>
      </c>
      <c r="K71" s="40">
        <f t="shared" ref="K71:K72" si="78">B71/B$76</f>
        <v>0.57137407180325639</v>
      </c>
      <c r="L71" s="22">
        <f t="shared" si="76"/>
        <v>0.33179621788418023</v>
      </c>
      <c r="M71" s="24">
        <f t="shared" ref="M71:M72" si="79">J71/B$76</f>
        <v>0.32394500186129038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1.1340282035561005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3740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0.15287144900878807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397.18799999999999</v>
      </c>
      <c r="AB73" s="116">
        <v>0.09</v>
      </c>
      <c r="AC73" s="147">
        <f>$H$73*$B$73*AB73</f>
        <v>397.18799999999999</v>
      </c>
      <c r="AD73" s="116">
        <v>0.23</v>
      </c>
      <c r="AE73" s="147">
        <f>$H$73*$B$73*AD73</f>
        <v>1015.0360000000001</v>
      </c>
      <c r="AF73" s="122">
        <f>1-SUM(Z73,AB73,AD73)</f>
        <v>0.59</v>
      </c>
      <c r="AG73" s="147">
        <f>$H$73*$B$73*AF73</f>
        <v>2603.7879999999996</v>
      </c>
      <c r="AH73" s="155">
        <f>SUM(Z73,AB73,AD73,AF73)</f>
        <v>1</v>
      </c>
      <c r="AI73" s="147">
        <f>SUM(AA73,AC73,AE73,AG73)</f>
        <v>4413.2</v>
      </c>
      <c r="AJ73" s="148">
        <f>(AA73+AC73)</f>
        <v>794.37599999999998</v>
      </c>
      <c r="AK73" s="147">
        <f>(AE73+AG73)</f>
        <v>3618.8239999999996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4825</v>
      </c>
      <c r="C74" s="46"/>
      <c r="D74" s="38"/>
      <c r="E74" s="32"/>
      <c r="F74" s="32"/>
      <c r="G74" s="32"/>
      <c r="H74" s="31"/>
      <c r="I74" s="39">
        <f>I128*I$83</f>
        <v>7925.3144705364693</v>
      </c>
      <c r="J74" s="51">
        <f t="shared" si="75"/>
        <v>7291.5529172071556</v>
      </c>
      <c r="K74" s="40">
        <f>B74/B$76</f>
        <v>0.19722051910893112</v>
      </c>
      <c r="L74" s="22">
        <f t="shared" si="76"/>
        <v>0.14706372543654339</v>
      </c>
      <c r="M74" s="24">
        <f>J74/B$76</f>
        <v>0.29804017646462927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-394.83972138209975</v>
      </c>
      <c r="AB74" s="156"/>
      <c r="AC74" s="147">
        <f>AC30*$I$83/4</f>
        <v>-287.13041140981579</v>
      </c>
      <c r="AD74" s="156"/>
      <c r="AE74" s="147">
        <f>AE30*$I$83/4</f>
        <v>-499.64542299378223</v>
      </c>
      <c r="AF74" s="156"/>
      <c r="AG74" s="147">
        <f>AG30*$I$83/4</f>
        <v>8473.1684729928529</v>
      </c>
      <c r="AH74" s="155"/>
      <c r="AI74" s="147">
        <f>SUM(AA74,AC74,AE74,AG74)</f>
        <v>7291.5529172071547</v>
      </c>
      <c r="AJ74" s="148">
        <f>(AA74+AC74)</f>
        <v>-681.9701327919156</v>
      </c>
      <c r="AK74" s="147">
        <f>(AE74+AG74)</f>
        <v>7973.5230499990703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2148.5445890162164</v>
      </c>
      <c r="AB75" s="158"/>
      <c r="AC75" s="149">
        <f>AA75+AC65-SUM(AC70,AC74)</f>
        <v>4189.3798680601485</v>
      </c>
      <c r="AD75" s="158"/>
      <c r="AE75" s="149">
        <f>AC75+AE65-SUM(AE70,AE74)</f>
        <v>6442.7301586880467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18.266553329311137</v>
      </c>
      <c r="AJ75" s="151">
        <f>AJ76-SUM(AJ70,AJ74)</f>
        <v>4189.3798680601485</v>
      </c>
      <c r="AK75" s="149">
        <f>AJ75+AK76-SUM(AK70,AK74)</f>
        <v>18.266553329311137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24465</v>
      </c>
      <c r="C76" s="46"/>
      <c r="D76" s="38"/>
      <c r="E76" s="32"/>
      <c r="F76" s="32"/>
      <c r="G76" s="32"/>
      <c r="H76" s="31"/>
      <c r="I76" s="39">
        <f>I130*I$83</f>
        <v>26936.095000000005</v>
      </c>
      <c r="J76" s="51">
        <f t="shared" si="75"/>
        <v>26936.095000000005</v>
      </c>
      <c r="K76" s="40">
        <f>SUM(K70:K75)</f>
        <v>2.6105373233714886</v>
      </c>
      <c r="L76" s="22">
        <f>SUM(L70:L75)</f>
        <v>1.2559202551729016</v>
      </c>
      <c r="M76" s="24">
        <f>SUM(M70:M75)</f>
        <v>1.3990454901780975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6506.4000000000005</v>
      </c>
      <c r="AB76" s="137"/>
      <c r="AC76" s="153">
        <f>AC65</f>
        <v>6506.4000000000005</v>
      </c>
      <c r="AD76" s="137"/>
      <c r="AE76" s="153">
        <f>AE65</f>
        <v>6506.4000000000005</v>
      </c>
      <c r="AF76" s="137"/>
      <c r="AG76" s="153">
        <f>AG65</f>
        <v>6801.4000000000005</v>
      </c>
      <c r="AH76" s="137"/>
      <c r="AI76" s="153">
        <f>SUM(AA76,AC76,AE76,AG76)</f>
        <v>26320.600000000002</v>
      </c>
      <c r="AJ76" s="154">
        <f>SUM(AA76,AC76)</f>
        <v>13012.800000000001</v>
      </c>
      <c r="AK76" s="154">
        <f>SUM(AE76,AG76)</f>
        <v>13307.800000000001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16494.82666666666</v>
      </c>
      <c r="J77" s="100">
        <f t="shared" si="75"/>
        <v>15861.065113337354</v>
      </c>
      <c r="K77" s="40"/>
      <c r="L77" s="22">
        <f>-(L131*G$37*F$9/F$7)/B$130</f>
        <v>-0.67422140472784242</v>
      </c>
      <c r="M77" s="24">
        <f>-J77/B$76</f>
        <v>-0.64831657933118148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7.746677571788708E-13</v>
      </c>
      <c r="AH77" s="110"/>
      <c r="AI77" s="154">
        <f>SUM(AA77,AC77,AE77,AG77)</f>
        <v>7.746677571788708E-13</v>
      </c>
      <c r="AJ77" s="153">
        <f>SUM(AA77,AC77)</f>
        <v>0</v>
      </c>
      <c r="AK77" s="160">
        <f>SUM(AE77,AG77)</f>
        <v>7.746677571788708E-13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2148.5445890162164</v>
      </c>
      <c r="AD78" s="112"/>
      <c r="AE78" s="112">
        <f>AC75</f>
        <v>4189.3798680601485</v>
      </c>
      <c r="AF78" s="112"/>
      <c r="AG78" s="112">
        <f>AE75</f>
        <v>6442.7301586880467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1753.7048676341165</v>
      </c>
      <c r="AB79" s="112"/>
      <c r="AC79" s="112">
        <f>AA79-AA74+AC65-AC70</f>
        <v>3902.2494566503328</v>
      </c>
      <c r="AD79" s="112"/>
      <c r="AE79" s="112">
        <f>AC79-AC74+AE65-AE70</f>
        <v>5943.0847356942641</v>
      </c>
      <c r="AF79" s="112"/>
      <c r="AG79" s="112">
        <f>AE79-AE74+AG65-AG70</f>
        <v>8491.435026322164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0.64232512570888012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4.509345794392523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8457.6810244041226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13955.173690266802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3488.7934225667004</v>
      </c>
      <c r="AB83" s="112"/>
      <c r="AC83" s="165">
        <f>$I$83*AB82/4</f>
        <v>3488.7934225667004</v>
      </c>
      <c r="AD83" s="112"/>
      <c r="AE83" s="165">
        <f>$I$83*AD82/4</f>
        <v>3488.7934225667004</v>
      </c>
      <c r="AF83" s="112"/>
      <c r="AG83" s="165">
        <f>$I$83*AF82/4</f>
        <v>3488.7934225667004</v>
      </c>
      <c r="AH83" s="165">
        <f>SUM(AA83,AC83,AE83,AG83)</f>
        <v>13955.173690266802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20136.903793668345</v>
      </c>
      <c r="C84" s="46"/>
      <c r="D84" s="235"/>
      <c r="E84" s="64"/>
      <c r="F84" s="64"/>
      <c r="G84" s="64"/>
      <c r="H84" s="236">
        <f>IF(B84=0,0,I84/B84)</f>
        <v>1.4814148852182714</v>
      </c>
      <c r="I84" s="234">
        <f>(B70*H70)+((1-(D29*H29))*I83)</f>
        <v>29831.109022148565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</v>
      </c>
      <c r="C91" s="60">
        <f t="shared" si="81"/>
        <v>0</v>
      </c>
      <c r="D91" s="24">
        <f>SUM(B91,C91)</f>
        <v>0</v>
      </c>
      <c r="H91" s="24">
        <f>(E37*F37/G37*F$7/F$9)</f>
        <v>0.3575757575757576</v>
      </c>
      <c r="I91" s="22">
        <f t="shared" ref="I91" si="82">(D91*H91)</f>
        <v>0</v>
      </c>
      <c r="J91" s="24">
        <f>IF(I$32&lt;=1+I$131,I91,L91+J$33*(I91-L91))</f>
        <v>0</v>
      </c>
      <c r="K91" s="22">
        <f t="shared" ref="K91" si="83">IF(B91="",0,B91)</f>
        <v>0</v>
      </c>
      <c r="L91" s="22">
        <f t="shared" ref="L91" si="84">(K91*H91)</f>
        <v>0</v>
      </c>
      <c r="M91" s="227">
        <f t="shared" si="80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5.9117859677762792E-2</v>
      </c>
      <c r="C92" s="60">
        <f t="shared" si="81"/>
        <v>0</v>
      </c>
      <c r="D92" s="24">
        <f t="shared" ref="D92:D118" si="86">SUM(B92,C92)</f>
        <v>5.9117859677762792E-2</v>
      </c>
      <c r="H92" s="24">
        <f t="shared" ref="H92:H118" si="87">(E38*F38/G38*F$7/F$9)</f>
        <v>0.3575757575757576</v>
      </c>
      <c r="I92" s="22">
        <f t="shared" ref="I92:I118" si="88">(D92*H92)</f>
        <v>2.1139113460533362E-2</v>
      </c>
      <c r="J92" s="24">
        <f t="shared" ref="J92:J118" si="89">IF(I$32&lt;=1+I$131,I92,L92+J$33*(I92-L92))</f>
        <v>2.1139113460533362E-2</v>
      </c>
      <c r="K92" s="22">
        <f t="shared" ref="K92:K118" si="90">IF(B92="",0,B92)</f>
        <v>5.9117859677762792E-2</v>
      </c>
      <c r="L92" s="22">
        <f t="shared" ref="L92:L118" si="91">(K92*H92)</f>
        <v>2.1139113460533362E-2</v>
      </c>
      <c r="M92" s="227">
        <f t="shared" ref="M92:M118" si="92">(J92)</f>
        <v>2.1139113460533362E-2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Chicken sales: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0.7151515151515152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7">
        <f t="shared" si="9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0.25454545454545457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7">
        <f t="shared" si="92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Beans: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0.16969696969696968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7">
        <f t="shared" si="92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Water melon: no. local meas (Bhece)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0.16969696969696968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7">
        <f t="shared" si="9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Sweet poatato: no. local meas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0.16969696969696968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7">
        <f t="shared" si="9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Groundnuts (dry): no. local meas</v>
      </c>
      <c r="B98" s="60">
        <f t="shared" si="81"/>
        <v>7.6853217581091635E-2</v>
      </c>
      <c r="C98" s="60">
        <f t="shared" si="81"/>
        <v>-7.6853217581091635E-2</v>
      </c>
      <c r="D98" s="24">
        <f t="shared" si="86"/>
        <v>0</v>
      </c>
      <c r="H98" s="24">
        <f t="shared" si="87"/>
        <v>0.16969696969696968</v>
      </c>
      <c r="I98" s="22">
        <f t="shared" si="88"/>
        <v>0</v>
      </c>
      <c r="J98" s="24">
        <f t="shared" si="89"/>
        <v>0</v>
      </c>
      <c r="K98" s="22">
        <f t="shared" si="90"/>
        <v>7.6853217581091635E-2</v>
      </c>
      <c r="L98" s="22">
        <f t="shared" si="91"/>
        <v>1.3041758134973125E-2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Irish potato: type</v>
      </c>
      <c r="B99" s="60">
        <f t="shared" si="81"/>
        <v>4.2564858967989215E-3</v>
      </c>
      <c r="C99" s="60">
        <f t="shared" si="81"/>
        <v>-4.2564858967989215E-3</v>
      </c>
      <c r="D99" s="24">
        <f t="shared" si="86"/>
        <v>0</v>
      </c>
      <c r="H99" s="24">
        <f t="shared" si="87"/>
        <v>0.16969696969696968</v>
      </c>
      <c r="I99" s="22">
        <f t="shared" si="88"/>
        <v>0</v>
      </c>
      <c r="J99" s="24">
        <f t="shared" si="89"/>
        <v>0</v>
      </c>
      <c r="K99" s="22">
        <f t="shared" si="90"/>
        <v>4.2564858967989215E-3</v>
      </c>
      <c r="L99" s="22">
        <f t="shared" si="91"/>
        <v>7.2231275824466543E-4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Yam: type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0.16969696969696968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Spinach (cash): kg produced</v>
      </c>
      <c r="B101" s="60">
        <f t="shared" si="81"/>
        <v>1.7735357903328839E-2</v>
      </c>
      <c r="C101" s="60">
        <f t="shared" si="81"/>
        <v>0</v>
      </c>
      <c r="D101" s="24">
        <f t="shared" si="86"/>
        <v>1.7735357903328839E-2</v>
      </c>
      <c r="H101" s="24">
        <f t="shared" si="87"/>
        <v>0.16969696969696968</v>
      </c>
      <c r="I101" s="22">
        <f t="shared" si="88"/>
        <v>3.0096364926861059E-3</v>
      </c>
      <c r="J101" s="24">
        <f t="shared" si="89"/>
        <v>3.0096364926861059E-3</v>
      </c>
      <c r="K101" s="22">
        <f t="shared" si="90"/>
        <v>1.7735357903328839E-2</v>
      </c>
      <c r="L101" s="22">
        <f t="shared" si="91"/>
        <v>3.0096364926861059E-3</v>
      </c>
      <c r="M101" s="227">
        <f t="shared" si="92"/>
        <v>3.0096364926861059E-3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Tomatoes (cash): kg produced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0.16969696969696968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Cabbage (cash): kg produced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0.16969696969696968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Agricultural cash income -- see Data2</v>
      </c>
      <c r="B104" s="60">
        <f t="shared" si="81"/>
        <v>0.13112341276527786</v>
      </c>
      <c r="C104" s="60">
        <f t="shared" si="81"/>
        <v>0</v>
      </c>
      <c r="D104" s="24">
        <f t="shared" si="86"/>
        <v>0.13112341276527786</v>
      </c>
      <c r="H104" s="24">
        <f t="shared" si="87"/>
        <v>0.33636363636363642</v>
      </c>
      <c r="I104" s="22">
        <f t="shared" si="88"/>
        <v>4.4105147930138928E-2</v>
      </c>
      <c r="J104" s="24">
        <f t="shared" si="89"/>
        <v>4.4105147930138928E-2</v>
      </c>
      <c r="K104" s="22">
        <f t="shared" si="90"/>
        <v>0.13112341276527786</v>
      </c>
      <c r="L104" s="22">
        <f t="shared" si="91"/>
        <v>4.4105147930138928E-2</v>
      </c>
      <c r="M104" s="227">
        <f t="shared" si="92"/>
        <v>4.4105147930138928E-2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Labour migration(formal employment): no. people per HH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0.28606060606060607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Formal Employment (conservancies, etc.)</v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0.42909090909090908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Self-employment -- see Data2</v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0.48484848484848486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Small business -- see Data2</v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0.57212121212121214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Social development -- see Data2</v>
      </c>
      <c r="B109" s="60">
        <f t="shared" si="81"/>
        <v>2.6035505402086736</v>
      </c>
      <c r="C109" s="60">
        <f t="shared" si="81"/>
        <v>0</v>
      </c>
      <c r="D109" s="24">
        <f t="shared" si="86"/>
        <v>2.6035505402086736</v>
      </c>
      <c r="H109" s="24">
        <f t="shared" si="87"/>
        <v>0.7151515151515152</v>
      </c>
      <c r="I109" s="22">
        <f t="shared" si="88"/>
        <v>1.8619331136037789</v>
      </c>
      <c r="J109" s="24">
        <f t="shared" si="89"/>
        <v>1.8619331136037789</v>
      </c>
      <c r="K109" s="22">
        <f t="shared" si="90"/>
        <v>2.6035505402086736</v>
      </c>
      <c r="L109" s="22">
        <f t="shared" si="91"/>
        <v>1.8619331136037789</v>
      </c>
      <c r="M109" s="227">
        <f t="shared" si="92"/>
        <v>1.8619331136037789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Public works -- see Data2</v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0.7151515151515152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7">
        <f t="shared" si="92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Other income: e.g. Credit (cotton loans)</v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7">
        <f t="shared" si="92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2.8926368740329336</v>
      </c>
      <c r="C119" s="29">
        <f>SUM(C91:C118)</f>
        <v>-8.1109703477890552E-2</v>
      </c>
      <c r="D119" s="24">
        <f>SUM(D91:D118)</f>
        <v>2.8115271705550429</v>
      </c>
      <c r="E119" s="22"/>
      <c r="F119" s="2"/>
      <c r="G119" s="2"/>
      <c r="H119" s="31"/>
      <c r="I119" s="22">
        <f>SUM(I91:I118)</f>
        <v>1.9301870114871373</v>
      </c>
      <c r="J119" s="24">
        <f>SUM(J91:J118)</f>
        <v>1.9301870114871373</v>
      </c>
      <c r="K119" s="22">
        <f>SUM(K91:K118)</f>
        <v>2.8926368740329336</v>
      </c>
      <c r="L119" s="22">
        <f>SUM(L91:L118)</f>
        <v>1.9439510823803552</v>
      </c>
      <c r="M119" s="57">
        <f t="shared" si="80"/>
        <v>1.9301870114871373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1.6055380795793861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1.3622747341885701</v>
      </c>
      <c r="J124" s="237">
        <f>IF(SUMPRODUCT($B$124:$B124,$H$124:$H124)&lt;J$119,($B124*$H124),J$119)</f>
        <v>1.3622747341885701</v>
      </c>
      <c r="K124" s="29">
        <f>(B124)</f>
        <v>1.6055380795793861</v>
      </c>
      <c r="L124" s="29">
        <f>IF(SUMPRODUCT($B$124:$B124,$H$124:$H124)&lt;L$119,($B124*$H124),L$119)</f>
        <v>1.3622747341885701</v>
      </c>
      <c r="M124" s="240">
        <f t="shared" si="93"/>
        <v>1.3622747341885701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1.6527777089644404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0.56791227729856719</v>
      </c>
      <c r="J125" s="237">
        <f>IF(SUMPRODUCT($B$124:$B125,$H$124:$H125)&lt;J$119,($B125*$H125),IF(SUMPRODUCT($B$124:$B124,$H$124:$H124)&lt;J$119,J$119-SUMPRODUCT($B$124:$B124,$H$124:$H124),0))</f>
        <v>0.56791227729856719</v>
      </c>
      <c r="K125" s="29">
        <f>(B125)</f>
        <v>1.6527777089644404</v>
      </c>
      <c r="L125" s="29">
        <f>IF(SUMPRODUCT($B$124:$B125,$H$124:$H125)&lt;L$119,($B125*$H125),IF(SUMPRODUCT($B$124:$B124,$H$124:$H124)&lt;L$119,L$119-SUMPRODUCT($B$124:$B124,$H$124:$H124),0))</f>
        <v>0.58167634819178504</v>
      </c>
      <c r="M125" s="240">
        <f t="shared" si="93"/>
        <v>0.56791227729856719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3.2803317977997017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0.44220159038966572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0.44220159038966572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0.57048734589041095</v>
      </c>
      <c r="C128" s="56"/>
      <c r="D128" s="31"/>
      <c r="E128" s="2"/>
      <c r="F128" s="2"/>
      <c r="G128" s="2"/>
      <c r="H128" s="24"/>
      <c r="I128" s="29">
        <f>(I30)</f>
        <v>0.56791227729856719</v>
      </c>
      <c r="J128" s="228">
        <f>(J30)</f>
        <v>0.52249818447567831</v>
      </c>
      <c r="K128" s="29">
        <f>(B128)</f>
        <v>0.57048734589041095</v>
      </c>
      <c r="L128" s="29">
        <f>IF(L124=L119,0,(L119-L124)/(B119-B124)*K128)</f>
        <v>0.2578193666850912</v>
      </c>
      <c r="M128" s="240">
        <f t="shared" si="93"/>
        <v>0.52249818447567831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2.8926368740329336</v>
      </c>
      <c r="C130" s="56"/>
      <c r="D130" s="31"/>
      <c r="E130" s="2"/>
      <c r="F130" s="2"/>
      <c r="G130" s="2"/>
      <c r="H130" s="24"/>
      <c r="I130" s="29">
        <f>(I119)</f>
        <v>1.9301870114871373</v>
      </c>
      <c r="J130" s="228">
        <f>(J119)</f>
        <v>1.9301870114871373</v>
      </c>
      <c r="K130" s="29">
        <f>(B130)</f>
        <v>2.8926368740329336</v>
      </c>
      <c r="L130" s="29">
        <f>(L119)</f>
        <v>1.9439510823803552</v>
      </c>
      <c r="M130" s="240">
        <f t="shared" si="93"/>
        <v>1.9301870114871373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1.1819864827745692</v>
      </c>
      <c r="J131" s="237">
        <f>IF(SUMPRODUCT($B124:$B125,$H124:$H125)&gt;(J119-J128),SUMPRODUCT($B124:$B125,$H124:$H125)+J128-J119,0)</f>
        <v>1.1365723899516806</v>
      </c>
      <c r="K131" s="29"/>
      <c r="L131" s="29">
        <f>IF(I131&lt;SUM(L126:L127),0,I131-(SUM(L126:L127)))</f>
        <v>1.1819864827745692</v>
      </c>
      <c r="M131" s="237">
        <f>IF(I131&lt;SUM(M126:M127),0,I131-(SUM(M126:M127)))</f>
        <v>1.1819864827745692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6:N29 U7:U22">
    <cfRule type="cellIs" dxfId="248" priority="68" operator="equal">
      <formula>16</formula>
    </cfRule>
    <cfRule type="cellIs" dxfId="247" priority="69" operator="equal">
      <formula>15</formula>
    </cfRule>
    <cfRule type="cellIs" dxfId="246" priority="70" operator="equal">
      <formula>14</formula>
    </cfRule>
    <cfRule type="cellIs" dxfId="245" priority="71" operator="equal">
      <formula>13</formula>
    </cfRule>
    <cfRule type="cellIs" dxfId="244" priority="72" operator="equal">
      <formula>12</formula>
    </cfRule>
    <cfRule type="cellIs" dxfId="243" priority="73" operator="equal">
      <formula>11</formula>
    </cfRule>
    <cfRule type="cellIs" dxfId="242" priority="74" operator="equal">
      <formula>10</formula>
    </cfRule>
    <cfRule type="cellIs" dxfId="241" priority="75" operator="equal">
      <formula>9</formula>
    </cfRule>
    <cfRule type="cellIs" dxfId="240" priority="76" operator="equal">
      <formula>8</formula>
    </cfRule>
    <cfRule type="cellIs" dxfId="239" priority="77" operator="equal">
      <formula>7</formula>
    </cfRule>
    <cfRule type="cellIs" dxfId="238" priority="78" operator="equal">
      <formula>6</formula>
    </cfRule>
    <cfRule type="cellIs" dxfId="237" priority="79" operator="equal">
      <formula>5</formula>
    </cfRule>
    <cfRule type="cellIs" dxfId="236" priority="80" operator="equal">
      <formula>4</formula>
    </cfRule>
    <cfRule type="cellIs" dxfId="235" priority="81" operator="equal">
      <formula>3</formula>
    </cfRule>
    <cfRule type="cellIs" dxfId="234" priority="82" operator="equal">
      <formula>2</formula>
    </cfRule>
    <cfRule type="cellIs" dxfId="233" priority="83" operator="equal">
      <formula>1</formula>
    </cfRule>
  </conditionalFormatting>
  <conditionalFormatting sqref="N91:N104">
    <cfRule type="cellIs" dxfId="232" priority="20" operator="equal">
      <formula>16</formula>
    </cfRule>
    <cfRule type="cellIs" dxfId="231" priority="21" operator="equal">
      <formula>15</formula>
    </cfRule>
    <cfRule type="cellIs" dxfId="230" priority="22" operator="equal">
      <formula>14</formula>
    </cfRule>
    <cfRule type="cellIs" dxfId="229" priority="23" operator="equal">
      <formula>13</formula>
    </cfRule>
    <cfRule type="cellIs" dxfId="228" priority="24" operator="equal">
      <formula>12</formula>
    </cfRule>
    <cfRule type="cellIs" dxfId="227" priority="25" operator="equal">
      <formula>11</formula>
    </cfRule>
    <cfRule type="cellIs" dxfId="226" priority="26" operator="equal">
      <formula>10</formula>
    </cfRule>
    <cfRule type="cellIs" dxfId="225" priority="27" operator="equal">
      <formula>9</formula>
    </cfRule>
    <cfRule type="cellIs" dxfId="224" priority="28" operator="equal">
      <formula>8</formula>
    </cfRule>
    <cfRule type="cellIs" dxfId="223" priority="29" operator="equal">
      <formula>7</formula>
    </cfRule>
    <cfRule type="cellIs" dxfId="222" priority="30" operator="equal">
      <formula>6</formula>
    </cfRule>
    <cfRule type="cellIs" dxfId="221" priority="31" operator="equal">
      <formula>5</formula>
    </cfRule>
    <cfRule type="cellIs" dxfId="220" priority="32" operator="equal">
      <formula>4</formula>
    </cfRule>
    <cfRule type="cellIs" dxfId="219" priority="33" operator="equal">
      <formula>3</formula>
    </cfRule>
    <cfRule type="cellIs" dxfId="218" priority="34" operator="equal">
      <formula>2</formula>
    </cfRule>
    <cfRule type="cellIs" dxfId="217" priority="35" operator="equal">
      <formula>1</formula>
    </cfRule>
  </conditionalFormatting>
  <conditionalFormatting sqref="N105:N118">
    <cfRule type="cellIs" dxfId="216" priority="4" operator="equal">
      <formula>16</formula>
    </cfRule>
    <cfRule type="cellIs" dxfId="215" priority="5" operator="equal">
      <formula>15</formula>
    </cfRule>
    <cfRule type="cellIs" dxfId="214" priority="6" operator="equal">
      <formula>14</formula>
    </cfRule>
    <cfRule type="cellIs" dxfId="213" priority="7" operator="equal">
      <formula>13</formula>
    </cfRule>
    <cfRule type="cellIs" dxfId="212" priority="8" operator="equal">
      <formula>12</formula>
    </cfRule>
    <cfRule type="cellIs" dxfId="211" priority="9" operator="equal">
      <formula>11</formula>
    </cfRule>
    <cfRule type="cellIs" dxfId="210" priority="10" operator="equal">
      <formula>10</formula>
    </cfRule>
    <cfRule type="cellIs" dxfId="209" priority="11" operator="equal">
      <formula>9</formula>
    </cfRule>
    <cfRule type="cellIs" dxfId="208" priority="12" operator="equal">
      <formula>8</formula>
    </cfRule>
    <cfRule type="cellIs" dxfId="207" priority="13" operator="equal">
      <formula>7</formula>
    </cfRule>
    <cfRule type="cellIs" dxfId="206" priority="14" operator="equal">
      <formula>6</formula>
    </cfRule>
    <cfRule type="cellIs" dxfId="205" priority="15" operator="equal">
      <formula>5</formula>
    </cfRule>
    <cfRule type="cellIs" dxfId="204" priority="16" operator="equal">
      <formula>4</formula>
    </cfRule>
    <cfRule type="cellIs" dxfId="203" priority="17" operator="equal">
      <formula>3</formula>
    </cfRule>
    <cfRule type="cellIs" dxfId="202" priority="18" operator="equal">
      <formula>2</formula>
    </cfRule>
    <cfRule type="cellIs" dxfId="201" priority="19" operator="equal">
      <formula>1</formula>
    </cfRule>
  </conditionalFormatting>
  <conditionalFormatting sqref="R31:T31">
    <cfRule type="cellIs" dxfId="200" priority="3" operator="greaterThan">
      <formula>0</formula>
    </cfRule>
  </conditionalFormatting>
  <conditionalFormatting sqref="R32:T32">
    <cfRule type="cellIs" dxfId="199" priority="2" operator="greaterThan">
      <formula>0</formula>
    </cfRule>
  </conditionalFormatting>
  <conditionalFormatting sqref="R30:T30">
    <cfRule type="cellIs" dxfId="19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ZACNI: 59106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1.3037048567870486E-2</v>
      </c>
      <c r="C6" s="102">
        <f>IF([1]Summ!$I1044="",0,[1]Summ!$I1044)</f>
        <v>0</v>
      </c>
      <c r="D6" s="24">
        <f t="shared" ref="D6:D29" si="0">(B6+C6)</f>
        <v>1.3037048567870486E-2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2.6074097135740971E-3</v>
      </c>
      <c r="J6" s="24">
        <f t="shared" ref="J6:J13" si="3">IF(I$32&lt;=1+I$131,I6,B6*H6+J$33*(I6-B6*H6))</f>
        <v>2.6074097135740971E-3</v>
      </c>
      <c r="K6" s="22">
        <f t="shared" ref="K6:K31" si="4">B6</f>
        <v>1.3037048567870486E-2</v>
      </c>
      <c r="L6" s="22">
        <f t="shared" ref="L6:L29" si="5">IF(K6="","",K6*H6)</f>
        <v>2.6074097135740971E-3</v>
      </c>
      <c r="M6" s="224">
        <f t="shared" ref="M6:M31" si="6">J6</f>
        <v>2.6074097135740971E-3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1.0429638854296389E-2</v>
      </c>
      <c r="Z6" s="156">
        <f>Poor!Z6</f>
        <v>0.17</v>
      </c>
      <c r="AA6" s="121">
        <f>$M6*Z6*4</f>
        <v>1.7730386052303862E-3</v>
      </c>
      <c r="AB6" s="156">
        <f>Poor!AB6</f>
        <v>0.17</v>
      </c>
      <c r="AC6" s="121">
        <f t="shared" ref="AC6:AC29" si="7">$M6*AB6*4</f>
        <v>1.7730386052303862E-3</v>
      </c>
      <c r="AD6" s="156">
        <f>Poor!AD6</f>
        <v>0.33</v>
      </c>
      <c r="AE6" s="121">
        <f t="shared" ref="AE6:AE29" si="8">$M6*AD6*4</f>
        <v>3.4417808219178083E-3</v>
      </c>
      <c r="AF6" s="122">
        <f>1-SUM(Z6,AB6,AD6)</f>
        <v>0.32999999999999996</v>
      </c>
      <c r="AG6" s="121">
        <f>$M6*AF6*4</f>
        <v>3.4417808219178079E-3</v>
      </c>
      <c r="AH6" s="123">
        <f>SUM(Z6,AB6,AD6,AF6)</f>
        <v>1</v>
      </c>
      <c r="AI6" s="183">
        <f>SUM(AA6,AC6,AE6,AG6)/4</f>
        <v>2.6074097135740971E-3</v>
      </c>
      <c r="AJ6" s="120">
        <f>(AA6+AC6)/2</f>
        <v>1.7730386052303862E-3</v>
      </c>
      <c r="AK6" s="119">
        <f>(AE6+AG6)/2</f>
        <v>3.4417808219178083E-3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0</v>
      </c>
      <c r="C7" s="102">
        <f>IF([1]Summ!$I1045="",0,[1]Summ!$I1045)</f>
        <v>0</v>
      </c>
      <c r="D7" s="24">
        <f t="shared" si="0"/>
        <v>0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6097.8637282341842</v>
      </c>
      <c r="S7" s="222">
        <f>IF($B$81=0,0,(SUMIF($N$6:$N$28,$U7,L$6:L$28)+SUMIF($N$91:$N$118,$U7,L$91:L$118))*$I$83*Poor!$B$81/$B$81)</f>
        <v>1544.0726835583616</v>
      </c>
      <c r="T7" s="222">
        <f>IF($B$81=0,0,(SUMIF($N$6:$N$28,$U7,M$6:M$28)+SUMIF($N$91:$N$118,$U7,M$91:M$118))*$I$83*Poor!$B$81/$B$81)</f>
        <v>1967.1972368731397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4.6436721668742222E-2</v>
      </c>
      <c r="C8" s="102">
        <f>IF([1]Summ!$I1046="",0,[1]Summ!$I1046)</f>
        <v>0</v>
      </c>
      <c r="D8" s="24">
        <f t="shared" si="0"/>
        <v>4.6436721668742222E-2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9.287344333748445E-3</v>
      </c>
      <c r="J8" s="24">
        <f t="shared" si="3"/>
        <v>9.287344333748445E-3</v>
      </c>
      <c r="K8" s="22">
        <f t="shared" si="4"/>
        <v>4.6436721668742222E-2</v>
      </c>
      <c r="L8" s="22">
        <f t="shared" si="5"/>
        <v>9.287344333748445E-3</v>
      </c>
      <c r="M8" s="224">
        <f t="shared" si="6"/>
        <v>9.287344333748445E-3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5364.203299375361</v>
      </c>
      <c r="S8" s="222">
        <f>IF($B$81=0,0,(SUMIF($N$6:$N$28,$U8,L$6:L$28)+SUMIF($N$91:$N$118,$U8,L$91:L$118))*$I$83*Poor!$B$81/$B$81)</f>
        <v>1083.8799999999999</v>
      </c>
      <c r="T8" s="222">
        <f>IF($B$81=0,0,(SUMIF($N$6:$N$28,$U8,M$6:M$28)+SUMIF($N$91:$N$118,$U8,M$91:M$118))*$I$83*Poor!$B$81/$B$81)</f>
        <v>997.49999999999989</v>
      </c>
      <c r="U8" s="223">
        <v>2</v>
      </c>
      <c r="V8" s="56"/>
      <c r="W8" s="115"/>
      <c r="X8" s="118">
        <f>Poor!X8</f>
        <v>1</v>
      </c>
      <c r="Y8" s="183">
        <f t="shared" si="9"/>
        <v>3.714937733499378E-2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3.714937733499378E-2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9.287344333748445E-3</v>
      </c>
      <c r="AJ8" s="120">
        <f t="shared" si="14"/>
        <v>1.857468866749689E-2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101">
        <f>IF([1]Summ!$H1047="",0,[1]Summ!$H1047)</f>
        <v>4.2500000000000003E-2</v>
      </c>
      <c r="C9" s="102">
        <f>IF([1]Summ!$I1047="",0,[1]Summ!$I1047)</f>
        <v>0</v>
      </c>
      <c r="D9" s="24">
        <f t="shared" si="0"/>
        <v>4.2500000000000003E-2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8.5000000000000006E-3</v>
      </c>
      <c r="J9" s="24">
        <f t="shared" si="3"/>
        <v>8.5000000000000006E-3</v>
      </c>
      <c r="K9" s="22">
        <f t="shared" si="4"/>
        <v>4.2500000000000003E-2</v>
      </c>
      <c r="L9" s="22">
        <f t="shared" si="5"/>
        <v>8.5000000000000006E-3</v>
      </c>
      <c r="M9" s="224">
        <f t="shared" si="6"/>
        <v>8.5000000000000006E-3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745.16676507581951</v>
      </c>
      <c r="S9" s="222">
        <f>IF($B$81=0,0,(SUMIF($N$6:$N$28,$U9,L$6:L$28)+SUMIF($N$91:$N$118,$U9,L$91:L$118))*$I$83*Poor!$B$81/$B$81)</f>
        <v>165.9933587333901</v>
      </c>
      <c r="T9" s="222">
        <f>IF($B$81=0,0,(SUMIF($N$6:$N$28,$U9,M$6:M$28)+SUMIF($N$91:$N$118,$U9,M$91:M$118))*$I$83*Poor!$B$81/$B$81)</f>
        <v>165.9933587333901</v>
      </c>
      <c r="U9" s="223">
        <v>3</v>
      </c>
      <c r="V9" s="56"/>
      <c r="W9" s="115"/>
      <c r="X9" s="118">
        <f>Poor!X9</f>
        <v>1</v>
      </c>
      <c r="Y9" s="183">
        <f t="shared" si="9"/>
        <v>3.4000000000000002E-2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3.4000000000000002E-2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8.5000000000000006E-3</v>
      </c>
      <c r="AJ9" s="120">
        <f t="shared" si="14"/>
        <v>1.7000000000000001E-2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f>IF([1]Summ!$H1048="",0,[1]Summ!$H1048)</f>
        <v>0.13307786815068492</v>
      </c>
      <c r="C10" s="102">
        <f>IF([1]Summ!$I1048="",0,[1]Summ!$I1048)</f>
        <v>7.3932148972602724E-2</v>
      </c>
      <c r="D10" s="24">
        <f t="shared" si="0"/>
        <v>0.20701001712328765</v>
      </c>
      <c r="E10" s="75">
        <f>Poor!E10</f>
        <v>0.3</v>
      </c>
      <c r="H10" s="24">
        <f t="shared" si="1"/>
        <v>0.3</v>
      </c>
      <c r="I10" s="22">
        <f t="shared" si="2"/>
        <v>6.2103005136986293E-2</v>
      </c>
      <c r="J10" s="24">
        <f t="shared" si="3"/>
        <v>6.2103005136986293E-2</v>
      </c>
      <c r="K10" s="22">
        <f t="shared" si="4"/>
        <v>0.13307786815068492</v>
      </c>
      <c r="L10" s="22">
        <f t="shared" si="5"/>
        <v>3.9923360445205475E-2</v>
      </c>
      <c r="M10" s="224">
        <f t="shared" si="6"/>
        <v>6.2103005136986293E-2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0.24841202054794517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0.24841202054794517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6.2103005136986293E-2</v>
      </c>
      <c r="AJ10" s="120">
        <f t="shared" si="14"/>
        <v>0.12420601027397259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Sorghum: kg produced</v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0.3</v>
      </c>
      <c r="H11" s="24">
        <f t="shared" si="1"/>
        <v>0.3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5184.9520982639497</v>
      </c>
      <c r="S11" s="222">
        <f>IF($B$81=0,0,(SUMIF($N$6:$N$28,$U11,L$6:L$28)+SUMIF($N$91:$N$118,$U11,L$91:L$118))*$I$83*Poor!$B$81/$B$81)</f>
        <v>2064.9999999999995</v>
      </c>
      <c r="T11" s="222">
        <f>IF($B$81=0,0,(SUMIF($N$6:$N$28,$U11,M$6:M$28)+SUMIF($N$91:$N$118,$U11,M$91:M$118))*$I$83*Poor!$B$81/$B$81)</f>
        <v>2655</v>
      </c>
      <c r="U11" s="223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101">
        <f>IF([1]Summ!$H1050="",0,[1]Summ!$H1050)</f>
        <v>0.10770875389165629</v>
      </c>
      <c r="C12" s="102">
        <f>IF([1]Summ!$I1050="",0,[1]Summ!$I1050)</f>
        <v>-4.0045562344333749E-2</v>
      </c>
      <c r="D12" s="24">
        <f t="shared" si="0"/>
        <v>6.7663191547322546E-2</v>
      </c>
      <c r="E12" s="75">
        <f>Poor!E12</f>
        <v>0.2</v>
      </c>
      <c r="H12" s="24">
        <f t="shared" si="1"/>
        <v>0.2</v>
      </c>
      <c r="I12" s="22">
        <f t="shared" si="2"/>
        <v>1.3532638309464509E-2</v>
      </c>
      <c r="J12" s="24">
        <f t="shared" si="3"/>
        <v>1.3532638309464509E-2</v>
      </c>
      <c r="K12" s="22">
        <f t="shared" si="4"/>
        <v>0.10770875389165629</v>
      </c>
      <c r="L12" s="22">
        <f t="shared" si="5"/>
        <v>2.1541750778331259E-2</v>
      </c>
      <c r="M12" s="224">
        <f t="shared" si="6"/>
        <v>1.3532638309464509E-2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5.4130553237858037E-2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3.6267470669364886E-2</v>
      </c>
      <c r="AF12" s="122">
        <f>1-SUM(Z12,AB12,AD12)</f>
        <v>0.32999999999999996</v>
      </c>
      <c r="AG12" s="121">
        <f>$M12*AF12*4</f>
        <v>1.7863082568493151E-2</v>
      </c>
      <c r="AH12" s="123">
        <f t="shared" si="12"/>
        <v>1</v>
      </c>
      <c r="AI12" s="183">
        <f t="shared" si="13"/>
        <v>1.3532638309464509E-2</v>
      </c>
      <c r="AJ12" s="120">
        <f t="shared" si="14"/>
        <v>0</v>
      </c>
      <c r="AK12" s="119">
        <f t="shared" si="15"/>
        <v>2.7065276618929018E-2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Cassava: no. local meas.</v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1114.0239936841401</v>
      </c>
      <c r="S13" s="222">
        <f>IF($B$81=0,0,(SUMIF($N$6:$N$28,$U13,L$6:L$28)+SUMIF($N$91:$N$118,$U13,L$91:L$118))*$I$83*Poor!$B$81/$B$81)</f>
        <v>417.36000000000007</v>
      </c>
      <c r="T13" s="222">
        <f>IF($B$81=0,0,(SUMIF($N$6:$N$28,$U13,M$6:M$28)+SUMIF($N$91:$N$118,$U13,M$91:M$118))*$I$83*Poor!$B$81/$B$81)</f>
        <v>417.36000000000007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Water melon: no. local meas (Bhece)</v>
      </c>
      <c r="B14" s="101">
        <f>IF([1]Summ!$H1052="",0,[1]Summ!$H1052)</f>
        <v>2.2485149439601493E-3</v>
      </c>
      <c r="C14" s="102">
        <f>IF([1]Summ!$I1052="",0,[1]Summ!$I1052)</f>
        <v>1.1242574719800748E-3</v>
      </c>
      <c r="D14" s="24">
        <f t="shared" si="0"/>
        <v>3.3727724159402241E-3</v>
      </c>
      <c r="E14" s="75">
        <f>Poor!E14</f>
        <v>0.2</v>
      </c>
      <c r="F14" s="22"/>
      <c r="H14" s="24">
        <f t="shared" si="1"/>
        <v>0.2</v>
      </c>
      <c r="I14" s="22">
        <f t="shared" si="2"/>
        <v>6.7455448318804487E-4</v>
      </c>
      <c r="J14" s="24">
        <f>IF(I$32&lt;=1+I131,I14,B14*H14+J$33*(I14-B14*H14))</f>
        <v>6.7455448318804487E-4</v>
      </c>
      <c r="K14" s="22">
        <f t="shared" si="4"/>
        <v>2.2485149439601493E-3</v>
      </c>
      <c r="L14" s="22">
        <f t="shared" si="5"/>
        <v>4.4970298879202987E-4</v>
      </c>
      <c r="M14" s="225">
        <f t="shared" si="6"/>
        <v>6.7455448318804487E-4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2.6982179327521795E-3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2.6982179327521795E-3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6.7455448318804487E-4</v>
      </c>
      <c r="AJ14" s="120">
        <f t="shared" si="14"/>
        <v>1.3491089663760897E-3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Pumpkin: no. local meas</v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0.2</v>
      </c>
      <c r="F15" s="22"/>
      <c r="H15" s="24">
        <f t="shared" si="1"/>
        <v>0.2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549.60492241597865</v>
      </c>
      <c r="S15" s="222">
        <f>IF($B$81=0,0,(SUMIF($N$6:$N$28,$U15,L$6:L$28)+SUMIF($N$91:$N$118,$U15,L$91:L$118))*$I$83*Poor!$B$81/$B$81)</f>
        <v>437.78</v>
      </c>
      <c r="T15" s="222">
        <f>IF($B$81=0,0,(SUMIF($N$6:$N$28,$U15,M$6:M$28)+SUMIF($N$91:$N$118,$U15,M$91:M$118))*$I$83*Poor!$B$81/$B$81)</f>
        <v>437.78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Sweet poatato: no. local meas</v>
      </c>
      <c r="B16" s="101">
        <f>IF([1]Summ!$H1054="",0,[1]Summ!$H1054)</f>
        <v>6.125856164383562E-2</v>
      </c>
      <c r="C16" s="102">
        <f>IF([1]Summ!$I1054="",0,[1]Summ!$I1054)</f>
        <v>9.281600249065998E-3</v>
      </c>
      <c r="D16" s="24">
        <f t="shared" si="0"/>
        <v>7.0540161892901618E-2</v>
      </c>
      <c r="E16" s="75">
        <f>Poor!E16</f>
        <v>0.2</v>
      </c>
      <c r="F16" s="22"/>
      <c r="H16" s="24">
        <f t="shared" si="1"/>
        <v>0.2</v>
      </c>
      <c r="I16" s="22">
        <f t="shared" si="2"/>
        <v>1.4108032378580325E-2</v>
      </c>
      <c r="J16" s="24">
        <f>IF(I$32&lt;=1+I131,I16,B16*H16+J$33*(I16-B16*H16))</f>
        <v>1.4108032378580325E-2</v>
      </c>
      <c r="K16" s="22">
        <f t="shared" si="4"/>
        <v>6.125856164383562E-2</v>
      </c>
      <c r="L16" s="22">
        <f t="shared" si="5"/>
        <v>1.2251712328767124E-2</v>
      </c>
      <c r="M16" s="224">
        <f t="shared" si="6"/>
        <v>1.4108032378580325E-2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635.52698575863838</v>
      </c>
      <c r="S16" s="222">
        <f>IF($B$81=0,0,(SUMIF($N$6:$N$28,$U16,L$6:L$28)+SUMIF($N$91:$N$118,$U16,L$91:L$118))*$I$83*Poor!$B$81/$B$81)</f>
        <v>343.2</v>
      </c>
      <c r="T16" s="222">
        <f>IF($B$81=0,0,(SUMIF($N$6:$N$28,$U16,M$6:M$28)+SUMIF($N$91:$N$118,$U16,M$91:M$118))*$I$83*Poor!$B$81/$B$81)</f>
        <v>411.84</v>
      </c>
      <c r="U16" s="223">
        <v>10</v>
      </c>
      <c r="V16" s="56"/>
      <c r="W16" s="110"/>
      <c r="X16" s="118"/>
      <c r="Y16" s="183">
        <f t="shared" si="9"/>
        <v>5.6432129514321298E-2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5.6432129514321298E-2</v>
      </c>
      <c r="AH16" s="123">
        <f t="shared" si="12"/>
        <v>1</v>
      </c>
      <c r="AI16" s="183">
        <f t="shared" si="13"/>
        <v>1.4108032378580325E-2</v>
      </c>
      <c r="AJ16" s="120">
        <f t="shared" si="14"/>
        <v>0</v>
      </c>
      <c r="AK16" s="119">
        <f t="shared" si="15"/>
        <v>2.8216064757160649E-2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101">
        <f>IF([1]Summ!$H1055="",0,[1]Summ!$H1055)</f>
        <v>9.4339866127023678E-2</v>
      </c>
      <c r="C17" s="102">
        <f>IF([1]Summ!$I1055="",0,[1]Summ!$I1055)</f>
        <v>4.7169933063511818E-2</v>
      </c>
      <c r="D17" s="24">
        <f t="shared" si="0"/>
        <v>0.1415097991905355</v>
      </c>
      <c r="E17" s="75">
        <f>Poor!E17</f>
        <v>0.2</v>
      </c>
      <c r="F17" s="22"/>
      <c r="H17" s="24">
        <f t="shared" si="1"/>
        <v>0.2</v>
      </c>
      <c r="I17" s="22">
        <f t="shared" si="2"/>
        <v>2.8301959838107099E-2</v>
      </c>
      <c r="J17" s="24">
        <f t="shared" ref="J17:J25" si="17">IF(I$32&lt;=1+I131,I17,B17*H17+J$33*(I17-B17*H17))</f>
        <v>2.8301959838107099E-2</v>
      </c>
      <c r="K17" s="22">
        <f t="shared" si="4"/>
        <v>9.4339866127023678E-2</v>
      </c>
      <c r="L17" s="22">
        <f t="shared" si="5"/>
        <v>1.8867973225404736E-2</v>
      </c>
      <c r="M17" s="225">
        <f t="shared" si="6"/>
        <v>2.8301959838107099E-2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3199.8561520714661</v>
      </c>
      <c r="S17" s="222">
        <f>IF($B$81=0,0,(SUMIF($N$6:$N$28,$U17,L$6:L$28)+SUMIF($N$91:$N$118,$U17,L$91:L$118))*$I$83*Poor!$B$81/$B$81)</f>
        <v>2039.04</v>
      </c>
      <c r="T17" s="222">
        <f>IF($B$81=0,0,(SUMIF($N$6:$N$28,$U17,M$6:M$28)+SUMIF($N$91:$N$118,$U17,M$91:M$118))*$I$83*Poor!$B$81/$B$81)</f>
        <v>2039.04</v>
      </c>
      <c r="U17" s="223">
        <v>11</v>
      </c>
      <c r="V17" s="56"/>
      <c r="W17" s="110"/>
      <c r="X17" s="118"/>
      <c r="Y17" s="183">
        <f t="shared" si="9"/>
        <v>0.1132078393524284</v>
      </c>
      <c r="Z17" s="156">
        <f>Poor!Z17</f>
        <v>0.29409999999999997</v>
      </c>
      <c r="AA17" s="121">
        <f t="shared" si="16"/>
        <v>3.3294425553549188E-2</v>
      </c>
      <c r="AB17" s="156">
        <f>Poor!AB17</f>
        <v>0.17649999999999999</v>
      </c>
      <c r="AC17" s="121">
        <f t="shared" si="7"/>
        <v>1.9981183645703612E-2</v>
      </c>
      <c r="AD17" s="156">
        <f>Poor!AD17</f>
        <v>0.23530000000000001</v>
      </c>
      <c r="AE17" s="121">
        <f t="shared" si="8"/>
        <v>2.6637804599626402E-2</v>
      </c>
      <c r="AF17" s="122">
        <f t="shared" si="10"/>
        <v>0.29410000000000003</v>
      </c>
      <c r="AG17" s="121">
        <f t="shared" si="11"/>
        <v>3.3294425553549195E-2</v>
      </c>
      <c r="AH17" s="123">
        <f t="shared" si="12"/>
        <v>1</v>
      </c>
      <c r="AI17" s="183">
        <f t="shared" si="13"/>
        <v>2.8301959838107099E-2</v>
      </c>
      <c r="AJ17" s="120">
        <f t="shared" si="14"/>
        <v>2.6637804599626398E-2</v>
      </c>
      <c r="AK17" s="119">
        <f t="shared" si="15"/>
        <v>2.99661150765878E-2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Irish potato: type</v>
      </c>
      <c r="B18" s="101">
        <f>IF([1]Summ!$H1056="",0,[1]Summ!$H1056)</f>
        <v>2.4561799501867997E-2</v>
      </c>
      <c r="C18" s="102">
        <f>IF([1]Summ!$I1056="",0,[1]Summ!$I1056)</f>
        <v>2.358421544209215E-2</v>
      </c>
      <c r="D18" s="24">
        <f t="shared" ref="D18:D25" si="18">(B18+C18)</f>
        <v>4.8146014943960147E-2</v>
      </c>
      <c r="E18" s="75">
        <f>Poor!E18</f>
        <v>0.2</v>
      </c>
      <c r="F18" s="22"/>
      <c r="H18" s="24">
        <f t="shared" ref="H18:H25" si="19">(E18*F$7/F$9)</f>
        <v>0.2</v>
      </c>
      <c r="I18" s="22">
        <f t="shared" ref="I18:I25" si="20">(D18*H18)</f>
        <v>9.6292029887920308E-3</v>
      </c>
      <c r="J18" s="24">
        <f t="shared" si="17"/>
        <v>9.5469337254923438E-3</v>
      </c>
      <c r="K18" s="22">
        <f t="shared" ref="K18:K25" si="21">B18</f>
        <v>2.4561799501867997E-2</v>
      </c>
      <c r="L18" s="22">
        <f t="shared" ref="L18:L25" si="22">IF(K18="","",K18*H18)</f>
        <v>4.9123599003736002E-3</v>
      </c>
      <c r="M18" s="225">
        <f t="shared" ref="M18:M25" si="23">J18</f>
        <v>9.5469337254923438E-3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1491.5874480929031</v>
      </c>
      <c r="S18" s="222">
        <f>IF($B$81=0,0,(SUMIF($N$6:$N$28,$U18,L$6:L$28)+SUMIF($N$91:$N$118,$U18,L$91:L$118))*$I$83*Poor!$B$81/$B$81)</f>
        <v>1661.3302012222382</v>
      </c>
      <c r="T18" s="222">
        <f>IF($B$81=0,0,(SUMIF($N$6:$N$28,$U18,M$6:M$28)+SUMIF($N$91:$N$118,$U18,M$91:M$118))*$I$83*Poor!$B$81/$B$81)</f>
        <v>1661.3302012222382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Yam: type</v>
      </c>
      <c r="B19" s="101">
        <f>IF([1]Summ!$H1057="",0,[1]Summ!$H1057)</f>
        <v>2.0991594022415939E-2</v>
      </c>
      <c r="C19" s="102">
        <f>IF([1]Summ!$I1057="",0,[1]Summ!$I1057)</f>
        <v>0</v>
      </c>
      <c r="D19" s="24">
        <f t="shared" si="18"/>
        <v>2.0991594022415939E-2</v>
      </c>
      <c r="E19" s="75">
        <f>Poor!E19</f>
        <v>0.2</v>
      </c>
      <c r="F19" s="22"/>
      <c r="H19" s="24">
        <f t="shared" si="19"/>
        <v>0.2</v>
      </c>
      <c r="I19" s="22">
        <f t="shared" si="20"/>
        <v>4.1983188044831879E-3</v>
      </c>
      <c r="J19" s="24">
        <f t="shared" si="17"/>
        <v>4.1983188044831879E-3</v>
      </c>
      <c r="K19" s="22">
        <f t="shared" si="21"/>
        <v>2.0991594022415939E-2</v>
      </c>
      <c r="L19" s="22">
        <f t="shared" si="22"/>
        <v>4.1983188044831879E-3</v>
      </c>
      <c r="M19" s="225">
        <f t="shared" si="23"/>
        <v>4.1983188044831879E-3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510.75297941960423</v>
      </c>
      <c r="S19" s="222">
        <f>IF($B$81=0,0,(SUMIF($N$6:$N$28,$U19,L$6:L$28)+SUMIF($N$91:$N$118,$U19,L$91:L$118))*$I$83*Poor!$B$81/$B$81)</f>
        <v>568.87670324588203</v>
      </c>
      <c r="T19" s="222">
        <f>IF($B$81=0,0,(SUMIF($N$6:$N$28,$U19,M$6:M$28)+SUMIF($N$91:$N$118,$U19,M$91:M$118))*$I$83*Poor!$B$81/$B$81)</f>
        <v>568.87670324588203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32620.755772506334</v>
      </c>
      <c r="S20" s="222">
        <f>IF($B$81=0,0,(SUMIF($N$6:$N$28,$U20,L$6:L$28)+SUMIF($N$91:$N$118,$U20,L$91:L$118))*$I$83*Poor!$B$81/$B$81)</f>
        <v>25983.600000000002</v>
      </c>
      <c r="T20" s="222">
        <f>IF($B$81=0,0,(SUMIF($N$6:$N$28,$U20,M$6:M$28)+SUMIF($N$91:$N$118,$U20,M$91:M$118))*$I$83*Poor!$B$81/$B$81)</f>
        <v>25983.600000000002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Labour: Land clearing, construction, herding, slaughtering</v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0.5</v>
      </c>
      <c r="F21" s="22"/>
      <c r="H21" s="24">
        <f t="shared" si="19"/>
        <v>0.5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Weeding</v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0.5</v>
      </c>
      <c r="F22" s="22"/>
      <c r="H22" s="24">
        <f t="shared" si="19"/>
        <v>0.5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2370.2638163492343</v>
      </c>
      <c r="S22" s="222">
        <f>IF($B$81=0,0,(SUMIF($N$6:$N$28,$U22,L$6:L$28)+SUMIF($N$91:$N$118,$U22,L$91:L$118))*$I$83*Poor!$B$81/$B$81)</f>
        <v>1600</v>
      </c>
      <c r="T22" s="222">
        <f>IF($B$81=0,0,(SUMIF($N$6:$N$28,$U22,M$6:M$28)+SUMIF($N$91:$N$118,$U22,M$91:M$118))*$I$83*Poor!$B$81/$B$81)</f>
        <v>1600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Gifts/remittances: cereal</v>
      </c>
      <c r="B23" s="101">
        <f>IF([1]Summ!$H1061="",0,[1]Summ!$H1061)</f>
        <v>1.7694834993773351E-2</v>
      </c>
      <c r="C23" s="102">
        <f>IF([1]Summ!$I1061="",0,[1]Summ!$I1061)</f>
        <v>0</v>
      </c>
      <c r="D23" s="24">
        <f t="shared" si="18"/>
        <v>1.7694834993773351E-2</v>
      </c>
      <c r="E23" s="75">
        <f>Poor!E23</f>
        <v>1</v>
      </c>
      <c r="F23" s="22"/>
      <c r="H23" s="24">
        <f t="shared" si="19"/>
        <v>1</v>
      </c>
      <c r="I23" s="22">
        <f t="shared" si="20"/>
        <v>1.7694834993773351E-2</v>
      </c>
      <c r="J23" s="24">
        <f t="shared" si="17"/>
        <v>1.7694834993773351E-2</v>
      </c>
      <c r="K23" s="22">
        <f t="shared" si="21"/>
        <v>1.7694834993773351E-2</v>
      </c>
      <c r="L23" s="22">
        <f t="shared" si="22"/>
        <v>1.7694834993773351E-2</v>
      </c>
      <c r="M23" s="225">
        <f t="shared" si="23"/>
        <v>1.7694834993773351E-2</v>
      </c>
      <c r="N23" s="229">
        <v>13</v>
      </c>
      <c r="O23" s="2"/>
      <c r="P23" s="22"/>
      <c r="Q23" s="171" t="s">
        <v>100</v>
      </c>
      <c r="R23" s="179">
        <f>SUM(R7:R22)</f>
        <v>59884.557961247614</v>
      </c>
      <c r="S23" s="179">
        <f>SUM(S7:S22)</f>
        <v>37910.13294675987</v>
      </c>
      <c r="T23" s="179">
        <f>SUM(T7:T22)</f>
        <v>38905.517500074653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Gifts/remittances: Other</v>
      </c>
      <c r="B24" s="101">
        <f>IF([1]Summ!$H1062="",0,[1]Summ!$H1062)</f>
        <v>2.3069738480697384E-2</v>
      </c>
      <c r="C24" s="102">
        <f>IF([1]Summ!$I1062="",0,[1]Summ!$I1062)</f>
        <v>0</v>
      </c>
      <c r="D24" s="24">
        <f t="shared" si="18"/>
        <v>2.3069738480697384E-2</v>
      </c>
      <c r="E24" s="75">
        <f>Poor!E24</f>
        <v>1</v>
      </c>
      <c r="F24" s="22"/>
      <c r="H24" s="24">
        <f t="shared" si="19"/>
        <v>1</v>
      </c>
      <c r="I24" s="22">
        <f t="shared" si="20"/>
        <v>2.3069738480697384E-2</v>
      </c>
      <c r="J24" s="24">
        <f t="shared" si="17"/>
        <v>2.3069738480697384E-2</v>
      </c>
      <c r="K24" s="22">
        <f t="shared" si="21"/>
        <v>2.3069738480697384E-2</v>
      </c>
      <c r="L24" s="22">
        <f t="shared" si="22"/>
        <v>2.3069738480697384E-2</v>
      </c>
      <c r="M24" s="225">
        <f t="shared" si="23"/>
        <v>2.3069738480697384E-2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29831.109022148565</v>
      </c>
      <c r="S24" s="41">
        <f>IF($B$81=0,0,(SUM(($B$70*$H$70))+((1-$D$29)*$I$83))*Poor!$B$81/$B$81)</f>
        <v>29831.109022148565</v>
      </c>
      <c r="T24" s="41">
        <f>IF($B$81=0,0,(SUM(($B$70*$H$70))+((1-$D$29)*$I$83))*Poor!$B$81/$B$81)</f>
        <v>29831.109022148565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46325.935688815232</v>
      </c>
      <c r="S25" s="41">
        <f>IF($B$81=0,0,(SUM(($B$70*$H$70),($B$71*$H$71))+((1-$D$29)*$I$83))*Poor!$B$81/$B$81)</f>
        <v>46325.935688815232</v>
      </c>
      <c r="T25" s="41">
        <f>IF($B$81=0,0,(SUM(($B$70*$H$70),($B$71*$H$71))+((1-$D$29)*$I$83))*Poor!$B$81/$B$81)</f>
        <v>46325.935688815232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79063.855688815223</v>
      </c>
      <c r="S26" s="41">
        <f>IF($B$81=0,0,(SUM(($B$70*$H$70),($B$71*$H$71),($B$72*$H$72))+((1-$D$29)*$I$83))*Poor!$B$81/$B$81)</f>
        <v>79063.855688815223</v>
      </c>
      <c r="T26" s="41">
        <f>IF($B$81=0,0,(SUM(($B$70*$H$70),($B$71*$H$71),($B$72*$H$72))+((1-$D$29)*$I$83))*Poor!$B$81/$B$81)</f>
        <v>79063.855688815223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3.314115504358655E-2</v>
      </c>
      <c r="C27" s="102">
        <f>IF([1]Summ!$I1065="",0,[1]Summ!$I1065)</f>
        <v>-3.314115504358655E-2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0.21142394971980072</v>
      </c>
      <c r="C29" s="102">
        <f>IF([1]Summ!$I1067="",0,[1]Summ!$I1067)</f>
        <v>1.3212824222196339E-2</v>
      </c>
      <c r="D29" s="24">
        <f t="shared" si="0"/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0.21142394971980072</v>
      </c>
      <c r="L29" s="22">
        <f t="shared" si="5"/>
        <v>0.21142394971980072</v>
      </c>
      <c r="M29" s="224">
        <f t="shared" si="6"/>
        <v>0.22463677394199705</v>
      </c>
      <c r="N29" s="229"/>
      <c r="P29" s="22"/>
      <c r="V29" s="56"/>
      <c r="W29" s="110"/>
      <c r="X29" s="118"/>
      <c r="Y29" s="183">
        <f t="shared" si="9"/>
        <v>0.89854709576798819</v>
      </c>
      <c r="Z29" s="156">
        <f>Poor!Z29</f>
        <v>0.25</v>
      </c>
      <c r="AA29" s="121">
        <f t="shared" si="16"/>
        <v>0.22463677394199705</v>
      </c>
      <c r="AB29" s="156">
        <f>Poor!AB29</f>
        <v>0.25</v>
      </c>
      <c r="AC29" s="121">
        <f t="shared" si="7"/>
        <v>0.22463677394199705</v>
      </c>
      <c r="AD29" s="156">
        <f>Poor!AD29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0.56457277397260275</v>
      </c>
      <c r="C30" s="103"/>
      <c r="D30" s="24">
        <f>(D119-B124)</f>
        <v>2.5895007138704687</v>
      </c>
      <c r="E30" s="75">
        <f>Poor!E30</f>
        <v>1</v>
      </c>
      <c r="H30" s="96">
        <f>(E30*F$7/F$9)</f>
        <v>1</v>
      </c>
      <c r="I30" s="29">
        <f>IF(E30&gt;=1,I119-I124,MIN(I119-I124,B30*H30))</f>
        <v>1.1129449059719678</v>
      </c>
      <c r="J30" s="231">
        <f>IF(I$32&lt;=1,I30,1-SUM(J6:J29))</f>
        <v>0.46269083681228884</v>
      </c>
      <c r="K30" s="22">
        <f t="shared" si="4"/>
        <v>0.56457277397260275</v>
      </c>
      <c r="L30" s="22">
        <f>IF(L124=L119,0,IF(K30="",0,(L119-L124)/(B119-B124)*K30))</f>
        <v>0.24520982069278213</v>
      </c>
      <c r="M30" s="175">
        <f t="shared" si="6"/>
        <v>0.46269083681228884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1.8507633472491554</v>
      </c>
      <c r="Z30" s="122">
        <f>IF($Y30=0,0,AA30/($Y$30))</f>
        <v>-0.14188325801091972</v>
      </c>
      <c r="AA30" s="187">
        <f>IF(AA79*4/$I$84+SUM(AA6:AA29)&lt;1,AA79*4/$I$84,1-SUM(AA6:AA29))</f>
        <v>-0.2625923335149053</v>
      </c>
      <c r="AB30" s="122">
        <f>IF($Y30=0,0,AC30/($Y$30))</f>
        <v>-0.33423858917289406</v>
      </c>
      <c r="AC30" s="187">
        <f>IF(AC79*4/$I$84+SUM(AC6:AC29)&lt;1,AC79*4/$I$84,1-SUM(AC6:AC29))</f>
        <v>-0.61859653007746074</v>
      </c>
      <c r="AD30" s="122">
        <f>IF($Y30=0,0,AE30/($Y$30))</f>
        <v>-0.33423858917289406</v>
      </c>
      <c r="AE30" s="187">
        <f>IF(AE79*4/$I$84+SUM(AE6:AE29)&lt;1,AE79*4/$I$84,1-SUM(AE6:AE29))</f>
        <v>-0.61859653007746074</v>
      </c>
      <c r="AF30" s="122">
        <f>IF($Y30=0,0,AG30/($Y$30))</f>
        <v>-0.27211252647180445</v>
      </c>
      <c r="AG30" s="187">
        <f>IF(AG79*4/$I$84+SUM(AG6:AG29)&lt;1,AG79*4/$I$84,1-SUM(AG6:AG29))</f>
        <v>-0.50361589032138121</v>
      </c>
      <c r="AH30" s="123">
        <f t="shared" si="12"/>
        <v>-1.0824729628285124</v>
      </c>
      <c r="AI30" s="183">
        <f t="shared" si="13"/>
        <v>-0.50085032099780191</v>
      </c>
      <c r="AJ30" s="120">
        <f t="shared" si="14"/>
        <v>-0.44059443179618302</v>
      </c>
      <c r="AK30" s="119">
        <f t="shared" si="15"/>
        <v>-0.56110621019942097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0.22787294950306092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8415.8027420553626</v>
      </c>
      <c r="T31" s="234">
        <f>IF(T25&gt;T$23,T25-T$23,0)</f>
        <v>7420.4181887405794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0.56427907848357062</v>
      </c>
      <c r="AB31" s="131"/>
      <c r="AC31" s="133">
        <f>1-AC32+IF($Y32&lt;0,$Y32/4,0)</f>
        <v>1.2504596969041586</v>
      </c>
      <c r="AD31" s="134"/>
      <c r="AE31" s="133">
        <f>1-AE32+IF($Y32&lt;0,$Y32/4,0)</f>
        <v>1.2085650809969355</v>
      </c>
      <c r="AF31" s="134"/>
      <c r="AG31" s="133">
        <f>1-AG32+IF($Y32&lt;0,$Y32/4,0)</f>
        <v>1.0489000788734837</v>
      </c>
      <c r="AH31" s="123"/>
      <c r="AI31" s="182">
        <f>SUM(AA31,AC31,AE31,AG31)/4</f>
        <v>1.0180509838145371</v>
      </c>
      <c r="AJ31" s="135">
        <f t="shared" si="14"/>
        <v>0.90736938769386466</v>
      </c>
      <c r="AK31" s="136">
        <f t="shared" si="15"/>
        <v>1.1287325799352095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1.5151107997761371</v>
      </c>
      <c r="C32" s="77">
        <f>SUM(C6:C31)</f>
        <v>9.5118262033528814E-2</v>
      </c>
      <c r="D32" s="24">
        <f>SUM(D6:D30)</f>
        <v>3.6351570017075319</v>
      </c>
      <c r="E32" s="2"/>
      <c r="F32" s="2"/>
      <c r="H32" s="17"/>
      <c r="I32" s="22">
        <f>SUM(I6:I30)</f>
        <v>1.6503363384229788</v>
      </c>
      <c r="J32" s="17"/>
      <c r="L32" s="22">
        <f>SUM(L6:L30)</f>
        <v>0.77212705049693908</v>
      </c>
      <c r="M32" s="23"/>
      <c r="N32" s="56"/>
      <c r="O32" s="2"/>
      <c r="P32" s="22"/>
      <c r="Q32" s="234" t="s">
        <v>143</v>
      </c>
      <c r="R32" s="234">
        <f t="shared" si="24"/>
        <v>19179.297727567609</v>
      </c>
      <c r="S32" s="234">
        <f t="shared" si="24"/>
        <v>41153.722742055354</v>
      </c>
      <c r="T32" s="234">
        <f t="shared" si="24"/>
        <v>40158.33818874057</v>
      </c>
      <c r="V32" s="56"/>
      <c r="W32" s="110"/>
      <c r="X32" s="118"/>
      <c r="Y32" s="115">
        <f>SUM(Y6:Y31)</f>
        <v>3.7819606959822147</v>
      </c>
      <c r="Z32" s="137"/>
      <c r="AA32" s="138">
        <f>SUM(AA6:AA30)</f>
        <v>0.43572092151642938</v>
      </c>
      <c r="AB32" s="137"/>
      <c r="AC32" s="139">
        <f>SUM(AC6:AC30)</f>
        <v>-0.25045969690415848</v>
      </c>
      <c r="AD32" s="137"/>
      <c r="AE32" s="139">
        <f>SUM(AE6:AE30)</f>
        <v>-0.20856508099693555</v>
      </c>
      <c r="AF32" s="137"/>
      <c r="AG32" s="139">
        <f>SUM(AG6:AG30)</f>
        <v>-4.8900078873483688E-2</v>
      </c>
      <c r="AH32" s="127"/>
      <c r="AI32" s="110"/>
      <c r="AJ32" s="140">
        <f>SUM(AJ6:AJ31)</f>
        <v>1.0000000000000002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0.98255840574775788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7420.4181887405866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2000</v>
      </c>
      <c r="C37" s="104">
        <f>IF([1]Summ!$I1072="",0,[1]Summ!$I1072)</f>
        <v>0</v>
      </c>
      <c r="D37" s="38">
        <f t="shared" ref="D37:D64" si="25">B37+C37</f>
        <v>2000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1180</v>
      </c>
      <c r="J37" s="38">
        <f>J91*I$83</f>
        <v>1180</v>
      </c>
      <c r="K37" s="40">
        <f>(B37/B$65)</f>
        <v>5.805009723391287E-2</v>
      </c>
      <c r="L37" s="22">
        <f t="shared" ref="L37" si="28">(K37*H37)</f>
        <v>3.4249557368008589E-2</v>
      </c>
      <c r="M37" s="24">
        <f>J37/B$65</f>
        <v>3.4249557368008589E-2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1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1180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1180</v>
      </c>
      <c r="AJ37" s="148">
        <f>(AA37+AC37)</f>
        <v>1180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1500</v>
      </c>
      <c r="C38" s="104">
        <f>IF([1]Summ!$I1073="",0,[1]Summ!$I1073)</f>
        <v>1000</v>
      </c>
      <c r="D38" s="38">
        <f t="shared" si="25"/>
        <v>2500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1475</v>
      </c>
      <c r="J38" s="38">
        <f t="shared" ref="J38:J64" si="32">J92*I$83</f>
        <v>1475.0000000000002</v>
      </c>
      <c r="K38" s="40">
        <f t="shared" ref="K38:K64" si="33">(B38/B$65)</f>
        <v>4.3537572925434649E-2</v>
      </c>
      <c r="L38" s="22">
        <f t="shared" ref="L38:L64" si="34">(K38*H38)</f>
        <v>2.5687168026006443E-2</v>
      </c>
      <c r="M38" s="24">
        <f t="shared" ref="M38:M64" si="35">J38/B$65</f>
        <v>4.2811946710010748E-2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1475.0000000000002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1475.0000000000002</v>
      </c>
      <c r="AJ38" s="148">
        <f t="shared" ref="AJ38:AJ64" si="38">(AA38+AC38)</f>
        <v>1475.0000000000002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 sales: no. sold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500</v>
      </c>
      <c r="C40" s="104">
        <f>IF([1]Summ!$I1075="",0,[1]Summ!$I1075)</f>
        <v>-500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0</v>
      </c>
      <c r="K40" s="40">
        <f t="shared" si="33"/>
        <v>1.4512524308478218E-2</v>
      </c>
      <c r="L40" s="22">
        <f t="shared" si="34"/>
        <v>6.0952602095608512E-3</v>
      </c>
      <c r="M40" s="24">
        <f t="shared" si="35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Beans: kg produced</v>
      </c>
      <c r="B41" s="104">
        <f>IF([1]Summ!$H1076="",0,[1]Summ!$H1076)</f>
        <v>1250</v>
      </c>
      <c r="C41" s="104">
        <f>IF([1]Summ!$I1076="",0,[1]Summ!$I1076)</f>
        <v>1812.5</v>
      </c>
      <c r="D41" s="38">
        <f t="shared" si="25"/>
        <v>3062.5</v>
      </c>
      <c r="E41" s="75">
        <f>Poor!E41</f>
        <v>0.2</v>
      </c>
      <c r="F41" s="75">
        <f>Poor!F41</f>
        <v>1.4</v>
      </c>
      <c r="G41" s="75">
        <f>Poor!G41</f>
        <v>1.65</v>
      </c>
      <c r="H41" s="24">
        <f t="shared" si="30"/>
        <v>0.27999999999999997</v>
      </c>
      <c r="I41" s="39">
        <f t="shared" si="31"/>
        <v>857.49999999999989</v>
      </c>
      <c r="J41" s="38">
        <f t="shared" si="32"/>
        <v>857.49999999999989</v>
      </c>
      <c r="K41" s="40">
        <f t="shared" si="33"/>
        <v>3.6281310771195542E-2</v>
      </c>
      <c r="L41" s="22">
        <f t="shared" si="34"/>
        <v>1.0158767015934751E-2</v>
      </c>
      <c r="M41" s="24">
        <f t="shared" si="35"/>
        <v>2.488897918904014E-2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857.49999999999989</v>
      </c>
      <c r="AH41" s="123">
        <f t="shared" si="37"/>
        <v>1</v>
      </c>
      <c r="AI41" s="112">
        <f t="shared" si="37"/>
        <v>857.49999999999989</v>
      </c>
      <c r="AJ41" s="148">
        <f t="shared" si="38"/>
        <v>0</v>
      </c>
      <c r="AK41" s="147">
        <f t="shared" si="39"/>
        <v>857.49999999999989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Water melon: no. local meas (Bhece)</v>
      </c>
      <c r="B42" s="104">
        <f>IF([1]Summ!$H1077="",0,[1]Summ!$H1077)</f>
        <v>99</v>
      </c>
      <c r="C42" s="104">
        <f>IF([1]Summ!$I1077="",0,[1]Summ!$I1077)</f>
        <v>-99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2.8734798130786868E-3</v>
      </c>
      <c r="L42" s="22">
        <f t="shared" si="34"/>
        <v>8.0457434766203226E-4</v>
      </c>
      <c r="M42" s="24">
        <f t="shared" si="35"/>
        <v>0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Sweet poatato: no. local meas</v>
      </c>
      <c r="B43" s="104">
        <f>IF([1]Summ!$H1078="",0,[1]Summ!$H1078)</f>
        <v>250</v>
      </c>
      <c r="C43" s="104">
        <f>IF([1]Summ!$I1078="",0,[1]Summ!$I1078)</f>
        <v>-250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7.2562621542391088E-3</v>
      </c>
      <c r="L43" s="22">
        <f t="shared" si="34"/>
        <v>2.0317534031869503E-3</v>
      </c>
      <c r="M43" s="24">
        <f t="shared" si="35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Groundnuts (dry): no. local meas</v>
      </c>
      <c r="B44" s="104">
        <f>IF([1]Summ!$H1079="",0,[1]Summ!$H1079)</f>
        <v>250</v>
      </c>
      <c r="C44" s="104">
        <f>IF([1]Summ!$I1079="",0,[1]Summ!$I1079)</f>
        <v>-250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7.2562621542391088E-3</v>
      </c>
      <c r="L44" s="22">
        <f t="shared" si="34"/>
        <v>2.0317534031869503E-3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Irish potato: type</v>
      </c>
      <c r="B45" s="104">
        <f>IF([1]Summ!$H1080="",0,[1]Summ!$H1080)</f>
        <v>772</v>
      </c>
      <c r="C45" s="104">
        <f>IF([1]Summ!$I1080="",0,[1]Summ!$I1080)</f>
        <v>-772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2.2407337532290367E-2</v>
      </c>
      <c r="L45" s="22">
        <f t="shared" si="34"/>
        <v>6.2740545090413024E-3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Yam: type</v>
      </c>
      <c r="B46" s="104">
        <f>IF([1]Summ!$H1081="",0,[1]Summ!$H1081)</f>
        <v>400</v>
      </c>
      <c r="C46" s="104">
        <f>IF([1]Summ!$I1081="",0,[1]Summ!$I1081)</f>
        <v>0</v>
      </c>
      <c r="D46" s="38">
        <f t="shared" si="25"/>
        <v>400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111.99999999999999</v>
      </c>
      <c r="J46" s="38">
        <f t="shared" si="32"/>
        <v>111.99999999999999</v>
      </c>
      <c r="K46" s="40">
        <f t="shared" si="33"/>
        <v>1.1610019446782574E-2</v>
      </c>
      <c r="L46" s="22">
        <f t="shared" si="34"/>
        <v>3.2508054450991202E-3</v>
      </c>
      <c r="M46" s="24">
        <f t="shared" si="35"/>
        <v>3.2508054450991202E-3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27.999999999999996</v>
      </c>
      <c r="AB46" s="156">
        <f>Poor!AB46</f>
        <v>0.25</v>
      </c>
      <c r="AC46" s="147">
        <f t="shared" si="41"/>
        <v>27.999999999999996</v>
      </c>
      <c r="AD46" s="156">
        <f>Poor!AD46</f>
        <v>0.25</v>
      </c>
      <c r="AE46" s="147">
        <f t="shared" si="42"/>
        <v>27.999999999999996</v>
      </c>
      <c r="AF46" s="122">
        <f t="shared" si="29"/>
        <v>0.25</v>
      </c>
      <c r="AG46" s="147">
        <f t="shared" si="36"/>
        <v>27.999999999999996</v>
      </c>
      <c r="AH46" s="123">
        <f t="shared" si="37"/>
        <v>1</v>
      </c>
      <c r="AI46" s="112">
        <f t="shared" si="37"/>
        <v>111.99999999999999</v>
      </c>
      <c r="AJ46" s="148">
        <f t="shared" si="38"/>
        <v>55.999999999999993</v>
      </c>
      <c r="AK46" s="147">
        <f t="shared" si="39"/>
        <v>55.999999999999993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Spinach (cash): kg produced</v>
      </c>
      <c r="B47" s="104">
        <f>IF([1]Summ!$H1082="",0,[1]Summ!$H1082)</f>
        <v>100</v>
      </c>
      <c r="C47" s="104">
        <f>IF([1]Summ!$I1082="",0,[1]Summ!$I1082)</f>
        <v>0</v>
      </c>
      <c r="D47" s="38">
        <f t="shared" si="25"/>
        <v>100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27.999999999999996</v>
      </c>
      <c r="J47" s="38">
        <f t="shared" si="32"/>
        <v>27.999999999999996</v>
      </c>
      <c r="K47" s="40">
        <f t="shared" si="33"/>
        <v>2.9025048616956434E-3</v>
      </c>
      <c r="L47" s="22">
        <f t="shared" si="34"/>
        <v>8.1270136127478004E-4</v>
      </c>
      <c r="M47" s="24">
        <f t="shared" si="35"/>
        <v>8.1270136127478004E-4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6.9999999999999991</v>
      </c>
      <c r="AB47" s="156">
        <f>Poor!AB47</f>
        <v>0.25</v>
      </c>
      <c r="AC47" s="147">
        <f t="shared" si="41"/>
        <v>6.9999999999999991</v>
      </c>
      <c r="AD47" s="156">
        <f>Poor!AD47</f>
        <v>0.25</v>
      </c>
      <c r="AE47" s="147">
        <f t="shared" si="42"/>
        <v>6.9999999999999991</v>
      </c>
      <c r="AF47" s="122">
        <f t="shared" si="29"/>
        <v>0.25</v>
      </c>
      <c r="AG47" s="147">
        <f t="shared" si="36"/>
        <v>6.9999999999999991</v>
      </c>
      <c r="AH47" s="123">
        <f t="shared" si="37"/>
        <v>1</v>
      </c>
      <c r="AI47" s="112">
        <f t="shared" si="37"/>
        <v>27.999999999999996</v>
      </c>
      <c r="AJ47" s="148">
        <f t="shared" si="38"/>
        <v>13.999999999999998</v>
      </c>
      <c r="AK47" s="147">
        <f t="shared" si="39"/>
        <v>13.999999999999998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Tomatoes (cash): kg produced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Cabbage (cash): kg produced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Agricultural cash income -- see Data2</v>
      </c>
      <c r="B50" s="104">
        <f>IF([1]Summ!$H1085="",0,[1]Summ!$H1085)</f>
        <v>752</v>
      </c>
      <c r="C50" s="104">
        <f>IF([1]Summ!$I1085="",0,[1]Summ!$I1085)</f>
        <v>0</v>
      </c>
      <c r="D50" s="38">
        <f t="shared" si="25"/>
        <v>752</v>
      </c>
      <c r="E50" s="75">
        <f>Poor!E50</f>
        <v>0.5</v>
      </c>
      <c r="F50" s="75">
        <f>Poor!F50</f>
        <v>1.1100000000000001</v>
      </c>
      <c r="G50" s="75">
        <f>Poor!G50</f>
        <v>1.65</v>
      </c>
      <c r="H50" s="24">
        <f t="shared" si="30"/>
        <v>0.55500000000000005</v>
      </c>
      <c r="I50" s="39">
        <f t="shared" si="31"/>
        <v>417.36</v>
      </c>
      <c r="J50" s="38">
        <f t="shared" si="32"/>
        <v>417.36000000000007</v>
      </c>
      <c r="K50" s="40">
        <f t="shared" si="33"/>
        <v>2.1826836559951237E-2</v>
      </c>
      <c r="L50" s="22">
        <f t="shared" si="34"/>
        <v>1.2113894290772937E-2</v>
      </c>
      <c r="M50" s="24">
        <f t="shared" si="35"/>
        <v>1.2113894290772939E-2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104.34000000000002</v>
      </c>
      <c r="AB50" s="156">
        <f>Poor!AB55</f>
        <v>0.25</v>
      </c>
      <c r="AC50" s="147">
        <f t="shared" si="41"/>
        <v>104.34000000000002</v>
      </c>
      <c r="AD50" s="156">
        <f>Poor!AD55</f>
        <v>0.25</v>
      </c>
      <c r="AE50" s="147">
        <f t="shared" si="42"/>
        <v>104.34000000000002</v>
      </c>
      <c r="AF50" s="122">
        <f t="shared" si="29"/>
        <v>0.25</v>
      </c>
      <c r="AG50" s="147">
        <f t="shared" si="36"/>
        <v>104.34000000000002</v>
      </c>
      <c r="AH50" s="123">
        <f t="shared" si="37"/>
        <v>1</v>
      </c>
      <c r="AI50" s="112">
        <f t="shared" si="37"/>
        <v>417.36000000000007</v>
      </c>
      <c r="AJ50" s="148">
        <f t="shared" si="38"/>
        <v>208.68000000000004</v>
      </c>
      <c r="AK50" s="147">
        <f t="shared" si="39"/>
        <v>208.68000000000004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Labour migration(formal employment): no. people per HH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0.4</v>
      </c>
      <c r="F51" s="75">
        <f>Poor!F51</f>
        <v>1.18</v>
      </c>
      <c r="G51" s="75">
        <f>Poor!G51</f>
        <v>1.65</v>
      </c>
      <c r="H51" s="24">
        <f t="shared" si="30"/>
        <v>0.47199999999999998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Formal Employment (conservancies, etc.)</v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0.6</v>
      </c>
      <c r="F52" s="75">
        <f>Poor!F52</f>
        <v>1.18</v>
      </c>
      <c r="G52" s="75">
        <f>Poor!G52</f>
        <v>1.65</v>
      </c>
      <c r="H52" s="24">
        <f t="shared" si="30"/>
        <v>0.70799999999999996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Self-employment -- see Data2</v>
      </c>
      <c r="B53" s="104">
        <f>IF([1]Summ!$H1088="",0,[1]Summ!$H1088)</f>
        <v>429</v>
      </c>
      <c r="C53" s="104">
        <f>IF([1]Summ!$I1088="",0,[1]Summ!$I1088)</f>
        <v>85.799999999999955</v>
      </c>
      <c r="D53" s="38">
        <f t="shared" si="25"/>
        <v>514.79999999999995</v>
      </c>
      <c r="E53" s="75">
        <f>Poor!E53</f>
        <v>0.8</v>
      </c>
      <c r="F53" s="75">
        <f>Poor!F53</f>
        <v>1</v>
      </c>
      <c r="G53" s="75">
        <f>Poor!G53</f>
        <v>1.65</v>
      </c>
      <c r="H53" s="24">
        <f t="shared" si="30"/>
        <v>0.8</v>
      </c>
      <c r="I53" s="39">
        <f t="shared" si="31"/>
        <v>411.84</v>
      </c>
      <c r="J53" s="38">
        <f t="shared" si="32"/>
        <v>411.84</v>
      </c>
      <c r="K53" s="40">
        <f t="shared" si="33"/>
        <v>1.245174585667431E-2</v>
      </c>
      <c r="L53" s="22">
        <f t="shared" si="34"/>
        <v>9.9613966853394492E-3</v>
      </c>
      <c r="M53" s="24">
        <f t="shared" si="35"/>
        <v>1.1953676022407336E-2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Small business -- see Data2</v>
      </c>
      <c r="B54" s="104">
        <f>IF([1]Summ!$H1089="",0,[1]Summ!$H1089)</f>
        <v>2160</v>
      </c>
      <c r="C54" s="104">
        <f>IF([1]Summ!$I1089="",0,[1]Summ!$I1089)</f>
        <v>0</v>
      </c>
      <c r="D54" s="38">
        <f t="shared" si="25"/>
        <v>2160</v>
      </c>
      <c r="E54" s="75">
        <f>Poor!E54</f>
        <v>0.8</v>
      </c>
      <c r="F54" s="75">
        <f>Poor!F54</f>
        <v>1.18</v>
      </c>
      <c r="G54" s="75">
        <f>Poor!G54</f>
        <v>1.65</v>
      </c>
      <c r="H54" s="24">
        <f t="shared" si="30"/>
        <v>0.94399999999999995</v>
      </c>
      <c r="I54" s="39">
        <f t="shared" si="31"/>
        <v>2039.04</v>
      </c>
      <c r="J54" s="38">
        <f t="shared" si="32"/>
        <v>2039.04</v>
      </c>
      <c r="K54" s="40">
        <f t="shared" si="33"/>
        <v>6.26941050126259E-2</v>
      </c>
      <c r="L54" s="22">
        <f t="shared" si="34"/>
        <v>5.9183235131918845E-2</v>
      </c>
      <c r="M54" s="24">
        <f t="shared" si="35"/>
        <v>5.9183235131918845E-2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Social development -- see Data2</v>
      </c>
      <c r="B55" s="104">
        <f>IF([1]Summ!$H1090="",0,[1]Summ!$H1090)</f>
        <v>22020</v>
      </c>
      <c r="C55" s="104">
        <f>IF([1]Summ!$I1090="",0,[1]Summ!$I1090)</f>
        <v>0</v>
      </c>
      <c r="D55" s="38">
        <f t="shared" si="25"/>
        <v>22020</v>
      </c>
      <c r="E55" s="75">
        <f>Poor!E55</f>
        <v>1</v>
      </c>
      <c r="F55" s="75">
        <f>Poor!F55</f>
        <v>1.18</v>
      </c>
      <c r="G55" s="75">
        <f>Poor!G55</f>
        <v>1.65</v>
      </c>
      <c r="H55" s="24">
        <f t="shared" si="30"/>
        <v>1.18</v>
      </c>
      <c r="I55" s="39">
        <f t="shared" si="31"/>
        <v>25983.599999999999</v>
      </c>
      <c r="J55" s="38">
        <f t="shared" si="32"/>
        <v>25983.600000000002</v>
      </c>
      <c r="K55" s="40">
        <f t="shared" si="33"/>
        <v>0.63913157054538061</v>
      </c>
      <c r="L55" s="22">
        <f t="shared" si="34"/>
        <v>0.75417525324354906</v>
      </c>
      <c r="M55" s="24">
        <f t="shared" si="35"/>
        <v>0.75417525324354928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Public works -- see Data2</v>
      </c>
      <c r="B56" s="104">
        <f>IF([1]Summ!$H1091="",0,[1]Summ!$H1091)</f>
        <v>371</v>
      </c>
      <c r="C56" s="104">
        <f>IF([1]Summ!$I1091="",0,[1]Summ!$I1091)</f>
        <v>0</v>
      </c>
      <c r="D56" s="38">
        <f t="shared" si="25"/>
        <v>371</v>
      </c>
      <c r="E56" s="75">
        <f>Poor!E56</f>
        <v>1</v>
      </c>
      <c r="F56" s="75">
        <f>Poor!F56</f>
        <v>1.18</v>
      </c>
      <c r="G56" s="75">
        <f>Poor!G56</f>
        <v>1.65</v>
      </c>
      <c r="H56" s="24">
        <f t="shared" si="30"/>
        <v>1.18</v>
      </c>
      <c r="I56" s="39">
        <f t="shared" si="31"/>
        <v>437.78</v>
      </c>
      <c r="J56" s="38">
        <f t="shared" si="32"/>
        <v>437.78</v>
      </c>
      <c r="K56" s="40">
        <f t="shared" si="33"/>
        <v>1.0768293036890838E-2</v>
      </c>
      <c r="L56" s="22">
        <f t="shared" si="34"/>
        <v>1.2706585783531187E-2</v>
      </c>
      <c r="M56" s="24">
        <f t="shared" si="35"/>
        <v>1.2706585783531187E-2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Other income: e.g. Credit (cotton loans)</v>
      </c>
      <c r="B57" s="104">
        <f>IF([1]Summ!$H1092="",0,[1]Summ!$H1092)</f>
        <v>1600</v>
      </c>
      <c r="C57" s="104">
        <f>IF([1]Summ!$I1092="",0,[1]Summ!$I1092)</f>
        <v>0</v>
      </c>
      <c r="D57" s="38">
        <f t="shared" si="25"/>
        <v>1600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1600</v>
      </c>
      <c r="J57" s="38">
        <f t="shared" si="32"/>
        <v>1600</v>
      </c>
      <c r="K57" s="40">
        <f t="shared" si="33"/>
        <v>4.6440077787130295E-2</v>
      </c>
      <c r="L57" s="22">
        <f t="shared" si="34"/>
        <v>4.6440077787130295E-2</v>
      </c>
      <c r="M57" s="24">
        <f t="shared" si="35"/>
        <v>4.6440077787130295E-2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34453</v>
      </c>
      <c r="C65" s="39">
        <f>SUM(C37:C64)</f>
        <v>1027.3</v>
      </c>
      <c r="D65" s="42">
        <f>SUM(D37:D64)</f>
        <v>35480.300000000003</v>
      </c>
      <c r="E65" s="32"/>
      <c r="F65" s="32"/>
      <c r="G65" s="32"/>
      <c r="H65" s="31"/>
      <c r="I65" s="39">
        <f>SUM(I37:I64)</f>
        <v>34542.119999999995</v>
      </c>
      <c r="J65" s="39">
        <f>SUM(J37:J64)</f>
        <v>34542.120000000003</v>
      </c>
      <c r="K65" s="40">
        <f>SUM(K37:K64)</f>
        <v>1</v>
      </c>
      <c r="L65" s="22">
        <f>SUM(L37:L64)</f>
        <v>0.98597683801120362</v>
      </c>
      <c r="M65" s="24">
        <f>SUM(M37:M64)</f>
        <v>1.0025867123327432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2794.34</v>
      </c>
      <c r="AB65" s="137"/>
      <c r="AC65" s="153">
        <f>SUM(AC37:AC64)</f>
        <v>139.34</v>
      </c>
      <c r="AD65" s="137"/>
      <c r="AE65" s="153">
        <f>SUM(AE37:AE64)</f>
        <v>139.34</v>
      </c>
      <c r="AF65" s="137"/>
      <c r="AG65" s="153">
        <f>SUM(AG37:AG64)</f>
        <v>996.83999999999992</v>
      </c>
      <c r="AH65" s="137"/>
      <c r="AI65" s="153">
        <f>SUM(AI37:AI64)</f>
        <v>4069.86</v>
      </c>
      <c r="AJ65" s="153">
        <f>SUM(AJ37:AJ64)</f>
        <v>2933.68</v>
      </c>
      <c r="AK65" s="153">
        <f>SUM(AK37:AK64)</f>
        <v>1136.1799999999998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13579.12894961681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19010.780529463536</v>
      </c>
      <c r="J70" s="51">
        <f t="shared" ref="J70:J77" si="44">J124*I$83</f>
        <v>19010.780529463536</v>
      </c>
      <c r="K70" s="40">
        <f>B70/B$76</f>
        <v>0.39413487793854846</v>
      </c>
      <c r="L70" s="22">
        <f t="shared" ref="L70:L75" si="45">(L124*G$37*F$9/F$7)/B$130</f>
        <v>0.55178882911396787</v>
      </c>
      <c r="M70" s="24">
        <f>J70/B$76</f>
        <v>0.55178882911396787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4752.6951323658841</v>
      </c>
      <c r="AB70" s="156">
        <f>Poor!AB70</f>
        <v>0.25</v>
      </c>
      <c r="AC70" s="147">
        <f>$J70*AB70</f>
        <v>4752.6951323658841</v>
      </c>
      <c r="AD70" s="156">
        <f>Poor!AD70</f>
        <v>0.25</v>
      </c>
      <c r="AE70" s="147">
        <f>$J70*AD70</f>
        <v>4752.6951323658841</v>
      </c>
      <c r="AF70" s="156">
        <f>Poor!AF70</f>
        <v>0.25</v>
      </c>
      <c r="AG70" s="147">
        <f>$J70*AF70</f>
        <v>4752.6951323658841</v>
      </c>
      <c r="AH70" s="155">
        <f>SUM(Z70,AB70,AD70,AF70)</f>
        <v>1</v>
      </c>
      <c r="AI70" s="147">
        <f>SUM(AA70,AC70,AE70,AG70)</f>
        <v>19010.780529463536</v>
      </c>
      <c r="AJ70" s="148">
        <f>(AA70+AC70)</f>
        <v>9505.3902647317682</v>
      </c>
      <c r="AK70" s="147">
        <f>(AE70+AG70)</f>
        <v>9505.3902647317682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13978.666666666668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15531.339470536464</v>
      </c>
      <c r="J71" s="51">
        <f t="shared" si="44"/>
        <v>15531.339470536464</v>
      </c>
      <c r="K71" s="40">
        <f t="shared" ref="K71:K72" si="47">B71/B$76</f>
        <v>0.40573147960022837</v>
      </c>
      <c r="L71" s="22">
        <f t="shared" si="45"/>
        <v>0.43418800889723574</v>
      </c>
      <c r="M71" s="24">
        <f t="shared" ref="M71:M72" si="48">J71/B$76</f>
        <v>0.45079788321877529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0.80527094882883932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7510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0.21797811511334281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797.5619999999999</v>
      </c>
      <c r="AB73" s="156">
        <f>Poor!AB73</f>
        <v>0.09</v>
      </c>
      <c r="AC73" s="147">
        <f>$H$73*$B$73*AB73</f>
        <v>797.5619999999999</v>
      </c>
      <c r="AD73" s="156">
        <f>Poor!AD73</f>
        <v>0.23</v>
      </c>
      <c r="AE73" s="147">
        <f>$H$73*$B$73*AD73</f>
        <v>2038.2139999999999</v>
      </c>
      <c r="AF73" s="156">
        <f>Poor!AF73</f>
        <v>0.59</v>
      </c>
      <c r="AG73" s="147">
        <f>$H$73*$B$73*AF73</f>
        <v>5228.4619999999995</v>
      </c>
      <c r="AH73" s="155">
        <f>SUM(Z73,AB73,AD73,AF73)</f>
        <v>1</v>
      </c>
      <c r="AI73" s="147">
        <f>SUM(AA73,AC73,AE73,AG73)</f>
        <v>8861.7999999999993</v>
      </c>
      <c r="AJ73" s="148">
        <f>(AA73+AC73)</f>
        <v>1595.1239999999998</v>
      </c>
      <c r="AK73" s="147">
        <f>(AE73+AG73)</f>
        <v>7266.6759999999995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4774.9764373232802</v>
      </c>
      <c r="C74" s="39"/>
      <c r="D74" s="38"/>
      <c r="E74" s="32"/>
      <c r="F74" s="32"/>
      <c r="G74" s="32"/>
      <c r="H74" s="31"/>
      <c r="I74" s="39">
        <f>I128*I$83</f>
        <v>15531.339470536464</v>
      </c>
      <c r="J74" s="51">
        <f t="shared" si="44"/>
        <v>6456.9309926103833</v>
      </c>
      <c r="K74" s="40">
        <f>B74/B$76</f>
        <v>0.13859392323812963</v>
      </c>
      <c r="L74" s="22">
        <f t="shared" si="45"/>
        <v>9.9322138517021819E-2</v>
      </c>
      <c r="M74" s="24">
        <f>J74/B$76</f>
        <v>0.18741273597684913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-1958.3551323658842</v>
      </c>
      <c r="AB74" s="156"/>
      <c r="AC74" s="147">
        <f>AC30*$I$84/4</f>
        <v>-4613.3551323658839</v>
      </c>
      <c r="AD74" s="156"/>
      <c r="AE74" s="147">
        <f>AE30*$I$84/4</f>
        <v>-4613.3551323658839</v>
      </c>
      <c r="AF74" s="156"/>
      <c r="AG74" s="147">
        <f>AG30*$I$84/4</f>
        <v>-3755.8551323658844</v>
      </c>
      <c r="AH74" s="155"/>
      <c r="AI74" s="147">
        <f>SUM(AA74,AC74,AE74,AG74)</f>
        <v>-14940.920529463538</v>
      </c>
      <c r="AJ74" s="148">
        <f>(AA74+AC74)</f>
        <v>-6571.7102647317679</v>
      </c>
      <c r="AK74" s="147">
        <f>(AE74+AG74)</f>
        <v>-8369.2102647317679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34453</v>
      </c>
      <c r="C76" s="39"/>
      <c r="D76" s="38"/>
      <c r="E76" s="32"/>
      <c r="F76" s="32"/>
      <c r="G76" s="32"/>
      <c r="H76" s="31"/>
      <c r="I76" s="39">
        <f>I130*I$83</f>
        <v>34542.120000000003</v>
      </c>
      <c r="J76" s="51">
        <f t="shared" si="44"/>
        <v>34542.120000000003</v>
      </c>
      <c r="K76" s="40">
        <f>SUM(K70:K75)</f>
        <v>1.9617093447190888</v>
      </c>
      <c r="L76" s="22">
        <f>SUM(L70:L75)</f>
        <v>1.0852989765282255</v>
      </c>
      <c r="M76" s="24">
        <f>SUM(M70:M75)</f>
        <v>1.1899994483095924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2794.34</v>
      </c>
      <c r="AB76" s="137"/>
      <c r="AC76" s="153">
        <f>AC65</f>
        <v>139.34</v>
      </c>
      <c r="AD76" s="137"/>
      <c r="AE76" s="153">
        <f>AE65</f>
        <v>139.34</v>
      </c>
      <c r="AF76" s="137"/>
      <c r="AG76" s="153">
        <f>AG65</f>
        <v>996.83999999999992</v>
      </c>
      <c r="AH76" s="137"/>
      <c r="AI76" s="153">
        <f>SUM(AA76,AC76,AE76,AG76)</f>
        <v>4069.8600000000006</v>
      </c>
      <c r="AJ76" s="154">
        <f>SUM(AA76,AC76)</f>
        <v>2933.6800000000003</v>
      </c>
      <c r="AK76" s="154">
        <f>SUM(AE76,AG76)</f>
        <v>1136.1799999999998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16494.826666666664</v>
      </c>
      <c r="J77" s="100">
        <f t="shared" si="44"/>
        <v>7420.4181887405866</v>
      </c>
      <c r="K77" s="40"/>
      <c r="L77" s="22">
        <f>-(L131*G$37*F$9/F$7)/B$130</f>
        <v>-0.47876314592826941</v>
      </c>
      <c r="M77" s="24">
        <f>-J77/B$76</f>
        <v>-0.21537799868634333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4208.2676772902305</v>
      </c>
      <c r="AB77" s="112"/>
      <c r="AC77" s="111">
        <f>AC31*$I$84/4</f>
        <v>9325.6498865377016</v>
      </c>
      <c r="AD77" s="112"/>
      <c r="AE77" s="111">
        <f>AE31*$I$84/4</f>
        <v>9013.2091728953492</v>
      </c>
      <c r="AF77" s="112"/>
      <c r="AG77" s="111">
        <f>AG31*$I$84/4</f>
        <v>7822.4631515537803</v>
      </c>
      <c r="AH77" s="110"/>
      <c r="AI77" s="154">
        <f>SUM(AA77,AC77,AE77,AG77)</f>
        <v>30369.58988827706</v>
      </c>
      <c r="AJ77" s="153">
        <f>SUM(AA77,AC77)</f>
        <v>13533.917563827932</v>
      </c>
      <c r="AK77" s="160">
        <f>SUM(AE77,AG77)</f>
        <v>16835.67232444913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-1958.3551323658839</v>
      </c>
      <c r="AB79" s="112"/>
      <c r="AC79" s="112">
        <f>AA79-AA74+AC65-AC70</f>
        <v>-4613.3551323658839</v>
      </c>
      <c r="AD79" s="112"/>
      <c r="AE79" s="112">
        <f>AC79-AC74+AE65-AE70</f>
        <v>-4613.3551323658839</v>
      </c>
      <c r="AF79" s="112"/>
      <c r="AG79" s="112">
        <f>AE79-AE74+AG65-AG70</f>
        <v>-3755.8551323658839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0.64232512570888012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4.509345794392523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8457.6810244041226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13955.173690266802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7457.7772555371412</v>
      </c>
      <c r="AB83" s="112"/>
      <c r="AC83" s="165">
        <f>$I$84*AB82/4</f>
        <v>7457.7772555371412</v>
      </c>
      <c r="AD83" s="112"/>
      <c r="AE83" s="165">
        <f>$I$84*AD82/4</f>
        <v>7457.7772555371412</v>
      </c>
      <c r="AF83" s="112"/>
      <c r="AG83" s="165">
        <f>$I$84*AF82/4</f>
        <v>7457.7772555371412</v>
      </c>
      <c r="AH83" s="165">
        <f>SUM(AA83,AC83,AE83,AG83)</f>
        <v>29831.109022148565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20136.903793668345</v>
      </c>
      <c r="C84" s="46"/>
      <c r="D84" s="235"/>
      <c r="E84" s="64"/>
      <c r="F84" s="64"/>
      <c r="G84" s="64"/>
      <c r="H84" s="236">
        <f>IF(B84=0,0,I84/B84)</f>
        <v>1.4814148852182714</v>
      </c>
      <c r="I84" s="234">
        <f>(B70*H70)+((1-(D29*H29))*I83)</f>
        <v>29831.109022148565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0.23647143871105117</v>
      </c>
      <c r="C91" s="75">
        <f t="shared" si="50"/>
        <v>0</v>
      </c>
      <c r="D91" s="24">
        <f t="shared" ref="D91" si="51">(B91+C91)</f>
        <v>0.23647143871105117</v>
      </c>
      <c r="H91" s="24">
        <f>(E37*F37/G37*F$7/F$9)</f>
        <v>0.3575757575757576</v>
      </c>
      <c r="I91" s="22">
        <f t="shared" ref="I91" si="52">(D91*H91)</f>
        <v>8.455645384213345E-2</v>
      </c>
      <c r="J91" s="24">
        <f>IF(I$32&lt;=1+I$131,I91,L91+J$33*(I91-L91))</f>
        <v>8.455645384213345E-2</v>
      </c>
      <c r="K91" s="22">
        <f t="shared" ref="K91" si="53">(B91)</f>
        <v>0.23647143871105117</v>
      </c>
      <c r="L91" s="22">
        <f t="shared" ref="L91" si="54">(K91*H91)</f>
        <v>8.455645384213345E-2</v>
      </c>
      <c r="M91" s="227">
        <f t="shared" si="49"/>
        <v>8.455645384213345E-2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0.17735357903328838</v>
      </c>
      <c r="C92" s="75">
        <f t="shared" si="50"/>
        <v>0.11823571935552558</v>
      </c>
      <c r="D92" s="24">
        <f t="shared" ref="D92:D118" si="56">(B92+C92)</f>
        <v>0.29558929838881398</v>
      </c>
      <c r="H92" s="24">
        <f t="shared" ref="H92:H118" si="57">(E38*F38/G38*F$7/F$9)</f>
        <v>0.3575757575757576</v>
      </c>
      <c r="I92" s="22">
        <f t="shared" ref="I92:I118" si="58">(D92*H92)</f>
        <v>0.10569556730266683</v>
      </c>
      <c r="J92" s="24">
        <f t="shared" ref="J92:J118" si="59">IF(I$32&lt;=1+I$131,I92,L92+J$33*(I92-L92))</f>
        <v>0.10569556730266683</v>
      </c>
      <c r="K92" s="22">
        <f t="shared" ref="K92:K118" si="60">(B92)</f>
        <v>0.17735357903328838</v>
      </c>
      <c r="L92" s="22">
        <f t="shared" ref="L92:L118" si="61">(K92*H92)</f>
        <v>6.3417340381600087E-2</v>
      </c>
      <c r="M92" s="227">
        <f t="shared" ref="M92:M118" si="62">(J92)</f>
        <v>0.10569556730266683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0.7151515151515152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7">
        <f t="shared" si="6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5.9117859677762792E-2</v>
      </c>
      <c r="C94" s="75">
        <f t="shared" si="50"/>
        <v>-5.9117859677762792E-2</v>
      </c>
      <c r="D94" s="24">
        <f t="shared" si="56"/>
        <v>0</v>
      </c>
      <c r="H94" s="24">
        <f t="shared" si="57"/>
        <v>0.25454545454545457</v>
      </c>
      <c r="I94" s="22">
        <f t="shared" si="58"/>
        <v>0</v>
      </c>
      <c r="J94" s="24">
        <f t="shared" si="59"/>
        <v>0</v>
      </c>
      <c r="K94" s="22">
        <f t="shared" si="60"/>
        <v>5.9117859677762792E-2</v>
      </c>
      <c r="L94" s="22">
        <f t="shared" si="61"/>
        <v>1.504818246343053E-2</v>
      </c>
      <c r="M94" s="227">
        <f t="shared" si="62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si="50"/>
        <v>0.14779464919440699</v>
      </c>
      <c r="C95" s="75">
        <f t="shared" si="50"/>
        <v>0.21430224133189013</v>
      </c>
      <c r="D95" s="24">
        <f t="shared" si="56"/>
        <v>0.36209689052629712</v>
      </c>
      <c r="H95" s="24">
        <f t="shared" si="57"/>
        <v>0.16969696969696968</v>
      </c>
      <c r="I95" s="22">
        <f t="shared" si="58"/>
        <v>6.144674505900799E-2</v>
      </c>
      <c r="J95" s="24">
        <f t="shared" si="59"/>
        <v>6.144674505900799E-2</v>
      </c>
      <c r="K95" s="22">
        <f t="shared" si="60"/>
        <v>0.14779464919440699</v>
      </c>
      <c r="L95" s="22">
        <f t="shared" si="61"/>
        <v>2.5080304105717547E-2</v>
      </c>
      <c r="M95" s="227">
        <f t="shared" si="62"/>
        <v>6.144674505900799E-2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Water melon: no. local meas (Bhece)</v>
      </c>
      <c r="B96" s="75">
        <f t="shared" si="50"/>
        <v>1.1705336216197033E-2</v>
      </c>
      <c r="C96" s="75">
        <f t="shared" si="50"/>
        <v>-1.1705336216197033E-2</v>
      </c>
      <c r="D96" s="24">
        <f t="shared" si="56"/>
        <v>0</v>
      </c>
      <c r="H96" s="24">
        <f t="shared" si="57"/>
        <v>0.16969696969696968</v>
      </c>
      <c r="I96" s="22">
        <f t="shared" si="58"/>
        <v>0</v>
      </c>
      <c r="J96" s="24">
        <f t="shared" si="59"/>
        <v>0</v>
      </c>
      <c r="K96" s="22">
        <f t="shared" si="60"/>
        <v>1.1705336216197033E-2</v>
      </c>
      <c r="L96" s="22">
        <f t="shared" si="61"/>
        <v>1.9863600851728297E-3</v>
      </c>
      <c r="M96" s="227">
        <f t="shared" si="6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Sweet poatato: no. local meas</v>
      </c>
      <c r="B97" s="75">
        <f t="shared" si="50"/>
        <v>2.9558929838881396E-2</v>
      </c>
      <c r="C97" s="75">
        <f t="shared" si="50"/>
        <v>-2.9558929838881396E-2</v>
      </c>
      <c r="D97" s="24">
        <f t="shared" si="56"/>
        <v>0</v>
      </c>
      <c r="H97" s="24">
        <f t="shared" si="57"/>
        <v>0.16969696969696968</v>
      </c>
      <c r="I97" s="22">
        <f t="shared" si="58"/>
        <v>0</v>
      </c>
      <c r="J97" s="24">
        <f t="shared" si="59"/>
        <v>0</v>
      </c>
      <c r="K97" s="22">
        <f t="shared" si="60"/>
        <v>2.9558929838881396E-2</v>
      </c>
      <c r="L97" s="22">
        <f t="shared" si="61"/>
        <v>5.0160608211435092E-3</v>
      </c>
      <c r="M97" s="227">
        <f t="shared" si="6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Groundnuts (dry): no. local meas</v>
      </c>
      <c r="B98" s="75">
        <f t="shared" si="50"/>
        <v>2.9558929838881396E-2</v>
      </c>
      <c r="C98" s="75">
        <f t="shared" si="50"/>
        <v>-2.9558929838881396E-2</v>
      </c>
      <c r="D98" s="24">
        <f t="shared" si="56"/>
        <v>0</v>
      </c>
      <c r="H98" s="24">
        <f t="shared" si="57"/>
        <v>0.16969696969696968</v>
      </c>
      <c r="I98" s="22">
        <f t="shared" si="58"/>
        <v>0</v>
      </c>
      <c r="J98" s="24">
        <f t="shared" si="59"/>
        <v>0</v>
      </c>
      <c r="K98" s="22">
        <f t="shared" si="60"/>
        <v>2.9558929838881396E-2</v>
      </c>
      <c r="L98" s="22">
        <f t="shared" si="61"/>
        <v>5.0160608211435092E-3</v>
      </c>
      <c r="M98" s="227">
        <f t="shared" si="6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Irish potato: type</v>
      </c>
      <c r="B99" s="75">
        <f t="shared" si="50"/>
        <v>9.1277975342465748E-2</v>
      </c>
      <c r="C99" s="75">
        <f t="shared" si="50"/>
        <v>-9.1277975342465748E-2</v>
      </c>
      <c r="D99" s="24">
        <f t="shared" si="56"/>
        <v>0</v>
      </c>
      <c r="H99" s="24">
        <f t="shared" si="57"/>
        <v>0.16969696969696968</v>
      </c>
      <c r="I99" s="22">
        <f t="shared" si="58"/>
        <v>0</v>
      </c>
      <c r="J99" s="24">
        <f t="shared" si="59"/>
        <v>0</v>
      </c>
      <c r="K99" s="22">
        <f t="shared" si="60"/>
        <v>9.1277975342465748E-2</v>
      </c>
      <c r="L99" s="22">
        <f t="shared" si="61"/>
        <v>1.5489595815691155E-2</v>
      </c>
      <c r="M99" s="227">
        <f t="shared" si="6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Yam: type</v>
      </c>
      <c r="B100" s="75">
        <f t="shared" si="50"/>
        <v>4.7294287742210235E-2</v>
      </c>
      <c r="C100" s="75">
        <f t="shared" si="50"/>
        <v>0</v>
      </c>
      <c r="D100" s="24">
        <f t="shared" si="56"/>
        <v>4.7294287742210235E-2</v>
      </c>
      <c r="H100" s="24">
        <f t="shared" si="57"/>
        <v>0.16969696969696968</v>
      </c>
      <c r="I100" s="22">
        <f t="shared" si="58"/>
        <v>8.0256973138296151E-3</v>
      </c>
      <c r="J100" s="24">
        <f t="shared" si="59"/>
        <v>8.0256973138296151E-3</v>
      </c>
      <c r="K100" s="22">
        <f t="shared" si="60"/>
        <v>4.7294287742210235E-2</v>
      </c>
      <c r="L100" s="22">
        <f t="shared" si="61"/>
        <v>8.0256973138296151E-3</v>
      </c>
      <c r="M100" s="227">
        <f t="shared" si="62"/>
        <v>8.0256973138296151E-3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Spinach (cash): kg produced</v>
      </c>
      <c r="B101" s="75">
        <f t="shared" si="50"/>
        <v>1.1823571935552559E-2</v>
      </c>
      <c r="C101" s="75">
        <f t="shared" si="50"/>
        <v>0</v>
      </c>
      <c r="D101" s="24">
        <f t="shared" si="56"/>
        <v>1.1823571935552559E-2</v>
      </c>
      <c r="H101" s="24">
        <f t="shared" si="57"/>
        <v>0.16969696969696968</v>
      </c>
      <c r="I101" s="22">
        <f t="shared" si="58"/>
        <v>2.0064243284574038E-3</v>
      </c>
      <c r="J101" s="24">
        <f t="shared" si="59"/>
        <v>2.0064243284574038E-3</v>
      </c>
      <c r="K101" s="22">
        <f t="shared" si="60"/>
        <v>1.1823571935552559E-2</v>
      </c>
      <c r="L101" s="22">
        <f t="shared" si="61"/>
        <v>2.0064243284574038E-3</v>
      </c>
      <c r="M101" s="227">
        <f t="shared" si="62"/>
        <v>2.0064243284574038E-3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Tomatoes (cash): kg produced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0.16969696969696968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Cabbage (cash): kg produced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0.16969696969696968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Agricultural cash income -- see Data2</v>
      </c>
      <c r="B104" s="75">
        <f t="shared" si="50"/>
        <v>8.8913260955355247E-2</v>
      </c>
      <c r="C104" s="75">
        <f t="shared" si="50"/>
        <v>0</v>
      </c>
      <c r="D104" s="24">
        <f t="shared" si="56"/>
        <v>8.8913260955355247E-2</v>
      </c>
      <c r="H104" s="24">
        <f t="shared" si="57"/>
        <v>0.33636363636363642</v>
      </c>
      <c r="I104" s="22">
        <f t="shared" si="58"/>
        <v>2.9907187775892224E-2</v>
      </c>
      <c r="J104" s="24">
        <f t="shared" si="59"/>
        <v>2.9907187775892224E-2</v>
      </c>
      <c r="K104" s="22">
        <f t="shared" si="60"/>
        <v>8.8913260955355247E-2</v>
      </c>
      <c r="L104" s="22">
        <f t="shared" si="61"/>
        <v>2.9907187775892224E-2</v>
      </c>
      <c r="M104" s="227">
        <f t="shared" si="62"/>
        <v>2.9907187775892224E-2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Labour migration(formal employment): no. people per HH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0.28606060606060607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Formal Employment (conservancies, etc.)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0.42909090909090908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Self-employment -- see Data2</v>
      </c>
      <c r="B107" s="75">
        <f t="shared" si="50"/>
        <v>5.0723123603520479E-2</v>
      </c>
      <c r="C107" s="75">
        <f t="shared" si="50"/>
        <v>1.014462472070409E-2</v>
      </c>
      <c r="D107" s="24">
        <f t="shared" si="56"/>
        <v>6.086774832422457E-2</v>
      </c>
      <c r="H107" s="24">
        <f t="shared" si="57"/>
        <v>0.48484848484848486</v>
      </c>
      <c r="I107" s="22">
        <f t="shared" si="58"/>
        <v>2.9511635551139188E-2</v>
      </c>
      <c r="J107" s="24">
        <f t="shared" si="59"/>
        <v>2.9511635551139188E-2</v>
      </c>
      <c r="K107" s="22">
        <f t="shared" si="60"/>
        <v>5.0723123603520479E-2</v>
      </c>
      <c r="L107" s="22">
        <f t="shared" si="61"/>
        <v>2.4593029625949323E-2</v>
      </c>
      <c r="M107" s="227">
        <f t="shared" si="62"/>
        <v>2.9511635551139188E-2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Small business -- see Data2</v>
      </c>
      <c r="B108" s="75">
        <f t="shared" si="50"/>
        <v>0.25538915380793525</v>
      </c>
      <c r="C108" s="75">
        <f t="shared" si="50"/>
        <v>0</v>
      </c>
      <c r="D108" s="24">
        <f t="shared" si="56"/>
        <v>0.25538915380793525</v>
      </c>
      <c r="H108" s="24">
        <f t="shared" si="57"/>
        <v>0.57212121212121214</v>
      </c>
      <c r="I108" s="22">
        <f t="shared" si="58"/>
        <v>0.14611355223920661</v>
      </c>
      <c r="J108" s="24">
        <f t="shared" si="59"/>
        <v>0.14611355223920661</v>
      </c>
      <c r="K108" s="22">
        <f t="shared" si="60"/>
        <v>0.25538915380793525</v>
      </c>
      <c r="L108" s="22">
        <f t="shared" si="61"/>
        <v>0.14611355223920661</v>
      </c>
      <c r="M108" s="227">
        <f t="shared" si="62"/>
        <v>0.14611355223920661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Social development -- see Data2</v>
      </c>
      <c r="B109" s="75">
        <f t="shared" si="50"/>
        <v>2.6035505402086736</v>
      </c>
      <c r="C109" s="75">
        <f t="shared" si="50"/>
        <v>0</v>
      </c>
      <c r="D109" s="24">
        <f t="shared" si="56"/>
        <v>2.6035505402086736</v>
      </c>
      <c r="H109" s="24">
        <f t="shared" si="57"/>
        <v>0.7151515151515152</v>
      </c>
      <c r="I109" s="22">
        <f t="shared" si="58"/>
        <v>1.8619331136037789</v>
      </c>
      <c r="J109" s="24">
        <f t="shared" si="59"/>
        <v>1.8619331136037789</v>
      </c>
      <c r="K109" s="22">
        <f t="shared" si="60"/>
        <v>2.6035505402086736</v>
      </c>
      <c r="L109" s="22">
        <f t="shared" si="61"/>
        <v>1.8619331136037789</v>
      </c>
      <c r="M109" s="227">
        <f t="shared" si="62"/>
        <v>1.8619331136037789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Public works -- see Data2</v>
      </c>
      <c r="B110" s="75">
        <f t="shared" si="50"/>
        <v>4.3865451880899992E-2</v>
      </c>
      <c r="C110" s="75">
        <f t="shared" si="50"/>
        <v>0</v>
      </c>
      <c r="D110" s="24">
        <f t="shared" si="56"/>
        <v>4.3865451880899992E-2</v>
      </c>
      <c r="H110" s="24">
        <f t="shared" si="57"/>
        <v>0.7151515151515152</v>
      </c>
      <c r="I110" s="22">
        <f t="shared" si="58"/>
        <v>3.137044437543151E-2</v>
      </c>
      <c r="J110" s="24">
        <f t="shared" si="59"/>
        <v>3.137044437543151E-2</v>
      </c>
      <c r="K110" s="22">
        <f t="shared" si="60"/>
        <v>4.3865451880899992E-2</v>
      </c>
      <c r="L110" s="22">
        <f t="shared" si="61"/>
        <v>3.137044437543151E-2</v>
      </c>
      <c r="M110" s="227">
        <f t="shared" si="62"/>
        <v>3.137044437543151E-2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Other income: e.g. Credit (cotton loans)</v>
      </c>
      <c r="B111" s="75">
        <f t="shared" si="50"/>
        <v>0.18917715096884094</v>
      </c>
      <c r="C111" s="75">
        <f t="shared" si="50"/>
        <v>0</v>
      </c>
      <c r="D111" s="24">
        <f t="shared" si="56"/>
        <v>0.18917715096884094</v>
      </c>
      <c r="H111" s="24">
        <f t="shared" si="57"/>
        <v>0.60606060606060608</v>
      </c>
      <c r="I111" s="22">
        <f t="shared" si="58"/>
        <v>0.11465281876899451</v>
      </c>
      <c r="J111" s="24">
        <f t="shared" si="59"/>
        <v>0.11465281876899451</v>
      </c>
      <c r="K111" s="22">
        <f t="shared" si="60"/>
        <v>0.18917715096884094</v>
      </c>
      <c r="L111" s="22">
        <f t="shared" si="61"/>
        <v>0.11465281876899451</v>
      </c>
      <c r="M111" s="227">
        <f t="shared" si="62"/>
        <v>0.11465281876899451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4.0735752389559234</v>
      </c>
      <c r="C119" s="22">
        <f>SUM(C91:C118)</f>
        <v>0.12146355449393145</v>
      </c>
      <c r="D119" s="24">
        <f>SUM(D91:D118)</f>
        <v>4.1950387934498545</v>
      </c>
      <c r="E119" s="22"/>
      <c r="F119" s="2"/>
      <c r="G119" s="2"/>
      <c r="H119" s="31"/>
      <c r="I119" s="22">
        <f>SUM(I91:I118)</f>
        <v>2.475219640160538</v>
      </c>
      <c r="J119" s="24">
        <f>SUM(J91:J118)</f>
        <v>2.475219640160538</v>
      </c>
      <c r="K119" s="22">
        <f>SUM(K91:K118)</f>
        <v>4.0735752389559234</v>
      </c>
      <c r="L119" s="22">
        <f>SUM(L91:L118)</f>
        <v>2.4342126263675725</v>
      </c>
      <c r="M119" s="57">
        <f t="shared" si="49"/>
        <v>2.475219640160538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1.6055380795793861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1.3622747341885701</v>
      </c>
      <c r="J124" s="237">
        <f>IF(SUMPRODUCT($B$124:$B124,$H$124:$H124)&lt;J$119,($B124*$H124),J$119)</f>
        <v>1.3622747341885701</v>
      </c>
      <c r="K124" s="22">
        <f>(B124)</f>
        <v>1.6055380795793861</v>
      </c>
      <c r="L124" s="29">
        <f>IF(SUMPRODUCT($B$124:$B124,$H$124:$H124)&lt;L$119,($B124*$H124),L$119)</f>
        <v>1.3622747341885701</v>
      </c>
      <c r="M124" s="57">
        <f t="shared" si="63"/>
        <v>1.3622747341885701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1.6527777089644404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1.1129449059719678</v>
      </c>
      <c r="J125" s="237">
        <f>IF(SUMPRODUCT($B$124:$B125,$H$124:$H125)&lt;J$119,($B125*$H125),IF(SUMPRODUCT($B$124:$B124,$H$124:$H124)&lt;J$119,J$119-SUMPRODUCT($B$124:$B124,$H$124:$H124),0))</f>
        <v>1.1129449059719678</v>
      </c>
      <c r="K125" s="22">
        <f t="shared" ref="K125:K126" si="64">(B125)</f>
        <v>1.6527777089644404</v>
      </c>
      <c r="L125" s="29">
        <f>IF(SUMPRODUCT($B$124:$B125,$H$124:$H125)&lt;L$119,($B125*$H125),IF(SUMPRODUCT($B$124:$B124,$H$124:$H124)&lt;L$119,L$119-SUMPRODUCT($B$124:$B124,$H$124:$H124),0))</f>
        <v>1.0719378921790024</v>
      </c>
      <c r="M125" s="57">
        <f t="shared" ref="M125:M126" si="65">(J125)</f>
        <v>1.1129449059719678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3.2803317977997017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64"/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57">
        <f t="shared" si="65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0.88795025235999714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0.88795025235999714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0.56457277397260275</v>
      </c>
      <c r="C128" s="2"/>
      <c r="D128" s="31"/>
      <c r="E128" s="2"/>
      <c r="F128" s="2"/>
      <c r="G128" s="2"/>
      <c r="H128" s="24"/>
      <c r="I128" s="29">
        <f>(I30)</f>
        <v>1.1129449059719678</v>
      </c>
      <c r="J128" s="228">
        <f>(J30)</f>
        <v>0.46269083681228884</v>
      </c>
      <c r="K128" s="22">
        <f>(B128)</f>
        <v>0.56457277397260275</v>
      </c>
      <c r="L128" s="22">
        <f>IF(L124=L119,0,(L119-L124)/(B119-B124)*K128)</f>
        <v>0.24520982069278213</v>
      </c>
      <c r="M128" s="57">
        <f t="shared" si="63"/>
        <v>0.46269083681228884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4.0735752389559234</v>
      </c>
      <c r="C130" s="2"/>
      <c r="D130" s="31"/>
      <c r="E130" s="2"/>
      <c r="F130" s="2"/>
      <c r="G130" s="2"/>
      <c r="H130" s="24"/>
      <c r="I130" s="29">
        <f>(I119)</f>
        <v>2.475219640160538</v>
      </c>
      <c r="J130" s="228">
        <f>(J119)</f>
        <v>2.475219640160538</v>
      </c>
      <c r="K130" s="22">
        <f>(B130)</f>
        <v>4.0735752389559234</v>
      </c>
      <c r="L130" s="22">
        <f>(L119)</f>
        <v>2.4342126263675725</v>
      </c>
      <c r="M130" s="57">
        <f t="shared" si="63"/>
        <v>2.475219640160538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1.1819864827745694</v>
      </c>
      <c r="J131" s="237">
        <f>IF(SUMPRODUCT($B124:$B125,$H124:$H125)&gt;(J119-J128),SUMPRODUCT($B124:$B125,$H124:$H125)+J128-J119,0)</f>
        <v>0.53173241361489065</v>
      </c>
      <c r="K131" s="29"/>
      <c r="L131" s="29">
        <f>IF(I131&lt;SUM(L126:L127),0,I131-(SUM(L126:L127)))</f>
        <v>1.1819864827745694</v>
      </c>
      <c r="M131" s="237">
        <f>IF(I131&lt;SUM(M126:M127),0,I131-(SUM(M126:M127)))</f>
        <v>1.1819864827745694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97" priority="116" operator="equal">
      <formula>16</formula>
    </cfRule>
    <cfRule type="cellIs" dxfId="196" priority="117" operator="equal">
      <formula>15</formula>
    </cfRule>
    <cfRule type="cellIs" dxfId="195" priority="118" operator="equal">
      <formula>14</formula>
    </cfRule>
    <cfRule type="cellIs" dxfId="194" priority="119" operator="equal">
      <formula>13</formula>
    </cfRule>
    <cfRule type="cellIs" dxfId="193" priority="120" operator="equal">
      <formula>12</formula>
    </cfRule>
    <cfRule type="cellIs" dxfId="192" priority="121" operator="equal">
      <formula>11</formula>
    </cfRule>
    <cfRule type="cellIs" dxfId="191" priority="122" operator="equal">
      <formula>10</formula>
    </cfRule>
    <cfRule type="cellIs" dxfId="190" priority="123" operator="equal">
      <formula>9</formula>
    </cfRule>
    <cfRule type="cellIs" dxfId="189" priority="124" operator="equal">
      <formula>8</formula>
    </cfRule>
    <cfRule type="cellIs" dxfId="188" priority="125" operator="equal">
      <formula>7</formula>
    </cfRule>
    <cfRule type="cellIs" dxfId="187" priority="126" operator="equal">
      <formula>6</formula>
    </cfRule>
    <cfRule type="cellIs" dxfId="186" priority="127" operator="equal">
      <formula>5</formula>
    </cfRule>
    <cfRule type="cellIs" dxfId="185" priority="128" operator="equal">
      <formula>4</formula>
    </cfRule>
    <cfRule type="cellIs" dxfId="184" priority="129" operator="equal">
      <formula>3</formula>
    </cfRule>
    <cfRule type="cellIs" dxfId="183" priority="130" operator="equal">
      <formula>2</formula>
    </cfRule>
    <cfRule type="cellIs" dxfId="182" priority="131" operator="equal">
      <formula>1</formula>
    </cfRule>
  </conditionalFormatting>
  <conditionalFormatting sqref="N29">
    <cfRule type="cellIs" dxfId="181" priority="100" operator="equal">
      <formula>16</formula>
    </cfRule>
    <cfRule type="cellIs" dxfId="180" priority="101" operator="equal">
      <formula>15</formula>
    </cfRule>
    <cfRule type="cellIs" dxfId="179" priority="102" operator="equal">
      <formula>14</formula>
    </cfRule>
    <cfRule type="cellIs" dxfId="178" priority="103" operator="equal">
      <formula>13</formula>
    </cfRule>
    <cfRule type="cellIs" dxfId="177" priority="104" operator="equal">
      <formula>12</formula>
    </cfRule>
    <cfRule type="cellIs" dxfId="176" priority="105" operator="equal">
      <formula>11</formula>
    </cfRule>
    <cfRule type="cellIs" dxfId="175" priority="106" operator="equal">
      <formula>10</formula>
    </cfRule>
    <cfRule type="cellIs" dxfId="174" priority="107" operator="equal">
      <formula>9</formula>
    </cfRule>
    <cfRule type="cellIs" dxfId="173" priority="108" operator="equal">
      <formula>8</formula>
    </cfRule>
    <cfRule type="cellIs" dxfId="172" priority="109" operator="equal">
      <formula>7</formula>
    </cfRule>
    <cfRule type="cellIs" dxfId="171" priority="110" operator="equal">
      <formula>6</formula>
    </cfRule>
    <cfRule type="cellIs" dxfId="170" priority="111" operator="equal">
      <formula>5</formula>
    </cfRule>
    <cfRule type="cellIs" dxfId="169" priority="112" operator="equal">
      <formula>4</formula>
    </cfRule>
    <cfRule type="cellIs" dxfId="168" priority="113" operator="equal">
      <formula>3</formula>
    </cfRule>
    <cfRule type="cellIs" dxfId="167" priority="114" operator="equal">
      <formula>2</formula>
    </cfRule>
    <cfRule type="cellIs" dxfId="166" priority="115" operator="equal">
      <formula>1</formula>
    </cfRule>
  </conditionalFormatting>
  <conditionalFormatting sqref="N113:N118">
    <cfRule type="cellIs" dxfId="165" priority="52" operator="equal">
      <formula>16</formula>
    </cfRule>
    <cfRule type="cellIs" dxfId="164" priority="53" operator="equal">
      <formula>15</formula>
    </cfRule>
    <cfRule type="cellIs" dxfId="163" priority="54" operator="equal">
      <formula>14</formula>
    </cfRule>
    <cfRule type="cellIs" dxfId="162" priority="55" operator="equal">
      <formula>13</formula>
    </cfRule>
    <cfRule type="cellIs" dxfId="161" priority="56" operator="equal">
      <formula>12</formula>
    </cfRule>
    <cfRule type="cellIs" dxfId="160" priority="57" operator="equal">
      <formula>11</formula>
    </cfRule>
    <cfRule type="cellIs" dxfId="159" priority="58" operator="equal">
      <formula>10</formula>
    </cfRule>
    <cfRule type="cellIs" dxfId="158" priority="59" operator="equal">
      <formula>9</formula>
    </cfRule>
    <cfRule type="cellIs" dxfId="157" priority="60" operator="equal">
      <formula>8</formula>
    </cfRule>
    <cfRule type="cellIs" dxfId="156" priority="61" operator="equal">
      <formula>7</formula>
    </cfRule>
    <cfRule type="cellIs" dxfId="155" priority="62" operator="equal">
      <formula>6</formula>
    </cfRule>
    <cfRule type="cellIs" dxfId="154" priority="63" operator="equal">
      <formula>5</formula>
    </cfRule>
    <cfRule type="cellIs" dxfId="153" priority="64" operator="equal">
      <formula>4</formula>
    </cfRule>
    <cfRule type="cellIs" dxfId="152" priority="65" operator="equal">
      <formula>3</formula>
    </cfRule>
    <cfRule type="cellIs" dxfId="151" priority="66" operator="equal">
      <formula>2</formula>
    </cfRule>
    <cfRule type="cellIs" dxfId="150" priority="67" operator="equal">
      <formula>1</formula>
    </cfRule>
  </conditionalFormatting>
  <conditionalFormatting sqref="N6:N28">
    <cfRule type="cellIs" dxfId="149" priority="36" operator="equal">
      <formula>16</formula>
    </cfRule>
    <cfRule type="cellIs" dxfId="148" priority="37" operator="equal">
      <formula>15</formula>
    </cfRule>
    <cfRule type="cellIs" dxfId="147" priority="38" operator="equal">
      <formula>14</formula>
    </cfRule>
    <cfRule type="cellIs" dxfId="146" priority="39" operator="equal">
      <formula>13</formula>
    </cfRule>
    <cfRule type="cellIs" dxfId="145" priority="40" operator="equal">
      <formula>12</formula>
    </cfRule>
    <cfRule type="cellIs" dxfId="144" priority="41" operator="equal">
      <formula>11</formula>
    </cfRule>
    <cfRule type="cellIs" dxfId="143" priority="42" operator="equal">
      <formula>10</formula>
    </cfRule>
    <cfRule type="cellIs" dxfId="142" priority="43" operator="equal">
      <formula>9</formula>
    </cfRule>
    <cfRule type="cellIs" dxfId="141" priority="44" operator="equal">
      <formula>8</formula>
    </cfRule>
    <cfRule type="cellIs" dxfId="140" priority="45" operator="equal">
      <formula>7</formula>
    </cfRule>
    <cfRule type="cellIs" dxfId="139" priority="46" operator="equal">
      <formula>6</formula>
    </cfRule>
    <cfRule type="cellIs" dxfId="138" priority="47" operator="equal">
      <formula>5</formula>
    </cfRule>
    <cfRule type="cellIs" dxfId="137" priority="48" operator="equal">
      <formula>4</formula>
    </cfRule>
    <cfRule type="cellIs" dxfId="136" priority="49" operator="equal">
      <formula>3</formula>
    </cfRule>
    <cfRule type="cellIs" dxfId="135" priority="50" operator="equal">
      <formula>2</formula>
    </cfRule>
    <cfRule type="cellIs" dxfId="134" priority="51" operator="equal">
      <formula>1</formula>
    </cfRule>
  </conditionalFormatting>
  <conditionalFormatting sqref="N91:N109">
    <cfRule type="cellIs" dxfId="133" priority="20" operator="equal">
      <formula>16</formula>
    </cfRule>
    <cfRule type="cellIs" dxfId="132" priority="21" operator="equal">
      <formula>15</formula>
    </cfRule>
    <cfRule type="cellIs" dxfId="131" priority="22" operator="equal">
      <formula>14</formula>
    </cfRule>
    <cfRule type="cellIs" dxfId="130" priority="23" operator="equal">
      <formula>13</formula>
    </cfRule>
    <cfRule type="cellIs" dxfId="129" priority="24" operator="equal">
      <formula>12</formula>
    </cfRule>
    <cfRule type="cellIs" dxfId="128" priority="25" operator="equal">
      <formula>11</formula>
    </cfRule>
    <cfRule type="cellIs" dxfId="127" priority="26" operator="equal">
      <formula>10</formula>
    </cfRule>
    <cfRule type="cellIs" dxfId="126" priority="27" operator="equal">
      <formula>9</formula>
    </cfRule>
    <cfRule type="cellIs" dxfId="125" priority="28" operator="equal">
      <formula>8</formula>
    </cfRule>
    <cfRule type="cellIs" dxfId="124" priority="29" operator="equal">
      <formula>7</formula>
    </cfRule>
    <cfRule type="cellIs" dxfId="123" priority="30" operator="equal">
      <formula>6</formula>
    </cfRule>
    <cfRule type="cellIs" dxfId="122" priority="31" operator="equal">
      <formula>5</formula>
    </cfRule>
    <cfRule type="cellIs" dxfId="121" priority="32" operator="equal">
      <formula>4</formula>
    </cfRule>
    <cfRule type="cellIs" dxfId="120" priority="33" operator="equal">
      <formula>3</formula>
    </cfRule>
    <cfRule type="cellIs" dxfId="119" priority="34" operator="equal">
      <formula>2</formula>
    </cfRule>
    <cfRule type="cellIs" dxfId="118" priority="35" operator="equal">
      <formula>1</formula>
    </cfRule>
  </conditionalFormatting>
  <conditionalFormatting sqref="N110:N112">
    <cfRule type="cellIs" dxfId="117" priority="4" operator="equal">
      <formula>16</formula>
    </cfRule>
    <cfRule type="cellIs" dxfId="116" priority="5" operator="equal">
      <formula>15</formula>
    </cfRule>
    <cfRule type="cellIs" dxfId="115" priority="6" operator="equal">
      <formula>14</formula>
    </cfRule>
    <cfRule type="cellIs" dxfId="114" priority="7" operator="equal">
      <formula>13</formula>
    </cfRule>
    <cfRule type="cellIs" dxfId="113" priority="8" operator="equal">
      <formula>12</formula>
    </cfRule>
    <cfRule type="cellIs" dxfId="112" priority="9" operator="equal">
      <formula>11</formula>
    </cfRule>
    <cfRule type="cellIs" dxfId="111" priority="10" operator="equal">
      <formula>10</formula>
    </cfRule>
    <cfRule type="cellIs" dxfId="110" priority="11" operator="equal">
      <formula>9</formula>
    </cfRule>
    <cfRule type="cellIs" dxfId="109" priority="12" operator="equal">
      <formula>8</formula>
    </cfRule>
    <cfRule type="cellIs" dxfId="108" priority="13" operator="equal">
      <formula>7</formula>
    </cfRule>
    <cfRule type="cellIs" dxfId="107" priority="14" operator="equal">
      <formula>6</formula>
    </cfRule>
    <cfRule type="cellIs" dxfId="106" priority="15" operator="equal">
      <formula>5</formula>
    </cfRule>
    <cfRule type="cellIs" dxfId="105" priority="16" operator="equal">
      <formula>4</formula>
    </cfRule>
    <cfRule type="cellIs" dxfId="104" priority="17" operator="equal">
      <formula>3</formula>
    </cfRule>
    <cfRule type="cellIs" dxfId="103" priority="18" operator="equal">
      <formula>2</formula>
    </cfRule>
    <cfRule type="cellIs" dxfId="102" priority="19" operator="equal">
      <formula>1</formula>
    </cfRule>
  </conditionalFormatting>
  <conditionalFormatting sqref="R31:T31">
    <cfRule type="cellIs" dxfId="101" priority="3" operator="greaterThan">
      <formula>0</formula>
    </cfRule>
  </conditionalFormatting>
  <conditionalFormatting sqref="R32:T32">
    <cfRule type="cellIs" dxfId="100" priority="2" operator="greaterThan">
      <formula>0</formula>
    </cfRule>
  </conditionalFormatting>
  <conditionalFormatting sqref="R30:T30">
    <cfRule type="cellIs" dxfId="9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ZACNI: 59106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8.5476684654766849E-2</v>
      </c>
      <c r="C6" s="102">
        <f>IF([1]Summ!$K1044="",0,[1]Summ!$K1044)</f>
        <v>0</v>
      </c>
      <c r="D6" s="24">
        <f t="shared" ref="D6:D29" si="0">(B6+C6)</f>
        <v>8.5476684654766849E-2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1.7095336930953369E-2</v>
      </c>
      <c r="J6" s="24">
        <f t="shared" ref="J6:J13" si="3">IF(I$32&lt;=1+I$131,I6,B6*H6+J$33*(I6-B6*H6))</f>
        <v>1.7095336930953369E-2</v>
      </c>
      <c r="K6" s="22">
        <f t="shared" ref="K6:K31" si="4">B6</f>
        <v>8.5476684654766849E-2</v>
      </c>
      <c r="L6" s="22">
        <f t="shared" ref="L6:L29" si="5">IF(K6="","",K6*H6)</f>
        <v>1.7095336930953369E-2</v>
      </c>
      <c r="M6" s="177">
        <f t="shared" ref="M6:M31" si="6">J6</f>
        <v>1.7095336930953369E-2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6.8381347723813476E-2</v>
      </c>
      <c r="Z6" s="156">
        <f>Poor!Z6</f>
        <v>0.17</v>
      </c>
      <c r="AA6" s="121">
        <f>$M6*Z6*4</f>
        <v>1.1624829113048293E-2</v>
      </c>
      <c r="AB6" s="156">
        <f>Poor!AB6</f>
        <v>0.17</v>
      </c>
      <c r="AC6" s="121">
        <f t="shared" ref="AC6:AC29" si="7">$M6*AB6*4</f>
        <v>1.1624829113048293E-2</v>
      </c>
      <c r="AD6" s="156">
        <f>Poor!AD6</f>
        <v>0.33</v>
      </c>
      <c r="AE6" s="121">
        <f t="shared" ref="AE6:AE29" si="8">$M6*AD6*4</f>
        <v>2.2565844748858449E-2</v>
      </c>
      <c r="AF6" s="122">
        <f>1-SUM(Z6,AB6,AD6)</f>
        <v>0.32999999999999996</v>
      </c>
      <c r="AG6" s="121">
        <f>$M6*AF6*4</f>
        <v>2.2565844748858446E-2</v>
      </c>
      <c r="AH6" s="123">
        <f>SUM(Z6,AB6,AD6,AF6)</f>
        <v>1</v>
      </c>
      <c r="AI6" s="183">
        <f>SUM(AA6,AC6,AE6,AG6)/4</f>
        <v>1.7095336930953369E-2</v>
      </c>
      <c r="AJ6" s="120">
        <f>(AA6+AC6)/2</f>
        <v>1.1624829113048293E-2</v>
      </c>
      <c r="AK6" s="119">
        <f>(AE6+AG6)/2</f>
        <v>2.2565844748858449E-2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6166.8441894519465</v>
      </c>
      <c r="S7" s="222">
        <f>IF($B$81=0,0,(SUMIF($N$6:$N$28,$U7,L$6:L$28)+SUMIF($N$91:$N$118,$U7,L$91:L$118))*$I$83*Poor!$B$81/$B$81)</f>
        <v>1654.2463081678052</v>
      </c>
      <c r="T7" s="222">
        <f>IF($B$81=0,0,(SUMIF($N$6:$N$28,$U7,M$6:M$28)+SUMIF($N$91:$N$118,$U7,M$91:M$118))*$I$83*Poor!$B$81/$B$81)</f>
        <v>2120.510002373273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6.942878268991283E-2</v>
      </c>
      <c r="C8" s="102">
        <f>IF([1]Summ!$K1046="",0,[1]Summ!$K1046)</f>
        <v>0</v>
      </c>
      <c r="D8" s="24">
        <f t="shared" si="0"/>
        <v>6.942878268991283E-2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1.3885756537982567E-2</v>
      </c>
      <c r="J8" s="24">
        <f t="shared" si="3"/>
        <v>1.3885756537982567E-2</v>
      </c>
      <c r="K8" s="22">
        <f t="shared" si="4"/>
        <v>6.942878268991283E-2</v>
      </c>
      <c r="L8" s="22">
        <f t="shared" si="5"/>
        <v>1.3885756537982567E-2</v>
      </c>
      <c r="M8" s="224">
        <f t="shared" si="6"/>
        <v>1.3885756537982567E-2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7603.2795975558211</v>
      </c>
      <c r="S8" s="222">
        <f>IF($B$81=0,0,(SUMIF($N$6:$N$28,$U8,L$6:L$28)+SUMIF($N$91:$N$118,$U8,L$91:L$118))*$I$83*Poor!$B$81/$B$81)</f>
        <v>1518.5955555555552</v>
      </c>
      <c r="T8" s="222">
        <f>IF($B$81=0,0,(SUMIF($N$6:$N$28,$U8,M$6:M$28)+SUMIF($N$91:$N$118,$U8,M$91:M$118))*$I$83*Poor!$B$81/$B$81)</f>
        <v>976.88888888888869</v>
      </c>
      <c r="U8" s="223">
        <v>2</v>
      </c>
      <c r="V8" s="56"/>
      <c r="W8" s="115"/>
      <c r="X8" s="118">
        <f>Poor!X8</f>
        <v>1</v>
      </c>
      <c r="Y8" s="183">
        <f t="shared" si="9"/>
        <v>5.5543026151930269E-2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5.5543026151930269E-2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1.3885756537982567E-2</v>
      </c>
      <c r="AJ8" s="120">
        <f t="shared" si="14"/>
        <v>2.7771513075965135E-2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cons - Season 1: no of months</v>
      </c>
      <c r="B9" s="101">
        <f>IF([1]Summ!$J1047="",0,[1]Summ!$J1047)</f>
        <v>0.05</v>
      </c>
      <c r="C9" s="102">
        <f>IF([1]Summ!$K1047="",0,[1]Summ!$K1047)</f>
        <v>0</v>
      </c>
      <c r="D9" s="24">
        <f t="shared" si="0"/>
        <v>0.05</v>
      </c>
      <c r="E9" s="75">
        <f>Middle!E9</f>
        <v>0.2</v>
      </c>
      <c r="F9" s="76">
        <f>Poor!F9</f>
        <v>8800</v>
      </c>
      <c r="H9" s="24">
        <f t="shared" si="1"/>
        <v>0.2</v>
      </c>
      <c r="I9" s="22">
        <f t="shared" si="2"/>
        <v>1.0000000000000002E-2</v>
      </c>
      <c r="J9" s="24">
        <f t="shared" si="3"/>
        <v>1.0000000000000002E-2</v>
      </c>
      <c r="K9" s="22">
        <f t="shared" si="4"/>
        <v>0.05</v>
      </c>
      <c r="L9" s="22">
        <f t="shared" si="5"/>
        <v>1.0000000000000002E-2</v>
      </c>
      <c r="M9" s="224">
        <f t="shared" si="6"/>
        <v>1.0000000000000002E-2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1940.8624261512305</v>
      </c>
      <c r="S9" s="222">
        <f>IF($B$81=0,0,(SUMIF($N$6:$N$28,$U9,L$6:L$28)+SUMIF($N$91:$N$118,$U9,L$91:L$118))*$I$83*Poor!$B$81/$B$81)</f>
        <v>432.34654047339143</v>
      </c>
      <c r="T9" s="222">
        <f>IF($B$81=0,0,(SUMIF($N$6:$N$28,$U9,M$6:M$28)+SUMIF($N$91:$N$118,$U9,M$91:M$118))*$I$83*Poor!$B$81/$B$81)</f>
        <v>432.34654047339143</v>
      </c>
      <c r="U9" s="223">
        <v>3</v>
      </c>
      <c r="V9" s="56"/>
      <c r="W9" s="115"/>
      <c r="X9" s="118">
        <f>Poor!X9</f>
        <v>1</v>
      </c>
      <c r="Y9" s="183">
        <f t="shared" si="9"/>
        <v>4.0000000000000008E-2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4.0000000000000008E-2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1.0000000000000002E-2</v>
      </c>
      <c r="AJ9" s="120">
        <f t="shared" si="14"/>
        <v>2.0000000000000004E-2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f>IF([1]Summ!$J1048="",0,[1]Summ!$J1048)</f>
        <v>0.16245357534246571</v>
      </c>
      <c r="C10" s="102">
        <f>IF([1]Summ!$K1048="",0,[1]Summ!$K1048)</f>
        <v>6.8871904109589072E-2</v>
      </c>
      <c r="D10" s="24">
        <f t="shared" si="0"/>
        <v>0.23132547945205478</v>
      </c>
      <c r="E10" s="75">
        <f>Middle!E10</f>
        <v>0.3</v>
      </c>
      <c r="H10" s="24">
        <f t="shared" si="1"/>
        <v>0.3</v>
      </c>
      <c r="I10" s="22">
        <f t="shared" si="2"/>
        <v>6.9397643835616432E-2</v>
      </c>
      <c r="J10" s="24">
        <f t="shared" si="3"/>
        <v>6.9397643835616432E-2</v>
      </c>
      <c r="K10" s="22">
        <f t="shared" si="4"/>
        <v>0.16245357534246571</v>
      </c>
      <c r="L10" s="22">
        <f t="shared" si="5"/>
        <v>4.8736072602739711E-2</v>
      </c>
      <c r="M10" s="224">
        <f t="shared" si="6"/>
        <v>6.9397643835616432E-2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0.27759057534246573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0.27759057534246573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6.9397643835616432E-2</v>
      </c>
      <c r="AJ10" s="120">
        <f t="shared" si="14"/>
        <v>0.13879528767123286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Sorghum: kg produced</v>
      </c>
      <c r="B11" s="101">
        <f>IF([1]Summ!$J1049="",0,[1]Summ!$J1049)</f>
        <v>3.8561488169364881E-2</v>
      </c>
      <c r="C11" s="102">
        <f>IF([1]Summ!$K1049="",0,[1]Summ!$K1049)</f>
        <v>0</v>
      </c>
      <c r="D11" s="24">
        <f t="shared" si="0"/>
        <v>3.8561488169364881E-2</v>
      </c>
      <c r="E11" s="75">
        <f>Middle!E11</f>
        <v>0.3</v>
      </c>
      <c r="H11" s="24">
        <f t="shared" si="1"/>
        <v>0.3</v>
      </c>
      <c r="I11" s="22">
        <f t="shared" si="2"/>
        <v>1.1568446450809464E-2</v>
      </c>
      <c r="J11" s="24">
        <f t="shared" si="3"/>
        <v>1.1568446450809464E-2</v>
      </c>
      <c r="K11" s="22">
        <f t="shared" si="4"/>
        <v>3.8561488169364881E-2</v>
      </c>
      <c r="L11" s="22">
        <f t="shared" si="5"/>
        <v>1.1568446450809464E-2</v>
      </c>
      <c r="M11" s="224">
        <f t="shared" si="6"/>
        <v>1.1568446450809464E-2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14550.78620592169</v>
      </c>
      <c r="S11" s="222">
        <f>IF($B$81=0,0,(SUMIF($N$6:$N$28,$U11,L$6:L$28)+SUMIF($N$91:$N$118,$U11,L$91:L$118))*$I$83*Poor!$B$81/$B$81)</f>
        <v>6083.5555555555557</v>
      </c>
      <c r="T11" s="222">
        <f>IF($B$81=0,0,(SUMIF($N$6:$N$28,$U11,M$6:M$28)+SUMIF($N$91:$N$118,$U11,M$91:M$118))*$I$83*Poor!$B$81/$B$81)</f>
        <v>7394.666666666667</v>
      </c>
      <c r="U11" s="223">
        <v>5</v>
      </c>
      <c r="V11" s="56"/>
      <c r="W11" s="115"/>
      <c r="X11" s="118">
        <f>Poor!X11</f>
        <v>1</v>
      </c>
      <c r="Y11" s="183">
        <f t="shared" si="9"/>
        <v>4.6273785803237856E-2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4.6273785803237856E-2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1.1568446450809464E-2</v>
      </c>
      <c r="AJ11" s="120">
        <f t="shared" si="14"/>
        <v>2.3136892901618928E-2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Beans: kg produced</v>
      </c>
      <c r="B12" s="101">
        <f>IF([1]Summ!$J1050="",0,[1]Summ!$J1050)</f>
        <v>6.6773290161892901E-2</v>
      </c>
      <c r="C12" s="102">
        <f>IF([1]Summ!$K1050="",0,[1]Summ!$K1050)</f>
        <v>-2.1112143212951434E-2</v>
      </c>
      <c r="D12" s="24">
        <f t="shared" si="0"/>
        <v>4.5661146948941467E-2</v>
      </c>
      <c r="E12" s="75">
        <f>Middle!E12</f>
        <v>0.2</v>
      </c>
      <c r="H12" s="24">
        <f t="shared" si="1"/>
        <v>0.2</v>
      </c>
      <c r="I12" s="22">
        <f t="shared" si="2"/>
        <v>9.132229389788294E-3</v>
      </c>
      <c r="J12" s="24">
        <f t="shared" si="3"/>
        <v>9.132229389788294E-3</v>
      </c>
      <c r="K12" s="22">
        <f t="shared" si="4"/>
        <v>6.6773290161892901E-2</v>
      </c>
      <c r="L12" s="22">
        <f t="shared" si="5"/>
        <v>1.3354658032378581E-2</v>
      </c>
      <c r="M12" s="224">
        <f t="shared" si="6"/>
        <v>9.132229389788294E-3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146.66966986477667</v>
      </c>
      <c r="S12" s="222">
        <f>IF($B$81=0,0,(SUMIF($N$6:$N$28,$U12,L$6:L$28)+SUMIF($N$91:$N$118,$U12,L$91:L$118))*$I$83*Poor!$B$81/$B$81)</f>
        <v>163.3606882795865</v>
      </c>
      <c r="T12" s="222">
        <f>IF($B$81=0,0,(SUMIF($N$6:$N$28,$U12,M$6:M$28)+SUMIF($N$91:$N$118,$U12,M$91:M$118))*$I$83*Poor!$B$81/$B$81)</f>
        <v>210.61219703876608</v>
      </c>
      <c r="U12" s="223">
        <v>6</v>
      </c>
      <c r="V12" s="56"/>
      <c r="W12" s="117"/>
      <c r="X12" s="118"/>
      <c r="Y12" s="183">
        <f t="shared" si="9"/>
        <v>3.6528917559153176E-2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2.4474374764632628E-2</v>
      </c>
      <c r="AF12" s="122">
        <f>1-SUM(Z12,AB12,AD12)</f>
        <v>0.32999999999999996</v>
      </c>
      <c r="AG12" s="121">
        <f>$M12*AF12*4</f>
        <v>1.2054542794520546E-2</v>
      </c>
      <c r="AH12" s="123">
        <f t="shared" si="12"/>
        <v>1</v>
      </c>
      <c r="AI12" s="183">
        <f t="shared" si="13"/>
        <v>9.132229389788294E-3</v>
      </c>
      <c r="AJ12" s="120">
        <f t="shared" si="14"/>
        <v>0</v>
      </c>
      <c r="AK12" s="119">
        <f t="shared" si="15"/>
        <v>1.8264458779576588E-2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Cassava: no. local meas.</v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Water melon: no. local meas (Bhece)</v>
      </c>
      <c r="B14" s="101">
        <f>IF([1]Summ!$J1052="",0,[1]Summ!$J1052)</f>
        <v>1.9986799501867992E-3</v>
      </c>
      <c r="C14" s="102">
        <f>IF([1]Summ!$K1052="",0,[1]Summ!$K1052)</f>
        <v>9.9933997509339982E-4</v>
      </c>
      <c r="D14" s="24">
        <f t="shared" si="0"/>
        <v>2.998019925280199E-3</v>
      </c>
      <c r="E14" s="75">
        <f>Middle!E14</f>
        <v>0.2</v>
      </c>
      <c r="F14" s="22"/>
      <c r="H14" s="24">
        <f t="shared" si="1"/>
        <v>0.2</v>
      </c>
      <c r="I14" s="22">
        <f t="shared" si="2"/>
        <v>5.9960398505603987E-4</v>
      </c>
      <c r="J14" s="24">
        <f>IF(I$32&lt;=1+I131,I14,B14*H14+J$33*(I14-B14*H14))</f>
        <v>5.9960398505603987E-4</v>
      </c>
      <c r="K14" s="22">
        <f t="shared" si="4"/>
        <v>1.9986799501867992E-3</v>
      </c>
      <c r="L14" s="22">
        <f t="shared" si="5"/>
        <v>3.9973599003735984E-4</v>
      </c>
      <c r="M14" s="225">
        <f t="shared" si="6"/>
        <v>5.9960398505603987E-4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45772.42792016633</v>
      </c>
      <c r="S14" s="222">
        <f>IF($B$81=0,0,(SUMIF($N$6:$N$28,$U14,L$6:L$28)+SUMIF($N$91:$N$118,$U14,L$91:L$118))*$I$83*Poor!$B$81/$B$81)</f>
        <v>19568.071111111109</v>
      </c>
      <c r="T14" s="222">
        <f>IF($B$81=0,0,(SUMIF($N$6:$N$28,$U14,M$6:M$28)+SUMIF($N$91:$N$118,$U14,M$91:M$118))*$I$83*Poor!$B$81/$B$81)</f>
        <v>19568.071111111109</v>
      </c>
      <c r="U14" s="223">
        <v>8</v>
      </c>
      <c r="V14" s="56"/>
      <c r="W14" s="110"/>
      <c r="X14" s="118"/>
      <c r="Y14" s="183">
        <f>M14*4</f>
        <v>2.3984159402241595E-3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2.3984159402241595E-3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5.9960398505603987E-4</v>
      </c>
      <c r="AJ14" s="120">
        <f t="shared" si="14"/>
        <v>1.1992079701120797E-3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Pumpkin: no. local meas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0.2</v>
      </c>
      <c r="F15" s="22"/>
      <c r="H15" s="24">
        <f t="shared" si="1"/>
        <v>0.2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Sweet poatato: no. local meas</v>
      </c>
      <c r="B16" s="101">
        <f>IF([1]Summ!$J1054="",0,[1]Summ!$J1054)</f>
        <v>3.7951432129514323E-2</v>
      </c>
      <c r="C16" s="102">
        <f>IF([1]Summ!$K1054="",0,[1]Summ!$K1054)</f>
        <v>2.4750933997509342E-2</v>
      </c>
      <c r="D16" s="24">
        <f t="shared" si="0"/>
        <v>6.2702366127023665E-2</v>
      </c>
      <c r="E16" s="75">
        <f>Middle!E16</f>
        <v>0.2</v>
      </c>
      <c r="F16" s="22"/>
      <c r="H16" s="24">
        <f t="shared" si="1"/>
        <v>0.2</v>
      </c>
      <c r="I16" s="22">
        <f t="shared" si="2"/>
        <v>1.2540473225404733E-2</v>
      </c>
      <c r="J16" s="24">
        <f>IF(I$32&lt;=1+I131,I16,B16*H16+J$33*(I16-B16*H16))</f>
        <v>1.2540473225404733E-2</v>
      </c>
      <c r="K16" s="22">
        <f t="shared" si="4"/>
        <v>3.7951432129514323E-2</v>
      </c>
      <c r="L16" s="22">
        <f t="shared" si="5"/>
        <v>7.590286425902865E-3</v>
      </c>
      <c r="M16" s="224">
        <f t="shared" si="6"/>
        <v>1.2540473225404733E-2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5.0161892901618932E-2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5.0161892901618932E-2</v>
      </c>
      <c r="AH16" s="123">
        <f t="shared" si="12"/>
        <v>1</v>
      </c>
      <c r="AI16" s="183">
        <f t="shared" si="13"/>
        <v>1.2540473225404733E-2</v>
      </c>
      <c r="AJ16" s="120">
        <f t="shared" si="14"/>
        <v>0</v>
      </c>
      <c r="AK16" s="119">
        <f t="shared" si="15"/>
        <v>2.5080946450809466E-2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Groundnuts (dry): no. local meas</v>
      </c>
      <c r="B17" s="101">
        <f>IF([1]Summ!$J1055="",0,[1]Summ!$J1055)</f>
        <v>0.10482207347447074</v>
      </c>
      <c r="C17" s="102">
        <f>IF([1]Summ!$K1055="",0,[1]Summ!$K1055)</f>
        <v>5.0314595267745968E-2</v>
      </c>
      <c r="D17" s="24">
        <f t="shared" si="0"/>
        <v>0.15513666874221671</v>
      </c>
      <c r="E17" s="75">
        <f>Middle!E17</f>
        <v>0.2</v>
      </c>
      <c r="F17" s="22"/>
      <c r="H17" s="24">
        <f t="shared" si="1"/>
        <v>0.2</v>
      </c>
      <c r="I17" s="22">
        <f t="shared" si="2"/>
        <v>3.1027333748443343E-2</v>
      </c>
      <c r="J17" s="24">
        <f t="shared" ref="J17:J25" si="17">IF(I$32&lt;=1+I131,I17,B17*H17+J$33*(I17-B17*H17))</f>
        <v>3.1027333748443343E-2</v>
      </c>
      <c r="K17" s="22">
        <f t="shared" si="4"/>
        <v>0.10482207347447074</v>
      </c>
      <c r="L17" s="22">
        <f t="shared" si="5"/>
        <v>2.096441469489415E-2</v>
      </c>
      <c r="M17" s="225">
        <f t="shared" si="6"/>
        <v>3.1027333748443343E-2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0.12410933499377337</v>
      </c>
      <c r="Z17" s="156">
        <f>Poor!Z17</f>
        <v>0.29409999999999997</v>
      </c>
      <c r="AA17" s="121">
        <f t="shared" si="16"/>
        <v>3.6500555421668746E-2</v>
      </c>
      <c r="AB17" s="156">
        <f>Poor!AB17</f>
        <v>0.17649999999999999</v>
      </c>
      <c r="AC17" s="121">
        <f t="shared" si="7"/>
        <v>2.1905297626400998E-2</v>
      </c>
      <c r="AD17" s="156">
        <f>Poor!AD17</f>
        <v>0.23530000000000001</v>
      </c>
      <c r="AE17" s="121">
        <f t="shared" si="8"/>
        <v>2.9202926524034875E-2</v>
      </c>
      <c r="AF17" s="122">
        <f t="shared" si="10"/>
        <v>0.29410000000000003</v>
      </c>
      <c r="AG17" s="121">
        <f t="shared" si="11"/>
        <v>3.6500555421668752E-2</v>
      </c>
      <c r="AH17" s="123">
        <f t="shared" si="12"/>
        <v>1</v>
      </c>
      <c r="AI17" s="183">
        <f t="shared" si="13"/>
        <v>3.1027333748443339E-2</v>
      </c>
      <c r="AJ17" s="120">
        <f t="shared" si="14"/>
        <v>2.9202926524034872E-2</v>
      </c>
      <c r="AK17" s="119">
        <f t="shared" si="15"/>
        <v>3.2851740972851817E-2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Irish potato: type</v>
      </c>
      <c r="B18" s="101">
        <f>IF([1]Summ!$J1056="",0,[1]Summ!$J1056)</f>
        <v>7.0603293206032928E-3</v>
      </c>
      <c r="C18" s="102">
        <f>IF([1]Summ!$K1056="",0,[1]Summ!$K1056)</f>
        <v>7.6034315760343165E-3</v>
      </c>
      <c r="D18" s="24">
        <f t="shared" ref="D18:D25" si="18">(B18+C18)</f>
        <v>1.4663760896637609E-2</v>
      </c>
      <c r="E18" s="75">
        <f>Middle!E18</f>
        <v>0.2</v>
      </c>
      <c r="F18" s="22"/>
      <c r="H18" s="24">
        <f t="shared" ref="H18:H25" si="19">(E18*F$7/F$9)</f>
        <v>0.2</v>
      </c>
      <c r="I18" s="22">
        <f t="shared" ref="I18:I25" si="20">(D18*H18)</f>
        <v>2.9327521793275219E-3</v>
      </c>
      <c r="J18" s="24">
        <f t="shared" si="17"/>
        <v>3.1714786947028752E-3</v>
      </c>
      <c r="K18" s="22">
        <f t="shared" ref="K18:K25" si="21">B18</f>
        <v>7.0603293206032928E-3</v>
      </c>
      <c r="L18" s="22">
        <f t="shared" ref="L18:L25" si="22">IF(K18="","",K18*H18)</f>
        <v>1.4120658641206586E-3</v>
      </c>
      <c r="M18" s="225">
        <f t="shared" ref="M18:M25" si="23">J18</f>
        <v>3.1714786947028752E-3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1325.855509415914</v>
      </c>
      <c r="S18" s="222">
        <f>IF($B$81=0,0,(SUMIF($N$6:$N$28,$U18,L$6:L$28)+SUMIF($N$91:$N$118,$U18,L$91:L$118))*$I$83*Poor!$B$81/$B$81)</f>
        <v>1476.7379566419895</v>
      </c>
      <c r="T18" s="222">
        <f>IF($B$81=0,0,(SUMIF($N$6:$N$28,$U18,M$6:M$28)+SUMIF($N$91:$N$118,$U18,M$91:M$118))*$I$83*Poor!$B$81/$B$81)</f>
        <v>1476.7379566419895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Yam: type</v>
      </c>
      <c r="B19" s="101">
        <f>IF([1]Summ!$J1057="",0,[1]Summ!$J1057)</f>
        <v>2.2571606475716065E-2</v>
      </c>
      <c r="C19" s="102">
        <f>IF([1]Summ!$K1057="",0,[1]Summ!$K1057)</f>
        <v>0</v>
      </c>
      <c r="D19" s="24">
        <f t="shared" si="18"/>
        <v>2.2571606475716065E-2</v>
      </c>
      <c r="E19" s="75">
        <f>Middle!E19</f>
        <v>0.2</v>
      </c>
      <c r="F19" s="22"/>
      <c r="H19" s="24">
        <f t="shared" si="19"/>
        <v>0.2</v>
      </c>
      <c r="I19" s="22">
        <f t="shared" si="20"/>
        <v>4.5143212951432128E-3</v>
      </c>
      <c r="J19" s="24">
        <f t="shared" si="17"/>
        <v>4.5143212951432128E-3</v>
      </c>
      <c r="K19" s="22">
        <f t="shared" si="21"/>
        <v>2.2571606475716065E-2</v>
      </c>
      <c r="L19" s="22">
        <f t="shared" si="22"/>
        <v>4.5143212951432128E-3</v>
      </c>
      <c r="M19" s="225">
        <f t="shared" si="23"/>
        <v>4.5143212951432128E-3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991.20525849870728</v>
      </c>
      <c r="S19" s="222">
        <f>IF($B$81=0,0,(SUMIF($N$6:$N$28,$U19,L$6:L$28)+SUMIF($N$91:$N$118,$U19,L$91:L$118))*$I$83*Poor!$B$81/$B$81)</f>
        <v>1104.0044843898638</v>
      </c>
      <c r="T19" s="222">
        <f>IF($B$81=0,0,(SUMIF($N$6:$N$28,$U19,M$6:M$28)+SUMIF($N$91:$N$118,$U19,M$91:M$118))*$I$83*Poor!$B$81/$B$81)</f>
        <v>1104.0044843898638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FISHING -- see worksheet Data 3</v>
      </c>
      <c r="B20" s="101">
        <f>IF([1]Summ!$J1058="",0,[1]Summ!$J1058)</f>
        <v>1.1706102117061022E-2</v>
      </c>
      <c r="C20" s="102">
        <f>IF([1]Summ!$K1058="",0,[1]Summ!$K1058)</f>
        <v>2.9265255292652559E-3</v>
      </c>
      <c r="D20" s="24">
        <f t="shared" si="18"/>
        <v>1.4632627646326278E-2</v>
      </c>
      <c r="E20" s="75">
        <f>Middle!E20</f>
        <v>1</v>
      </c>
      <c r="F20" s="22"/>
      <c r="H20" s="24">
        <f t="shared" si="19"/>
        <v>1</v>
      </c>
      <c r="I20" s="22">
        <f t="shared" si="20"/>
        <v>1.4632627646326278E-2</v>
      </c>
      <c r="J20" s="24">
        <f t="shared" si="17"/>
        <v>1.509205128601588E-2</v>
      </c>
      <c r="K20" s="22">
        <f t="shared" si="21"/>
        <v>1.1706102117061022E-2</v>
      </c>
      <c r="L20" s="22">
        <f t="shared" si="22"/>
        <v>1.1706102117061022E-2</v>
      </c>
      <c r="M20" s="225">
        <f t="shared" si="23"/>
        <v>1.509205128601588E-2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8114.2031313022126</v>
      </c>
      <c r="S20" s="222">
        <f>IF($B$81=0,0,(SUMIF($N$6:$N$28,$U20,L$6:L$28)+SUMIF($N$91:$N$118,$U20,L$91:L$118))*$I$83*Poor!$B$81/$B$81)</f>
        <v>6463.2533333333331</v>
      </c>
      <c r="T20" s="222">
        <f>IF($B$81=0,0,(SUMIF($N$6:$N$28,$U20,M$6:M$28)+SUMIF($N$91:$N$118,$U20,M$91:M$118))*$I$83*Poor!$B$81/$B$81)</f>
        <v>6463.2533333333331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Labour: Land clearing, construction, herding, slaughtering</v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0.5</v>
      </c>
      <c r="F21" s="22"/>
      <c r="H21" s="24">
        <f t="shared" si="19"/>
        <v>0.5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Labour: Weeding</v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0.5</v>
      </c>
      <c r="F22" s="22"/>
      <c r="H22" s="24">
        <f t="shared" si="19"/>
        <v>0.5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>Gifts/remittances: cereal</v>
      </c>
      <c r="B23" s="101">
        <f>IF([1]Summ!$J1061="",0,[1]Summ!$J1061)</f>
        <v>5.3477723536737236E-2</v>
      </c>
      <c r="C23" s="102">
        <f>IF([1]Summ!$K1061="",0,[1]Summ!$K1061)</f>
        <v>0</v>
      </c>
      <c r="D23" s="24">
        <f t="shared" si="18"/>
        <v>5.3477723536737236E-2</v>
      </c>
      <c r="E23" s="75">
        <f>Middle!E23</f>
        <v>1</v>
      </c>
      <c r="F23" s="22"/>
      <c r="H23" s="24">
        <f t="shared" si="19"/>
        <v>1</v>
      </c>
      <c r="I23" s="22">
        <f t="shared" si="20"/>
        <v>5.3477723536737236E-2</v>
      </c>
      <c r="J23" s="24">
        <f t="shared" si="17"/>
        <v>5.3477723536737236E-2</v>
      </c>
      <c r="K23" s="22">
        <f t="shared" si="21"/>
        <v>5.3477723536737236E-2</v>
      </c>
      <c r="L23" s="22">
        <f t="shared" si="22"/>
        <v>5.3477723536737236E-2</v>
      </c>
      <c r="M23" s="225">
        <f t="shared" si="23"/>
        <v>5.3477723536737236E-2</v>
      </c>
      <c r="N23" s="229">
        <v>13</v>
      </c>
      <c r="O23" s="2"/>
      <c r="P23" s="22"/>
      <c r="Q23" s="171" t="s">
        <v>100</v>
      </c>
      <c r="R23" s="179">
        <f>SUM(R7:R22)</f>
        <v>86612.133908328629</v>
      </c>
      <c r="S23" s="179">
        <f>SUM(S7:S22)</f>
        <v>38464.17153350819</v>
      </c>
      <c r="T23" s="179">
        <f>SUM(T7:T22)</f>
        <v>39747.091180917283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>Gifts/remittances: Other</v>
      </c>
      <c r="B24" s="101">
        <f>IF([1]Summ!$J1062="",0,[1]Summ!$J1062)</f>
        <v>2.5633042756330427E-2</v>
      </c>
      <c r="C24" s="102">
        <f>IF([1]Summ!$K1062="",0,[1]Summ!$K1062)</f>
        <v>0</v>
      </c>
      <c r="D24" s="24">
        <f t="shared" si="18"/>
        <v>2.5633042756330427E-2</v>
      </c>
      <c r="E24" s="75">
        <f>Middle!E24</f>
        <v>1</v>
      </c>
      <c r="F24" s="22"/>
      <c r="H24" s="24">
        <f t="shared" si="19"/>
        <v>1</v>
      </c>
      <c r="I24" s="22">
        <f t="shared" si="20"/>
        <v>2.5633042756330427E-2</v>
      </c>
      <c r="J24" s="24">
        <f t="shared" si="17"/>
        <v>2.5633042756330427E-2</v>
      </c>
      <c r="K24" s="22">
        <f t="shared" si="21"/>
        <v>2.5633042756330427E-2</v>
      </c>
      <c r="L24" s="22">
        <f t="shared" si="22"/>
        <v>2.5633042756330427E-2</v>
      </c>
      <c r="M24" s="225">
        <f t="shared" si="23"/>
        <v>2.5633042756330427E-2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29831.109022148568</v>
      </c>
      <c r="S24" s="41">
        <f>IF($B$81=0,0,(SUM(($B$70*$H$70))+((1-$D$29)*$I$83))*Poor!$B$81/$B$81)</f>
        <v>29831.109022148568</v>
      </c>
      <c r="T24" s="41">
        <f>IF($B$81=0,0,(SUM(($B$70*$H$70))+((1-$D$29)*$I$83))*Poor!$B$81/$B$81)</f>
        <v>29831.109022148568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46325.935688815232</v>
      </c>
      <c r="S25" s="41">
        <f>IF($B$81=0,0,(SUM(($B$70*$H$70),($B$71*$H$71))+((1-$D$29)*$I$83))*Poor!$B$81/$B$81)</f>
        <v>46325.935688815232</v>
      </c>
      <c r="T25" s="41">
        <f>IF($B$81=0,0,(SUM(($B$70*$H$70),($B$71*$H$71))+((1-$D$29)*$I$83))*Poor!$B$81/$B$81)</f>
        <v>46325.935688815232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0.10582010582010581</v>
      </c>
      <c r="C26" s="102">
        <f>IF([1]Summ!$K1064="",0,[1]Summ!$K1064)</f>
        <v>0</v>
      </c>
      <c r="D26" s="24">
        <f t="shared" si="0"/>
        <v>0.10582010582010581</v>
      </c>
      <c r="E26" s="75">
        <f>Middle!E26</f>
        <v>1</v>
      </c>
      <c r="F26" s="22"/>
      <c r="H26" s="24">
        <f t="shared" si="1"/>
        <v>1</v>
      </c>
      <c r="I26" s="22">
        <f t="shared" si="2"/>
        <v>0.10582010582010581</v>
      </c>
      <c r="J26" s="24">
        <f>IF(I$32&lt;=1+I131,I26,B26*H26+J$33*(I26-B26*H26))</f>
        <v>0.10582010582010581</v>
      </c>
      <c r="K26" s="22">
        <f t="shared" si="4"/>
        <v>0.10582010582010581</v>
      </c>
      <c r="L26" s="22">
        <f t="shared" si="5"/>
        <v>0.10582010582010581</v>
      </c>
      <c r="M26" s="224">
        <f t="shared" si="6"/>
        <v>0.10582010582010581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79063.855688815238</v>
      </c>
      <c r="S26" s="41">
        <f>IF($B$81=0,0,(SUM(($B$70*$H$70),($B$71*$H$71),($B$72*$H$72))+((1-$D$29)*$I$83))*Poor!$B$81/$B$81)</f>
        <v>79063.855688815238</v>
      </c>
      <c r="T26" s="41">
        <f>IF($B$81=0,0,(SUM(($B$70*$H$70),($B$71*$H$71),($B$72*$H$72))+((1-$D$29)*$I$83))*Poor!$B$81/$B$81)</f>
        <v>79063.855688815238</v>
      </c>
      <c r="U26" s="56"/>
      <c r="V26" s="56"/>
      <c r="W26" s="110"/>
      <c r="X26" s="118"/>
      <c r="Y26" s="183">
        <f t="shared" si="9"/>
        <v>0.42328042328042326</v>
      </c>
      <c r="Z26" s="156">
        <f>Poor!Z26</f>
        <v>0.25</v>
      </c>
      <c r="AA26" s="121">
        <f t="shared" si="16"/>
        <v>0.10582010582010581</v>
      </c>
      <c r="AB26" s="156">
        <f>Poor!AB26</f>
        <v>0.25</v>
      </c>
      <c r="AC26" s="121">
        <f t="shared" si="7"/>
        <v>0.10582010582010581</v>
      </c>
      <c r="AD26" s="156">
        <f>Poor!AD26</f>
        <v>0.25</v>
      </c>
      <c r="AE26" s="121">
        <f t="shared" si="8"/>
        <v>0.10582010582010581</v>
      </c>
      <c r="AF26" s="122">
        <f t="shared" si="10"/>
        <v>0.25</v>
      </c>
      <c r="AG26" s="121">
        <f t="shared" si="11"/>
        <v>0.10582010582010581</v>
      </c>
      <c r="AH26" s="123">
        <f t="shared" si="12"/>
        <v>1</v>
      </c>
      <c r="AI26" s="183">
        <f t="shared" si="13"/>
        <v>0.10582010582010581</v>
      </c>
      <c r="AJ26" s="120">
        <f t="shared" si="14"/>
        <v>0.10582010582010581</v>
      </c>
      <c r="AK26" s="119">
        <f t="shared" si="15"/>
        <v>0.10582010582010581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2.7003904109589038E-2</v>
      </c>
      <c r="C27" s="102">
        <f>IF([1]Summ!$K1065="",0,[1]Summ!$K1065)</f>
        <v>-2.7003904109589038E-2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2.7003904109589038E-2</v>
      </c>
      <c r="L27" s="22">
        <f t="shared" si="5"/>
        <v>2.7003904109589038E-2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0.20561839999999998</v>
      </c>
      <c r="C29" s="102">
        <f>IF([1]Summ!$K1067="",0,[1]Summ!$K1067)</f>
        <v>1.9018373941997086E-2</v>
      </c>
      <c r="D29" s="24">
        <f t="shared" si="0"/>
        <v>0.22463677394199708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0.20561839999999998</v>
      </c>
      <c r="L29" s="22">
        <f t="shared" si="5"/>
        <v>0.20561839999999998</v>
      </c>
      <c r="M29" s="175">
        <f t="shared" si="6"/>
        <v>0.22463677394199708</v>
      </c>
      <c r="N29" s="229"/>
      <c r="P29" s="22"/>
      <c r="V29" s="56"/>
      <c r="W29" s="110"/>
      <c r="X29" s="118"/>
      <c r="Y29" s="183">
        <f t="shared" si="9"/>
        <v>0.8985470957679883</v>
      </c>
      <c r="Z29" s="156">
        <f>Poor!Z29</f>
        <v>0.25</v>
      </c>
      <c r="AA29" s="121">
        <f t="shared" si="16"/>
        <v>0.22463677394199708</v>
      </c>
      <c r="AB29" s="156">
        <f>Poor!AB29</f>
        <v>0.25</v>
      </c>
      <c r="AC29" s="121">
        <f t="shared" si="7"/>
        <v>0.22463677394199708</v>
      </c>
      <c r="AD29" s="156">
        <f>Poor!AD29</f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0.60560871481942702</v>
      </c>
      <c r="C30" s="65"/>
      <c r="D30" s="24">
        <f>(D119-B124)</f>
        <v>4.531894189935838</v>
      </c>
      <c r="E30" s="75">
        <f>Middle!E30</f>
        <v>1</v>
      </c>
      <c r="H30" s="96">
        <f>(E30*F$7/F$9)</f>
        <v>1</v>
      </c>
      <c r="I30" s="29">
        <f>IF(E30&gt;=1,I119-I124,MIN(I119-I124,B30*H30))</f>
        <v>1.1029672444185956</v>
      </c>
      <c r="J30" s="231">
        <f>IF(I$32&lt;=1,I30,1-SUM(J6:J29))</f>
        <v>0.39240767856491321</v>
      </c>
      <c r="K30" s="22">
        <f t="shared" si="4"/>
        <v>0.60560871481942702</v>
      </c>
      <c r="L30" s="22">
        <f>IF(L124=L119,0,IF(K30="",0,(L119-L124)/(B119-B124)*K30))</f>
        <v>0.14217105098757296</v>
      </c>
      <c r="M30" s="175">
        <f t="shared" si="6"/>
        <v>0.39240767856491321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1.5696307142596528</v>
      </c>
      <c r="Z30" s="122">
        <f>IF($Y30=0,0,AA30/($Y$30))</f>
        <v>0.1286992835769197</v>
      </c>
      <c r="AA30" s="187">
        <f>IF(AA79*4/$I$83+SUM(AA6:AA29)&lt;1,AA79*4/$I$83,1-SUM(AA6:AA29))</f>
        <v>0.2020103484055461</v>
      </c>
      <c r="AB30" s="122">
        <f>IF($Y30=0,0,AC30/($Y$30))</f>
        <v>0.40367111308539888</v>
      </c>
      <c r="AC30" s="187">
        <f>IF(AC79*4/$I$83+SUM(AC6:AC29)&lt;1,AC79*4/$I$83,1-SUM(AC6:AC29))</f>
        <v>0.6336145775582237</v>
      </c>
      <c r="AD30" s="122">
        <f>IF($Y30=0,0,AE30/($Y$30))</f>
        <v>0.37798698051102597</v>
      </c>
      <c r="AE30" s="187">
        <f>IF(AE79*4/$I$83+SUM(AE6:AE29)&lt;1,AE79*4/$I$83,1-SUM(AE6:AE29))</f>
        <v>0.59329997420037117</v>
      </c>
      <c r="AF30" s="122">
        <f>IF($Y30=0,0,AG30/($Y$30))</f>
        <v>0.34929253065096155</v>
      </c>
      <c r="AG30" s="187">
        <f>IF(AG79*4/$I$83+SUM(AG6:AG29)&lt;1,AG79*4/$I$83,1-SUM(AG6:AG29))</f>
        <v>0.54826028437123042</v>
      </c>
      <c r="AH30" s="123">
        <f t="shared" si="12"/>
        <v>1.259649907824306</v>
      </c>
      <c r="AI30" s="183">
        <f t="shared" si="13"/>
        <v>0.49429629613384285</v>
      </c>
      <c r="AJ30" s="120">
        <f t="shared" si="14"/>
        <v>0.4178124629818849</v>
      </c>
      <c r="AK30" s="119">
        <f t="shared" si="15"/>
        <v>0.5707801292858008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0.27904857584764164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7861.7641553070425</v>
      </c>
      <c r="T31" s="234">
        <f>IF(T25&gt;T$23,T25-T$23,0)</f>
        <v>6578.8445078979494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1.6819659355281447</v>
      </c>
      <c r="C32" s="29">
        <f>SUM(C6:C31)</f>
        <v>0.12636905707469395</v>
      </c>
      <c r="D32" s="24">
        <f>SUM(D6:D30)</f>
        <v>5.7346204677192496</v>
      </c>
      <c r="E32" s="2"/>
      <c r="F32" s="2"/>
      <c r="H32" s="17"/>
      <c r="I32" s="22">
        <f>SUM(I6:I30)</f>
        <v>1.7098614156986174</v>
      </c>
      <c r="J32" s="17"/>
      <c r="L32" s="22">
        <f>SUM(L6:L30)</f>
        <v>0.72095142415235836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40599.684155307048</v>
      </c>
      <c r="T32" s="234">
        <f t="shared" si="24"/>
        <v>39316.764507897955</v>
      </c>
      <c r="V32" s="56"/>
      <c r="W32" s="110"/>
      <c r="X32" s="118"/>
      <c r="Y32" s="115">
        <f>SUM(Y6:Y31)</f>
        <v>3.5924455297242814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1.1569860351790429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7401.2000713851985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8000</v>
      </c>
      <c r="C37" s="104">
        <f>IF([1]Summ!$K1072="",0,[1]Summ!$K1072)</f>
        <v>2000</v>
      </c>
      <c r="D37" s="38">
        <f t="shared" ref="D37:D64" si="25">B37+C37</f>
        <v>10000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5900</v>
      </c>
      <c r="J37" s="38">
        <f>J91*I$83</f>
        <v>5900</v>
      </c>
      <c r="K37" s="40">
        <f t="shared" ref="K37:K52" si="28">(B37/B$65)</f>
        <v>0.13853773421535689</v>
      </c>
      <c r="L37" s="22">
        <f t="shared" ref="L37:L52" si="29">(K37*H37)</f>
        <v>8.1737263187060566E-2</v>
      </c>
      <c r="M37" s="24">
        <f t="shared" ref="M37:M52" si="30">J37/B$65</f>
        <v>0.10217157898382571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0.28919572240776631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1706.2547622058212</v>
      </c>
      <c r="AD37" s="122">
        <f>IF($J37=0,0,AE37/($J37))</f>
        <v>0.26856593252422084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1584.5390018929029</v>
      </c>
      <c r="AF37" s="122">
        <f t="shared" ref="AF37:AF64" si="31">1-SUM(Z37,AB37,AD37)</f>
        <v>0.44223834506801285</v>
      </c>
      <c r="AG37" s="147">
        <f>$J37*AF37</f>
        <v>2609.2062359012757</v>
      </c>
      <c r="AH37" s="123">
        <f>SUM(Z37,AB37,AD37,AF37)</f>
        <v>1</v>
      </c>
      <c r="AI37" s="112">
        <f>SUM(AA37,AC37,AE37,AG37)</f>
        <v>5900</v>
      </c>
      <c r="AJ37" s="148">
        <f>(AA37+AC37)</f>
        <v>1706.2547622058212</v>
      </c>
      <c r="AK37" s="147">
        <f>(AE37+AG37)</f>
        <v>4193.745237794179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2500</v>
      </c>
      <c r="C38" s="104">
        <f>IF([1]Summ!$K1073="",0,[1]Summ!$K1073)</f>
        <v>500</v>
      </c>
      <c r="D38" s="38">
        <f t="shared" si="25"/>
        <v>3000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1770</v>
      </c>
      <c r="J38" s="38">
        <f t="shared" ref="J38:J64" si="33">J92*I$83</f>
        <v>1770</v>
      </c>
      <c r="K38" s="40">
        <f t="shared" si="28"/>
        <v>4.3293041942299035E-2</v>
      </c>
      <c r="L38" s="22">
        <f t="shared" si="29"/>
        <v>2.5542894745956429E-2</v>
      </c>
      <c r="M38" s="24">
        <f t="shared" si="30"/>
        <v>3.0651473695147716E-2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0.28919572240776631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511.87642866174639</v>
      </c>
      <c r="AD38" s="122">
        <f>IF($J38=0,0,AE38/($J38))</f>
        <v>0.26856593252422084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475.36170056787086</v>
      </c>
      <c r="AF38" s="122">
        <f t="shared" si="31"/>
        <v>0.44223834506801285</v>
      </c>
      <c r="AG38" s="147">
        <f t="shared" ref="AG38:AG64" si="34">$J38*AF38</f>
        <v>782.76187077038276</v>
      </c>
      <c r="AH38" s="123">
        <f t="shared" ref="AH38:AI58" si="35">SUM(Z38,AB38,AD38,AF38)</f>
        <v>1</v>
      </c>
      <c r="AI38" s="112">
        <f t="shared" si="35"/>
        <v>1770</v>
      </c>
      <c r="AJ38" s="148">
        <f t="shared" ref="AJ38:AJ64" si="36">(AA38+AC38)</f>
        <v>511.87642866174639</v>
      </c>
      <c r="AK38" s="147">
        <f t="shared" ref="AK38:AK64" si="37">(AE38+AG38)</f>
        <v>1258.1235713382537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 sales: no. sold</v>
      </c>
      <c r="B39" s="104">
        <f>IF([1]Summ!$J1074="",0,[1]Summ!$J1074)</f>
        <v>550</v>
      </c>
      <c r="C39" s="104">
        <f>IF([1]Summ!$K1074="",0,[1]Summ!$K1074)</f>
        <v>0</v>
      </c>
      <c r="D39" s="38">
        <f t="shared" si="25"/>
        <v>550</v>
      </c>
      <c r="E39" s="75">
        <f>Middle!E39</f>
        <v>1</v>
      </c>
      <c r="F39" s="75">
        <f>Middle!F39</f>
        <v>1.18</v>
      </c>
      <c r="G39" s="22">
        <f t="shared" si="32"/>
        <v>1.65</v>
      </c>
      <c r="H39" s="24">
        <f t="shared" si="26"/>
        <v>1.18</v>
      </c>
      <c r="I39" s="39">
        <f t="shared" si="27"/>
        <v>649</v>
      </c>
      <c r="J39" s="38">
        <f t="shared" si="33"/>
        <v>649</v>
      </c>
      <c r="K39" s="40">
        <f t="shared" si="28"/>
        <v>9.5244692273057877E-3</v>
      </c>
      <c r="L39" s="22">
        <f t="shared" si="29"/>
        <v>1.1238873688220829E-2</v>
      </c>
      <c r="M39" s="24">
        <f t="shared" si="30"/>
        <v>1.1238873688220829E-2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649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649</v>
      </c>
      <c r="AJ39" s="148">
        <f t="shared" si="36"/>
        <v>649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655</v>
      </c>
      <c r="C40" s="104">
        <f>IF([1]Summ!$K1075="",0,[1]Summ!$K1075)</f>
        <v>-655</v>
      </c>
      <c r="D40" s="38">
        <f t="shared" si="25"/>
        <v>0</v>
      </c>
      <c r="E40" s="75">
        <f>Middle!E40</f>
        <v>0.3</v>
      </c>
      <c r="F40" s="75">
        <f>Middle!F40</f>
        <v>1.4</v>
      </c>
      <c r="G40" s="22">
        <f t="shared" si="32"/>
        <v>1.65</v>
      </c>
      <c r="H40" s="24">
        <f t="shared" si="26"/>
        <v>0.42</v>
      </c>
      <c r="I40" s="39">
        <f t="shared" si="27"/>
        <v>0</v>
      </c>
      <c r="J40" s="38">
        <f t="shared" si="33"/>
        <v>0</v>
      </c>
      <c r="K40" s="40">
        <f t="shared" si="28"/>
        <v>1.1342776988882346E-2</v>
      </c>
      <c r="L40" s="22">
        <f t="shared" si="29"/>
        <v>4.763966335330585E-3</v>
      </c>
      <c r="M40" s="24">
        <f t="shared" si="30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Beans: kg produced</v>
      </c>
      <c r="B41" s="104">
        <f>IF([1]Summ!$J1076="",0,[1]Summ!$J1076)</f>
        <v>1250</v>
      </c>
      <c r="C41" s="104">
        <f>IF([1]Summ!$K1076="",0,[1]Summ!$K1076)</f>
        <v>1075</v>
      </c>
      <c r="D41" s="38">
        <f t="shared" si="25"/>
        <v>2325</v>
      </c>
      <c r="E41" s="75">
        <f>Middle!E41</f>
        <v>0.2</v>
      </c>
      <c r="F41" s="75">
        <f>Middle!F41</f>
        <v>1.4</v>
      </c>
      <c r="G41" s="22">
        <f t="shared" si="32"/>
        <v>1.65</v>
      </c>
      <c r="H41" s="24">
        <f t="shared" si="26"/>
        <v>0.27999999999999997</v>
      </c>
      <c r="I41" s="39">
        <f t="shared" si="27"/>
        <v>650.99999999999989</v>
      </c>
      <c r="J41" s="38">
        <f t="shared" si="33"/>
        <v>650.99999999999989</v>
      </c>
      <c r="K41" s="40">
        <f t="shared" si="28"/>
        <v>2.1646520971149517E-2</v>
      </c>
      <c r="L41" s="22">
        <f t="shared" si="29"/>
        <v>6.061025871921864E-3</v>
      </c>
      <c r="M41" s="24">
        <f t="shared" si="30"/>
        <v>1.1273508121774667E-2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650.99999999999989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650.99999999999989</v>
      </c>
      <c r="AJ41" s="148">
        <f t="shared" si="36"/>
        <v>650.99999999999989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Water melon: no. local meas (Bhece)</v>
      </c>
      <c r="B42" s="104">
        <f>IF([1]Summ!$J1077="",0,[1]Summ!$J1077)</f>
        <v>99</v>
      </c>
      <c r="C42" s="104">
        <f>IF([1]Summ!$K1077="",0,[1]Summ!$K1077)</f>
        <v>-99</v>
      </c>
      <c r="D42" s="38">
        <f t="shared" si="25"/>
        <v>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0</v>
      </c>
      <c r="J42" s="38">
        <f t="shared" si="33"/>
        <v>0</v>
      </c>
      <c r="K42" s="40">
        <f t="shared" si="28"/>
        <v>1.7144044609150417E-3</v>
      </c>
      <c r="L42" s="22">
        <f t="shared" si="29"/>
        <v>4.8003324905621162E-4</v>
      </c>
      <c r="M42" s="24">
        <f t="shared" si="30"/>
        <v>0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0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0</v>
      </c>
      <c r="AF42" s="122">
        <f t="shared" si="31"/>
        <v>0.25</v>
      </c>
      <c r="AG42" s="147">
        <f t="shared" si="34"/>
        <v>0</v>
      </c>
      <c r="AH42" s="123">
        <f t="shared" si="35"/>
        <v>1</v>
      </c>
      <c r="AI42" s="112">
        <f t="shared" si="35"/>
        <v>0</v>
      </c>
      <c r="AJ42" s="148">
        <f t="shared" si="36"/>
        <v>0</v>
      </c>
      <c r="AK42" s="147">
        <f t="shared" si="37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Sweet poatato: no. local meas</v>
      </c>
      <c r="B43" s="104">
        <f>IF([1]Summ!$J1078="",0,[1]Summ!$J1078)</f>
        <v>750</v>
      </c>
      <c r="C43" s="104">
        <f>IF([1]Summ!$K1078="",0,[1]Summ!$K1078)</f>
        <v>-750</v>
      </c>
      <c r="D43" s="38">
        <f t="shared" si="25"/>
        <v>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0</v>
      </c>
      <c r="J43" s="38">
        <f t="shared" si="33"/>
        <v>0</v>
      </c>
      <c r="K43" s="40">
        <f t="shared" si="28"/>
        <v>1.298791258268971E-2</v>
      </c>
      <c r="L43" s="22">
        <f t="shared" si="29"/>
        <v>3.6366155231531182E-3</v>
      </c>
      <c r="M43" s="24">
        <f t="shared" si="30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0</v>
      </c>
      <c r="AB43" s="156">
        <f>Poor!AB43</f>
        <v>0.25</v>
      </c>
      <c r="AC43" s="147">
        <f t="shared" si="39"/>
        <v>0</v>
      </c>
      <c r="AD43" s="156">
        <f>Poor!AD43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Groundnuts (dry): no. local meas</v>
      </c>
      <c r="B44" s="104">
        <f>IF([1]Summ!$J1079="",0,[1]Summ!$J1079)</f>
        <v>1140</v>
      </c>
      <c r="C44" s="104">
        <f>IF([1]Summ!$K1079="",0,[1]Summ!$K1079)</f>
        <v>-1140</v>
      </c>
      <c r="D44" s="38">
        <f t="shared" si="25"/>
        <v>0</v>
      </c>
      <c r="E44" s="75">
        <f>Middle!E44</f>
        <v>0.2</v>
      </c>
      <c r="F44" s="75">
        <f>Middle!F44</f>
        <v>1.4</v>
      </c>
      <c r="G44" s="22">
        <f t="shared" si="32"/>
        <v>1.65</v>
      </c>
      <c r="H44" s="24">
        <f t="shared" si="26"/>
        <v>0.27999999999999997</v>
      </c>
      <c r="I44" s="39">
        <f t="shared" si="27"/>
        <v>0</v>
      </c>
      <c r="J44" s="38">
        <f t="shared" si="33"/>
        <v>0</v>
      </c>
      <c r="K44" s="40">
        <f t="shared" si="28"/>
        <v>1.974162712568836E-2</v>
      </c>
      <c r="L44" s="22">
        <f t="shared" si="29"/>
        <v>5.52765559519274E-3</v>
      </c>
      <c r="M44" s="24">
        <f t="shared" si="30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Irish potato: type</v>
      </c>
      <c r="B45" s="104">
        <f>IF([1]Summ!$J1080="",0,[1]Summ!$J1080)</f>
        <v>280</v>
      </c>
      <c r="C45" s="104">
        <f>IF([1]Summ!$K1080="",0,[1]Summ!$K1080)</f>
        <v>-280</v>
      </c>
      <c r="D45" s="38">
        <f t="shared" si="25"/>
        <v>0</v>
      </c>
      <c r="E45" s="75">
        <f>Middle!E45</f>
        <v>0.2</v>
      </c>
      <c r="F45" s="75">
        <f>Middle!F45</f>
        <v>1.4</v>
      </c>
      <c r="G45" s="22">
        <f t="shared" si="32"/>
        <v>1.65</v>
      </c>
      <c r="H45" s="24">
        <f t="shared" si="26"/>
        <v>0.27999999999999997</v>
      </c>
      <c r="I45" s="39">
        <f t="shared" si="27"/>
        <v>0</v>
      </c>
      <c r="J45" s="38">
        <f t="shared" si="33"/>
        <v>0</v>
      </c>
      <c r="K45" s="40">
        <f t="shared" si="28"/>
        <v>4.8488206975374915E-3</v>
      </c>
      <c r="L45" s="22">
        <f t="shared" si="29"/>
        <v>1.3576697953104975E-3</v>
      </c>
      <c r="M45" s="24">
        <f t="shared" si="30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Yam: type</v>
      </c>
      <c r="B46" s="104">
        <f>IF([1]Summ!$J1081="",0,[1]Summ!$J1081)</f>
        <v>500</v>
      </c>
      <c r="C46" s="104">
        <f>IF([1]Summ!$K1081="",0,[1]Summ!$K1081)</f>
        <v>0</v>
      </c>
      <c r="D46" s="38">
        <f t="shared" si="25"/>
        <v>500</v>
      </c>
      <c r="E46" s="75">
        <f>Middle!E46</f>
        <v>0.2</v>
      </c>
      <c r="F46" s="75">
        <f>Middle!F46</f>
        <v>1.4</v>
      </c>
      <c r="G46" s="22">
        <f t="shared" si="32"/>
        <v>1.65</v>
      </c>
      <c r="H46" s="24">
        <f t="shared" si="26"/>
        <v>0.27999999999999997</v>
      </c>
      <c r="I46" s="39">
        <f t="shared" si="27"/>
        <v>139.99999999999997</v>
      </c>
      <c r="J46" s="38">
        <f t="shared" si="33"/>
        <v>139.99999999999997</v>
      </c>
      <c r="K46" s="40">
        <f t="shared" si="28"/>
        <v>8.6586083884598059E-3</v>
      </c>
      <c r="L46" s="22">
        <f t="shared" si="29"/>
        <v>2.4244103487687453E-3</v>
      </c>
      <c r="M46" s="24">
        <f t="shared" si="30"/>
        <v>2.4244103487687453E-3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34.999999999999993</v>
      </c>
      <c r="AB46" s="156">
        <f>Poor!AB46</f>
        <v>0.25</v>
      </c>
      <c r="AC46" s="147">
        <f t="shared" si="39"/>
        <v>34.999999999999993</v>
      </c>
      <c r="AD46" s="156">
        <f>Poor!AD46</f>
        <v>0.25</v>
      </c>
      <c r="AE46" s="147">
        <f t="shared" si="40"/>
        <v>34.999999999999993</v>
      </c>
      <c r="AF46" s="122">
        <f t="shared" si="31"/>
        <v>0.25</v>
      </c>
      <c r="AG46" s="147">
        <f t="shared" si="34"/>
        <v>34.999999999999993</v>
      </c>
      <c r="AH46" s="123">
        <f t="shared" si="35"/>
        <v>1</v>
      </c>
      <c r="AI46" s="112">
        <f t="shared" si="35"/>
        <v>139.99999999999997</v>
      </c>
      <c r="AJ46" s="148">
        <f t="shared" si="36"/>
        <v>69.999999999999986</v>
      </c>
      <c r="AK46" s="147">
        <f t="shared" si="37"/>
        <v>69.999999999999986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Spinach (cash): kg produced</v>
      </c>
      <c r="B47" s="104">
        <f>IF([1]Summ!$J1082="",0,[1]Summ!$J1082)</f>
        <v>300</v>
      </c>
      <c r="C47" s="104">
        <f>IF([1]Summ!$K1082="",0,[1]Summ!$K1082)</f>
        <v>0</v>
      </c>
      <c r="D47" s="38">
        <f t="shared" si="25"/>
        <v>300</v>
      </c>
      <c r="E47" s="75">
        <f>Middle!E47</f>
        <v>0.2</v>
      </c>
      <c r="F47" s="75">
        <f>Middle!F47</f>
        <v>1.4</v>
      </c>
      <c r="G47" s="22">
        <f t="shared" si="32"/>
        <v>1.65</v>
      </c>
      <c r="H47" s="24">
        <f t="shared" si="26"/>
        <v>0.27999999999999997</v>
      </c>
      <c r="I47" s="39">
        <f t="shared" si="27"/>
        <v>83.999999999999986</v>
      </c>
      <c r="J47" s="38">
        <f t="shared" si="33"/>
        <v>83.999999999999986</v>
      </c>
      <c r="K47" s="40">
        <f t="shared" si="28"/>
        <v>5.1951650330758839E-3</v>
      </c>
      <c r="L47" s="22">
        <f t="shared" si="29"/>
        <v>1.4546462092612474E-3</v>
      </c>
      <c r="M47" s="24">
        <f t="shared" si="30"/>
        <v>1.4546462092612472E-3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20.999999999999996</v>
      </c>
      <c r="AB47" s="156">
        <f>Poor!AB47</f>
        <v>0.25</v>
      </c>
      <c r="AC47" s="147">
        <f t="shared" si="39"/>
        <v>20.999999999999996</v>
      </c>
      <c r="AD47" s="156">
        <f>Poor!AD47</f>
        <v>0.25</v>
      </c>
      <c r="AE47" s="147">
        <f t="shared" si="40"/>
        <v>20.999999999999996</v>
      </c>
      <c r="AF47" s="122">
        <f t="shared" si="31"/>
        <v>0.25</v>
      </c>
      <c r="AG47" s="147">
        <f t="shared" si="34"/>
        <v>20.999999999999996</v>
      </c>
      <c r="AH47" s="123">
        <f t="shared" si="35"/>
        <v>1</v>
      </c>
      <c r="AI47" s="112">
        <f t="shared" si="35"/>
        <v>83.999999999999986</v>
      </c>
      <c r="AJ47" s="148">
        <f t="shared" si="36"/>
        <v>41.999999999999993</v>
      </c>
      <c r="AK47" s="147">
        <f t="shared" si="37"/>
        <v>41.999999999999993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Tomatoes (cash): kg produced</v>
      </c>
      <c r="B48" s="104">
        <f>IF([1]Summ!$J1083="",0,[1]Summ!$J1083)</f>
        <v>500</v>
      </c>
      <c r="C48" s="104">
        <f>IF([1]Summ!$K1083="",0,[1]Summ!$K1083)</f>
        <v>0</v>
      </c>
      <c r="D48" s="38">
        <f t="shared" si="25"/>
        <v>500</v>
      </c>
      <c r="E48" s="75">
        <f>Middle!E48</f>
        <v>0.2</v>
      </c>
      <c r="F48" s="75">
        <f>Middle!F48</f>
        <v>1.4</v>
      </c>
      <c r="G48" s="22">
        <f t="shared" si="32"/>
        <v>1.65</v>
      </c>
      <c r="H48" s="24">
        <f t="shared" si="26"/>
        <v>0.27999999999999997</v>
      </c>
      <c r="I48" s="39">
        <f t="shared" si="27"/>
        <v>139.99999999999997</v>
      </c>
      <c r="J48" s="38">
        <f t="shared" si="33"/>
        <v>139.99999999999997</v>
      </c>
      <c r="K48" s="40">
        <f t="shared" si="28"/>
        <v>8.6586083884598059E-3</v>
      </c>
      <c r="L48" s="22">
        <f t="shared" si="29"/>
        <v>2.4244103487687453E-3</v>
      </c>
      <c r="M48" s="24">
        <f t="shared" si="30"/>
        <v>2.4244103487687453E-3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34.999999999999993</v>
      </c>
      <c r="AB48" s="156">
        <f>Poor!AB48</f>
        <v>0.25</v>
      </c>
      <c r="AC48" s="147">
        <f t="shared" si="39"/>
        <v>34.999999999999993</v>
      </c>
      <c r="AD48" s="156">
        <f>Poor!AD48</f>
        <v>0.25</v>
      </c>
      <c r="AE48" s="147">
        <f t="shared" si="40"/>
        <v>34.999999999999993</v>
      </c>
      <c r="AF48" s="122">
        <f t="shared" si="31"/>
        <v>0.25</v>
      </c>
      <c r="AG48" s="147">
        <f t="shared" si="34"/>
        <v>34.999999999999993</v>
      </c>
      <c r="AH48" s="123">
        <f t="shared" si="35"/>
        <v>1</v>
      </c>
      <c r="AI48" s="112">
        <f t="shared" si="35"/>
        <v>139.99999999999997</v>
      </c>
      <c r="AJ48" s="148">
        <f t="shared" si="36"/>
        <v>69.999999999999986</v>
      </c>
      <c r="AK48" s="147">
        <f t="shared" si="37"/>
        <v>69.999999999999986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Cabbage (cash): kg produced</v>
      </c>
      <c r="B49" s="104">
        <f>IF([1]Summ!$J1084="",0,[1]Summ!$J1084)</f>
        <v>300</v>
      </c>
      <c r="C49" s="104">
        <f>IF([1]Summ!$K1084="",0,[1]Summ!$K1084)</f>
        <v>0</v>
      </c>
      <c r="D49" s="38">
        <f t="shared" si="25"/>
        <v>300</v>
      </c>
      <c r="E49" s="75">
        <f>Middle!E49</f>
        <v>0.2</v>
      </c>
      <c r="F49" s="75">
        <f>Middle!F49</f>
        <v>1.4</v>
      </c>
      <c r="G49" s="22">
        <f t="shared" si="32"/>
        <v>1.65</v>
      </c>
      <c r="H49" s="24">
        <f t="shared" si="26"/>
        <v>0.27999999999999997</v>
      </c>
      <c r="I49" s="39">
        <f t="shared" si="27"/>
        <v>83.999999999999986</v>
      </c>
      <c r="J49" s="38">
        <f t="shared" si="33"/>
        <v>83.999999999999986</v>
      </c>
      <c r="K49" s="40">
        <f t="shared" si="28"/>
        <v>5.1951650330758839E-3</v>
      </c>
      <c r="L49" s="22">
        <f t="shared" si="29"/>
        <v>1.4546462092612474E-3</v>
      </c>
      <c r="M49" s="24">
        <f t="shared" si="30"/>
        <v>1.4546462092612472E-3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20.999999999999996</v>
      </c>
      <c r="AB49" s="156">
        <f>Poor!AB49</f>
        <v>0.25</v>
      </c>
      <c r="AC49" s="147">
        <f t="shared" si="39"/>
        <v>20.999999999999996</v>
      </c>
      <c r="AD49" s="156">
        <f>Poor!AD49</f>
        <v>0.25</v>
      </c>
      <c r="AE49" s="147">
        <f t="shared" si="40"/>
        <v>20.999999999999996</v>
      </c>
      <c r="AF49" s="122">
        <f t="shared" si="31"/>
        <v>0.25</v>
      </c>
      <c r="AG49" s="147">
        <f t="shared" si="34"/>
        <v>20.999999999999996</v>
      </c>
      <c r="AH49" s="123">
        <f t="shared" si="35"/>
        <v>1</v>
      </c>
      <c r="AI49" s="112">
        <f t="shared" si="35"/>
        <v>83.999999999999986</v>
      </c>
      <c r="AJ49" s="148">
        <f t="shared" si="36"/>
        <v>41.999999999999993</v>
      </c>
      <c r="AK49" s="147">
        <f t="shared" si="37"/>
        <v>41.999999999999993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Agricultural cash income -- see Data2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0.5</v>
      </c>
      <c r="F50" s="75">
        <f>Middle!F50</f>
        <v>1.1100000000000001</v>
      </c>
      <c r="G50" s="22">
        <f t="shared" si="32"/>
        <v>1.65</v>
      </c>
      <c r="H50" s="24">
        <f t="shared" si="26"/>
        <v>0.55500000000000005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Labour migration(formal employment): no. people per HH</v>
      </c>
      <c r="B51" s="104">
        <f>IF([1]Summ!$J1086="",0,[1]Summ!$J1086)</f>
        <v>11000</v>
      </c>
      <c r="C51" s="104">
        <f>IF([1]Summ!$K1086="",0,[1]Summ!$K1086)</f>
        <v>0</v>
      </c>
      <c r="D51" s="38">
        <f t="shared" si="25"/>
        <v>11000</v>
      </c>
      <c r="E51" s="75">
        <f>Middle!E51</f>
        <v>0.4</v>
      </c>
      <c r="F51" s="75">
        <f>Middle!F51</f>
        <v>1.18</v>
      </c>
      <c r="G51" s="22">
        <f t="shared" si="32"/>
        <v>1.65</v>
      </c>
      <c r="H51" s="24">
        <f t="shared" si="26"/>
        <v>0.47199999999999998</v>
      </c>
      <c r="I51" s="39">
        <f t="shared" si="27"/>
        <v>5192</v>
      </c>
      <c r="J51" s="38">
        <f t="shared" si="33"/>
        <v>5191.9999999999991</v>
      </c>
      <c r="K51" s="40">
        <f t="shared" si="28"/>
        <v>0.19048938454611575</v>
      </c>
      <c r="L51" s="22">
        <f t="shared" si="29"/>
        <v>8.9910989505766634E-2</v>
      </c>
      <c r="M51" s="24">
        <f t="shared" si="30"/>
        <v>8.991098950576662E-2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1297.9999999999998</v>
      </c>
      <c r="AB51" s="156">
        <f>Poor!AB56</f>
        <v>0.25</v>
      </c>
      <c r="AC51" s="147">
        <f t="shared" si="39"/>
        <v>1297.9999999999998</v>
      </c>
      <c r="AD51" s="156">
        <f>Poor!AD56</f>
        <v>0.25</v>
      </c>
      <c r="AE51" s="147">
        <f t="shared" si="40"/>
        <v>1297.9999999999998</v>
      </c>
      <c r="AF51" s="122">
        <f t="shared" si="31"/>
        <v>0.25</v>
      </c>
      <c r="AG51" s="147">
        <f t="shared" si="34"/>
        <v>1297.9999999999998</v>
      </c>
      <c r="AH51" s="123">
        <f t="shared" si="35"/>
        <v>1</v>
      </c>
      <c r="AI51" s="112">
        <f t="shared" si="35"/>
        <v>5191.9999999999991</v>
      </c>
      <c r="AJ51" s="148">
        <f t="shared" si="36"/>
        <v>2595.9999999999995</v>
      </c>
      <c r="AK51" s="147">
        <f t="shared" si="37"/>
        <v>2595.9999999999995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Formal Employment (conservancies, etc.)</v>
      </c>
      <c r="B52" s="104">
        <f>IF([1]Summ!$J1087="",0,[1]Summ!$J1087)</f>
        <v>23760</v>
      </c>
      <c r="C52" s="104">
        <f>IF([1]Summ!$K1087="",0,[1]Summ!$K1087)</f>
        <v>0</v>
      </c>
      <c r="D52" s="38">
        <f t="shared" si="25"/>
        <v>23760</v>
      </c>
      <c r="E52" s="75">
        <f>Middle!E52</f>
        <v>0.6</v>
      </c>
      <c r="F52" s="75">
        <f>Middle!F52</f>
        <v>1.18</v>
      </c>
      <c r="G52" s="22">
        <f t="shared" si="32"/>
        <v>1.65</v>
      </c>
      <c r="H52" s="24">
        <f t="shared" si="26"/>
        <v>0.70799999999999996</v>
      </c>
      <c r="I52" s="39">
        <f t="shared" si="27"/>
        <v>16822.079999999998</v>
      </c>
      <c r="J52" s="38">
        <f t="shared" si="33"/>
        <v>16822.079999999998</v>
      </c>
      <c r="K52" s="40">
        <f t="shared" si="28"/>
        <v>0.41145707061961001</v>
      </c>
      <c r="L52" s="22">
        <f t="shared" si="29"/>
        <v>0.29131160599868389</v>
      </c>
      <c r="M52" s="24">
        <f t="shared" si="30"/>
        <v>0.29131160599868383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4205.5199999999995</v>
      </c>
      <c r="AB52" s="156">
        <f>Poor!AB57</f>
        <v>0.25</v>
      </c>
      <c r="AC52" s="147">
        <f t="shared" si="39"/>
        <v>4205.5199999999995</v>
      </c>
      <c r="AD52" s="156">
        <f>Poor!AD57</f>
        <v>0.25</v>
      </c>
      <c r="AE52" s="147">
        <f t="shared" si="40"/>
        <v>4205.5199999999995</v>
      </c>
      <c r="AF52" s="122">
        <f t="shared" si="31"/>
        <v>0.25</v>
      </c>
      <c r="AG52" s="147">
        <f t="shared" si="34"/>
        <v>4205.5199999999995</v>
      </c>
      <c r="AH52" s="123">
        <f t="shared" si="35"/>
        <v>1</v>
      </c>
      <c r="AI52" s="112">
        <f t="shared" si="35"/>
        <v>16822.079999999998</v>
      </c>
      <c r="AJ52" s="148">
        <f t="shared" si="36"/>
        <v>8411.0399999999991</v>
      </c>
      <c r="AK52" s="147">
        <f t="shared" si="37"/>
        <v>8411.0399999999991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Self-employment -- see Data2</v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0.8</v>
      </c>
      <c r="F53" s="75">
        <f>Middle!F53</f>
        <v>1</v>
      </c>
      <c r="G53" s="22">
        <f t="shared" si="32"/>
        <v>1.65</v>
      </c>
      <c r="H53" s="24">
        <f t="shared" ref="H53:H64" si="41">(E53*F53)</f>
        <v>0.8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Small business -- see Data2</v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0.8</v>
      </c>
      <c r="F54" s="75">
        <f>Middle!F54</f>
        <v>1.18</v>
      </c>
      <c r="G54" s="22">
        <f t="shared" si="32"/>
        <v>1.65</v>
      </c>
      <c r="H54" s="24">
        <f t="shared" si="41"/>
        <v>0.94399999999999995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Social development -- see Data2</v>
      </c>
      <c r="B55" s="104">
        <f>IF([1]Summ!$J1090="",0,[1]Summ!$J1090)</f>
        <v>6162</v>
      </c>
      <c r="C55" s="104">
        <f>IF([1]Summ!$K1090="",0,[1]Summ!$K1090)</f>
        <v>0</v>
      </c>
      <c r="D55" s="38">
        <f t="shared" si="25"/>
        <v>6162</v>
      </c>
      <c r="E55" s="75">
        <f>Middle!E55</f>
        <v>1</v>
      </c>
      <c r="F55" s="75">
        <f>Middle!F55</f>
        <v>1.18</v>
      </c>
      <c r="G55" s="22">
        <f t="shared" si="32"/>
        <v>1.65</v>
      </c>
      <c r="H55" s="24">
        <f t="shared" si="41"/>
        <v>1.18</v>
      </c>
      <c r="I55" s="39">
        <f t="shared" si="42"/>
        <v>7271.16</v>
      </c>
      <c r="J55" s="38">
        <f t="shared" si="33"/>
        <v>7271.16</v>
      </c>
      <c r="K55" s="40">
        <f t="shared" si="43"/>
        <v>0.10670868977937865</v>
      </c>
      <c r="L55" s="22">
        <f t="shared" si="44"/>
        <v>0.12591625393966679</v>
      </c>
      <c r="M55" s="24">
        <f t="shared" si="45"/>
        <v>0.12591625393966682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Public works -- see Data2</v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1.18</v>
      </c>
      <c r="G56" s="22">
        <f t="shared" si="32"/>
        <v>1.65</v>
      </c>
      <c r="H56" s="24">
        <f t="shared" si="41"/>
        <v>1.18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Other income: e.g. Credit (cotton loans)</v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57746</v>
      </c>
      <c r="C65" s="39">
        <f>SUM(C37:C64)</f>
        <v>651</v>
      </c>
      <c r="D65" s="42">
        <f>SUM(D37:D64)</f>
        <v>58397</v>
      </c>
      <c r="E65" s="32"/>
      <c r="F65" s="32"/>
      <c r="G65" s="32"/>
      <c r="H65" s="31"/>
      <c r="I65" s="39">
        <f>SUM(I37:I64)</f>
        <v>38703.24</v>
      </c>
      <c r="J65" s="39">
        <f>SUM(J37:J64)</f>
        <v>38703.24</v>
      </c>
      <c r="K65" s="40">
        <f>SUM(K37:K64)</f>
        <v>1</v>
      </c>
      <c r="L65" s="22">
        <f>SUM(L37:L64)</f>
        <v>0.65524296055138009</v>
      </c>
      <c r="M65" s="24">
        <f>SUM(M37:M64)</f>
        <v>0.67023239704914617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6915.5199999999995</v>
      </c>
      <c r="AB65" s="137"/>
      <c r="AC65" s="153">
        <f>SUM(AC37:AC64)</f>
        <v>7833.6511908675666</v>
      </c>
      <c r="AD65" s="137"/>
      <c r="AE65" s="153">
        <f>SUM(AE37:AE64)</f>
        <v>7675.4207024607731</v>
      </c>
      <c r="AF65" s="137"/>
      <c r="AG65" s="153">
        <f>SUM(AG37:AG64)</f>
        <v>9007.4881066716589</v>
      </c>
      <c r="AH65" s="137"/>
      <c r="AI65" s="153">
        <f>SUM(AI37:AI64)</f>
        <v>31432.079999999998</v>
      </c>
      <c r="AJ65" s="153">
        <f>SUM(AJ37:AJ64)</f>
        <v>14749.171190867566</v>
      </c>
      <c r="AK65" s="153">
        <f>SUM(AK37:AK64)</f>
        <v>16682.90880913243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15276.520068318912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21387.128095646476</v>
      </c>
      <c r="J70" s="51">
        <f>J124*I$83</f>
        <v>21387.128095646476</v>
      </c>
      <c r="K70" s="40">
        <f>B70/B$76</f>
        <v>0.2645468096200414</v>
      </c>
      <c r="L70" s="22">
        <f>(L124*G$37*F$9/F$7)/B$130</f>
        <v>0.37036553346805801</v>
      </c>
      <c r="M70" s="24">
        <f>J70/B$76</f>
        <v>0.37036553346805801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5346.782023911619</v>
      </c>
      <c r="AB70" s="156">
        <f>Poor!AB70</f>
        <v>0.25</v>
      </c>
      <c r="AC70" s="147">
        <f>$J70*AB70</f>
        <v>5346.782023911619</v>
      </c>
      <c r="AD70" s="156">
        <f>Poor!AD70</f>
        <v>0.25</v>
      </c>
      <c r="AE70" s="147">
        <f>$J70*AD70</f>
        <v>5346.782023911619</v>
      </c>
      <c r="AF70" s="156">
        <f>Poor!AF70</f>
        <v>0.25</v>
      </c>
      <c r="AG70" s="147">
        <f>$J70*AF70</f>
        <v>5346.782023911619</v>
      </c>
      <c r="AH70" s="155">
        <f>SUM(Z70,AB70,AD70,AF70)</f>
        <v>1</v>
      </c>
      <c r="AI70" s="147">
        <f>SUM(AA70,AC70,AE70,AG70)</f>
        <v>21387.128095646476</v>
      </c>
      <c r="AJ70" s="148">
        <f>(AA70+AC70)</f>
        <v>10693.564047823238</v>
      </c>
      <c r="AK70" s="147">
        <f>(AE70+AG70)</f>
        <v>10693.564047823238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15726.000000000002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17316.111904353515</v>
      </c>
      <c r="J71" s="51">
        <f t="shared" ref="J71:J72" si="49">J125*I$83</f>
        <v>17316.111904353515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31212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0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11510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0</v>
      </c>
      <c r="K73" s="40">
        <f>B73/B$76</f>
        <v>0.19932116510234474</v>
      </c>
      <c r="L73" s="22">
        <f>(L127*G$37*F$9/F$7)/B$130</f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1222.3619999999999</v>
      </c>
      <c r="AB73" s="156">
        <f>Poor!AB73</f>
        <v>0.09</v>
      </c>
      <c r="AC73" s="147">
        <f>$H$73*$B$73*AB73</f>
        <v>1222.3619999999999</v>
      </c>
      <c r="AD73" s="156">
        <f>Poor!AD73</f>
        <v>0.23</v>
      </c>
      <c r="AE73" s="147">
        <f>$H$73*$B$73*AD73</f>
        <v>3123.8139999999999</v>
      </c>
      <c r="AF73" s="156">
        <f>Poor!AF73</f>
        <v>0.59</v>
      </c>
      <c r="AG73" s="147">
        <f>$H$73*$B$73*AF73</f>
        <v>8013.2619999999988</v>
      </c>
      <c r="AH73" s="155">
        <f>SUM(Z73,AB73,AD73,AF73)</f>
        <v>1</v>
      </c>
      <c r="AI73" s="147">
        <f>SUM(AA73,AC73,AE73,AG73)</f>
        <v>13581.8</v>
      </c>
      <c r="AJ73" s="148">
        <f>(AA73+AC73)</f>
        <v>2444.7239999999997</v>
      </c>
      <c r="AK73" s="147">
        <f>(AE73+AG73)</f>
        <v>11137.075999999999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5762.3010024847899</v>
      </c>
      <c r="C74" s="39"/>
      <c r="D74" s="38"/>
      <c r="E74" s="32"/>
      <c r="F74" s="32"/>
      <c r="G74" s="32"/>
      <c r="H74" s="31"/>
      <c r="I74" s="39">
        <f>I128*I$83</f>
        <v>17316.111904353515</v>
      </c>
      <c r="J74" s="51">
        <f>J128*I$83</f>
        <v>6160.6319757387173</v>
      </c>
      <c r="K74" s="40">
        <f>B74/B$76</f>
        <v>9.9787015593890305E-2</v>
      </c>
      <c r="L74" s="22">
        <f>(L128*G$37*F$9/F$7)/B$130</f>
        <v>3.8652450802510611E-2</v>
      </c>
      <c r="M74" s="24">
        <f>J74/B$76</f>
        <v>0.10668499940668993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792.8689216586364</v>
      </c>
      <c r="AB74" s="156"/>
      <c r="AC74" s="147">
        <f>AC30*$I$83/4</f>
        <v>2486.869166955948</v>
      </c>
      <c r="AD74" s="156"/>
      <c r="AE74" s="147">
        <f>AE30*$I$83/4</f>
        <v>2328.6386785491541</v>
      </c>
      <c r="AF74" s="156"/>
      <c r="AG74" s="147">
        <f>AG30*$I$83/4</f>
        <v>2151.8627332150095</v>
      </c>
      <c r="AH74" s="155"/>
      <c r="AI74" s="147">
        <f>SUM(AA74,AC74,AE74,AG74)</f>
        <v>7760.2395003787478</v>
      </c>
      <c r="AJ74" s="148">
        <f>(AA74+AC74)</f>
        <v>3279.7380886145843</v>
      </c>
      <c r="AK74" s="147">
        <f>(AE74+AG74)</f>
        <v>4480.501411764164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>J129*I$83</f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2284.7124039747746</v>
      </c>
      <c r="AB75" s="158"/>
      <c r="AC75" s="149">
        <f>AA75+AC65-SUM(AC70,AC74)</f>
        <v>2284.7124039747741</v>
      </c>
      <c r="AD75" s="158"/>
      <c r="AE75" s="149">
        <f>AC75+AE65-SUM(AE70,AE74)</f>
        <v>2284.7124039747741</v>
      </c>
      <c r="AF75" s="158"/>
      <c r="AG75" s="149">
        <f>IF(SUM(AG6:AG29)+((AG65-AG70-$J$75)*4/I$83)&lt;1,0,AG65-AG70-$J$75-(1-SUM(AG6:AG29))*I$83/4)</f>
        <v>1508.8433495450304</v>
      </c>
      <c r="AH75" s="134"/>
      <c r="AI75" s="149">
        <f>AI76-SUM(AI70,AI74)</f>
        <v>2284.712403974776</v>
      </c>
      <c r="AJ75" s="151">
        <f>AJ76-SUM(AJ70,AJ74)</f>
        <v>775.86905442974421</v>
      </c>
      <c r="AK75" s="149">
        <f>AJ75+AK76-SUM(AK70,AK74)</f>
        <v>2284.7124039747705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57746</v>
      </c>
      <c r="C76" s="39"/>
      <c r="D76" s="38"/>
      <c r="E76" s="32"/>
      <c r="F76" s="32"/>
      <c r="G76" s="32"/>
      <c r="H76" s="31"/>
      <c r="I76" s="39">
        <f>I130*I$83</f>
        <v>38703.239999999991</v>
      </c>
      <c r="J76" s="51">
        <f>J130*I$83</f>
        <v>38703.239999999991</v>
      </c>
      <c r="K76" s="40">
        <f>SUM(K70:K75)</f>
        <v>0.56365499031627642</v>
      </c>
      <c r="L76" s="22">
        <f>SUM(L70:L75)</f>
        <v>0.40901798427056862</v>
      </c>
      <c r="M76" s="24">
        <f>SUM(M70:M75)</f>
        <v>0.47705053287474797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6915.5199999999995</v>
      </c>
      <c r="AB76" s="137"/>
      <c r="AC76" s="153">
        <f>AC65</f>
        <v>7833.6511908675666</v>
      </c>
      <c r="AD76" s="137"/>
      <c r="AE76" s="153">
        <f>AE65</f>
        <v>7675.4207024607731</v>
      </c>
      <c r="AF76" s="137"/>
      <c r="AG76" s="153">
        <f>AG65</f>
        <v>9007.4881066716589</v>
      </c>
      <c r="AH76" s="137"/>
      <c r="AI76" s="153">
        <f>SUM(AA76,AC76,AE76,AG76)</f>
        <v>31432.079999999998</v>
      </c>
      <c r="AJ76" s="154">
        <f>SUM(AA76,AC76)</f>
        <v>14749.171190867566</v>
      </c>
      <c r="AK76" s="154">
        <f>SUM(AE76,AG76)</f>
        <v>16682.90880913243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18556.68</v>
      </c>
      <c r="J77" s="100">
        <f>J131*I$83</f>
        <v>7401.2000713851985</v>
      </c>
      <c r="K77" s="40"/>
      <c r="L77" s="22">
        <f>-(L131*G$37*F$9/F$7)/B$130</f>
        <v>-0.32135005021992868</v>
      </c>
      <c r="M77" s="24">
        <f>-J77/B$76</f>
        <v>-0.1281681860455304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1508.8433495450304</v>
      </c>
      <c r="AB78" s="112"/>
      <c r="AC78" s="112">
        <f>IF(AA75&lt;0,0,AA75)</f>
        <v>2284.7124039747746</v>
      </c>
      <c r="AD78" s="112"/>
      <c r="AE78" s="112">
        <f>AC75</f>
        <v>2284.7124039747741</v>
      </c>
      <c r="AF78" s="112"/>
      <c r="AG78" s="112">
        <f>AE75</f>
        <v>2284.7124039747741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3077.5813256334109</v>
      </c>
      <c r="AB79" s="112"/>
      <c r="AC79" s="112">
        <f>AA79-AA74+AC65-AC70</f>
        <v>4771.5815709307226</v>
      </c>
      <c r="AD79" s="112"/>
      <c r="AE79" s="112">
        <f>AC79-AC74+AE65-AE70</f>
        <v>4613.3510825239282</v>
      </c>
      <c r="AF79" s="112"/>
      <c r="AG79" s="112">
        <f>AE79-AE74+AG65-AG70</f>
        <v>5945.418486734814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0.64232512570888012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4.509345794392523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9514.8911524546384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15699.570401550152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3924.8926003875381</v>
      </c>
      <c r="AB83" s="112"/>
      <c r="AC83" s="165">
        <f>$I$83*AB82/4</f>
        <v>3924.8926003875381</v>
      </c>
      <c r="AD83" s="112"/>
      <c r="AE83" s="165">
        <f>$I$83*AD82/4</f>
        <v>3924.8926003875381</v>
      </c>
      <c r="AF83" s="112"/>
      <c r="AG83" s="165">
        <f>$I$83*AF82/4</f>
        <v>3924.8926003875381</v>
      </c>
      <c r="AH83" s="165">
        <f>SUM(AA83,AC83,AE83,AG83)</f>
        <v>15699.570401550152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22654.016767876888</v>
      </c>
      <c r="C84" s="46"/>
      <c r="D84" s="235"/>
      <c r="E84" s="64"/>
      <c r="F84" s="64"/>
      <c r="G84" s="64"/>
      <c r="H84" s="236">
        <f>IF(B84=0,0,I84/B84)</f>
        <v>1.4814148852182716</v>
      </c>
      <c r="I84" s="234">
        <f>(B70*H70)+((1-(D29*H29))*I83)</f>
        <v>33559.997649917139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0.84078733763929303</v>
      </c>
      <c r="C91" s="75">
        <f>(C37/$B$83)</f>
        <v>0.21019683440982326</v>
      </c>
      <c r="D91" s="24">
        <f t="shared" ref="D91" si="51">(B91+C91)</f>
        <v>1.0509841720491162</v>
      </c>
      <c r="H91" s="24">
        <f>(E37*F37/G37*F$7/F$9)</f>
        <v>0.3575757575757576</v>
      </c>
      <c r="I91" s="22">
        <f t="shared" ref="I91" si="52">(D91*H91)</f>
        <v>0.3758064615205931</v>
      </c>
      <c r="J91" s="24">
        <f>IF(I$32&lt;=1+I$131,I91,L91+J$33*(I91-L91))</f>
        <v>0.3758064615205931</v>
      </c>
      <c r="K91" s="22">
        <f t="shared" ref="K91" si="53">(B91)</f>
        <v>0.84078733763929303</v>
      </c>
      <c r="L91" s="22">
        <f t="shared" ref="L91" si="54">(K91*H91)</f>
        <v>0.30064516921647449</v>
      </c>
      <c r="M91" s="227">
        <f t="shared" si="50"/>
        <v>0.3758064615205931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0.26274604301227905</v>
      </c>
      <c r="C92" s="75">
        <f t="shared" si="56"/>
        <v>5.2549208602455814E-2</v>
      </c>
      <c r="D92" s="24">
        <f t="shared" ref="D92:D118" si="57">(B92+C92)</f>
        <v>0.31529525161473487</v>
      </c>
      <c r="H92" s="24">
        <f t="shared" ref="H92:H118" si="58">(E38*F38/G38*F$7/F$9)</f>
        <v>0.3575757575757576</v>
      </c>
      <c r="I92" s="22">
        <f t="shared" ref="I92:I118" si="59">(D92*H92)</f>
        <v>0.11274193845617793</v>
      </c>
      <c r="J92" s="24">
        <f t="shared" ref="J92:J118" si="60">IF(I$32&lt;=1+I$131,I92,L92+J$33*(I92-L92))</f>
        <v>0.11274193845617793</v>
      </c>
      <c r="K92" s="22">
        <f t="shared" ref="K92:K118" si="61">(B92)</f>
        <v>0.26274604301227905</v>
      </c>
      <c r="L92" s="22">
        <f t="shared" ref="L92:L118" si="62">(K92*H92)</f>
        <v>9.3951615380148276E-2</v>
      </c>
      <c r="M92" s="227">
        <f t="shared" ref="M92:M118" si="63">(J92)</f>
        <v>0.11274193845617793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ref="B93:C93" si="64">(B39/$B$83)</f>
        <v>5.7804129462701394E-2</v>
      </c>
      <c r="C93" s="75">
        <f t="shared" si="64"/>
        <v>0</v>
      </c>
      <c r="D93" s="24">
        <f t="shared" si="57"/>
        <v>5.7804129462701394E-2</v>
      </c>
      <c r="H93" s="24">
        <f t="shared" si="58"/>
        <v>0.7151515151515152</v>
      </c>
      <c r="I93" s="22">
        <f t="shared" si="59"/>
        <v>4.1338710767265245E-2</v>
      </c>
      <c r="J93" s="24">
        <f t="shared" si="60"/>
        <v>4.1338710767265245E-2</v>
      </c>
      <c r="K93" s="22">
        <f t="shared" si="61"/>
        <v>5.7804129462701394E-2</v>
      </c>
      <c r="L93" s="22">
        <f t="shared" si="62"/>
        <v>4.1338710767265245E-2</v>
      </c>
      <c r="M93" s="227">
        <f t="shared" si="63"/>
        <v>4.1338710767265245E-2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6.883946326921711E-2</v>
      </c>
      <c r="C94" s="75">
        <f t="shared" si="65"/>
        <v>-6.883946326921711E-2</v>
      </c>
      <c r="D94" s="24">
        <f t="shared" si="57"/>
        <v>0</v>
      </c>
      <c r="H94" s="24">
        <f t="shared" si="58"/>
        <v>0.25454545454545457</v>
      </c>
      <c r="I94" s="22">
        <f t="shared" si="59"/>
        <v>0</v>
      </c>
      <c r="J94" s="24">
        <f t="shared" si="60"/>
        <v>0</v>
      </c>
      <c r="K94" s="22">
        <f t="shared" si="61"/>
        <v>6.883946326921711E-2</v>
      </c>
      <c r="L94" s="22">
        <f t="shared" si="62"/>
        <v>1.7522772468527993E-2</v>
      </c>
      <c r="M94" s="227">
        <f t="shared" si="63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ref="B95:C95" si="66">(B41/$B$83)</f>
        <v>0.13137302150613953</v>
      </c>
      <c r="C95" s="75">
        <f t="shared" si="66"/>
        <v>0.11298079849528</v>
      </c>
      <c r="D95" s="24">
        <f t="shared" si="57"/>
        <v>0.24435382000141953</v>
      </c>
      <c r="H95" s="24">
        <f t="shared" si="58"/>
        <v>0.16969696969696968</v>
      </c>
      <c r="I95" s="22">
        <f t="shared" si="59"/>
        <v>4.1466102788119671E-2</v>
      </c>
      <c r="J95" s="24">
        <f t="shared" si="60"/>
        <v>4.1466102788119671E-2</v>
      </c>
      <c r="K95" s="22">
        <f t="shared" si="61"/>
        <v>0.13137302150613953</v>
      </c>
      <c r="L95" s="22">
        <f t="shared" si="62"/>
        <v>2.2293603649526705E-2</v>
      </c>
      <c r="M95" s="227">
        <f t="shared" si="63"/>
        <v>4.1466102788119671E-2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Water melon: no. local meas (Bhece)</v>
      </c>
      <c r="B96" s="75">
        <f t="shared" ref="B96:C96" si="67">(B42/$B$83)</f>
        <v>1.0404743303286251E-2</v>
      </c>
      <c r="C96" s="75">
        <f t="shared" si="67"/>
        <v>-1.0404743303286251E-2</v>
      </c>
      <c r="D96" s="24">
        <f t="shared" si="57"/>
        <v>0</v>
      </c>
      <c r="H96" s="24">
        <f t="shared" si="58"/>
        <v>0.16969696969696968</v>
      </c>
      <c r="I96" s="22">
        <f t="shared" si="59"/>
        <v>0</v>
      </c>
      <c r="J96" s="24">
        <f t="shared" si="60"/>
        <v>0</v>
      </c>
      <c r="K96" s="22">
        <f t="shared" si="61"/>
        <v>1.0404743303286251E-2</v>
      </c>
      <c r="L96" s="22">
        <f t="shared" si="62"/>
        <v>1.7656534090425152E-3</v>
      </c>
      <c r="M96" s="227">
        <f t="shared" si="63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Sweet poatato: no. local meas</v>
      </c>
      <c r="B97" s="75">
        <f t="shared" ref="B97:C97" si="68">(B43/$B$83)</f>
        <v>7.8823812903683718E-2</v>
      </c>
      <c r="C97" s="75">
        <f t="shared" si="68"/>
        <v>-7.8823812903683718E-2</v>
      </c>
      <c r="D97" s="24">
        <f t="shared" si="57"/>
        <v>0</v>
      </c>
      <c r="H97" s="24">
        <f t="shared" si="58"/>
        <v>0.16969696969696968</v>
      </c>
      <c r="I97" s="22">
        <f t="shared" si="59"/>
        <v>0</v>
      </c>
      <c r="J97" s="24">
        <f t="shared" si="60"/>
        <v>0</v>
      </c>
      <c r="K97" s="22">
        <f t="shared" si="61"/>
        <v>7.8823812903683718E-2</v>
      </c>
      <c r="L97" s="22">
        <f t="shared" si="62"/>
        <v>1.3376162189716023E-2</v>
      </c>
      <c r="M97" s="227">
        <f t="shared" si="63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Groundnuts (dry): no. local meas</v>
      </c>
      <c r="B98" s="75">
        <f t="shared" ref="B98:C98" si="69">(B44/$B$83)</f>
        <v>0.11981219561359925</v>
      </c>
      <c r="C98" s="75">
        <f t="shared" si="69"/>
        <v>-0.11981219561359925</v>
      </c>
      <c r="D98" s="24">
        <f t="shared" si="57"/>
        <v>0</v>
      </c>
      <c r="H98" s="24">
        <f t="shared" si="58"/>
        <v>0.16969696969696968</v>
      </c>
      <c r="I98" s="22">
        <f t="shared" si="59"/>
        <v>0</v>
      </c>
      <c r="J98" s="24">
        <f t="shared" si="60"/>
        <v>0</v>
      </c>
      <c r="K98" s="22">
        <f t="shared" si="61"/>
        <v>0.11981219561359925</v>
      </c>
      <c r="L98" s="22">
        <f t="shared" si="62"/>
        <v>2.0331766528368357E-2</v>
      </c>
      <c r="M98" s="227">
        <f t="shared" si="63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Irish potato: type</v>
      </c>
      <c r="B99" s="75">
        <f t="shared" ref="B99:C99" si="70">(B45/$B$83)</f>
        <v>2.9427556817375255E-2</v>
      </c>
      <c r="C99" s="75">
        <f t="shared" si="70"/>
        <v>-2.9427556817375255E-2</v>
      </c>
      <c r="D99" s="24">
        <f t="shared" si="57"/>
        <v>0</v>
      </c>
      <c r="H99" s="24">
        <f t="shared" si="58"/>
        <v>0.16969696969696968</v>
      </c>
      <c r="I99" s="22">
        <f t="shared" si="59"/>
        <v>0</v>
      </c>
      <c r="J99" s="24">
        <f t="shared" si="60"/>
        <v>0</v>
      </c>
      <c r="K99" s="22">
        <f t="shared" si="61"/>
        <v>2.9427556817375255E-2</v>
      </c>
      <c r="L99" s="22">
        <f t="shared" si="62"/>
        <v>4.9937672174939825E-3</v>
      </c>
      <c r="M99" s="227">
        <f t="shared" si="63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Yam: type</v>
      </c>
      <c r="B100" s="75">
        <f t="shared" ref="B100:C100" si="71">(B46/$B$83)</f>
        <v>5.2549208602455814E-2</v>
      </c>
      <c r="C100" s="75">
        <f t="shared" si="71"/>
        <v>0</v>
      </c>
      <c r="D100" s="24">
        <f t="shared" si="57"/>
        <v>5.2549208602455814E-2</v>
      </c>
      <c r="H100" s="24">
        <f t="shared" si="58"/>
        <v>0.16969696969696968</v>
      </c>
      <c r="I100" s="22">
        <f t="shared" si="59"/>
        <v>8.9174414598106825E-3</v>
      </c>
      <c r="J100" s="24">
        <f t="shared" si="60"/>
        <v>8.9174414598106825E-3</v>
      </c>
      <c r="K100" s="22">
        <f t="shared" si="61"/>
        <v>5.2549208602455814E-2</v>
      </c>
      <c r="L100" s="22">
        <f t="shared" si="62"/>
        <v>8.9174414598106825E-3</v>
      </c>
      <c r="M100" s="227">
        <f t="shared" si="63"/>
        <v>8.9174414598106825E-3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Spinach (cash): kg produced</v>
      </c>
      <c r="B101" s="75">
        <f t="shared" ref="B101:C101" si="72">(B47/$B$83)</f>
        <v>3.152952516147349E-2</v>
      </c>
      <c r="C101" s="75">
        <f t="shared" si="72"/>
        <v>0</v>
      </c>
      <c r="D101" s="24">
        <f t="shared" si="57"/>
        <v>3.152952516147349E-2</v>
      </c>
      <c r="H101" s="24">
        <f t="shared" si="58"/>
        <v>0.16969696969696968</v>
      </c>
      <c r="I101" s="22">
        <f t="shared" si="59"/>
        <v>5.3504648758864095E-3</v>
      </c>
      <c r="J101" s="24">
        <f t="shared" si="60"/>
        <v>5.3504648758864095E-3</v>
      </c>
      <c r="K101" s="22">
        <f t="shared" si="61"/>
        <v>3.152952516147349E-2</v>
      </c>
      <c r="L101" s="22">
        <f t="shared" si="62"/>
        <v>5.3504648758864095E-3</v>
      </c>
      <c r="M101" s="227">
        <f t="shared" si="63"/>
        <v>5.3504648758864095E-3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Tomatoes (cash): kg produced</v>
      </c>
      <c r="B102" s="75">
        <f t="shared" ref="B102:C102" si="73">(B48/$B$83)</f>
        <v>5.2549208602455814E-2</v>
      </c>
      <c r="C102" s="75">
        <f t="shared" si="73"/>
        <v>0</v>
      </c>
      <c r="D102" s="24">
        <f t="shared" si="57"/>
        <v>5.2549208602455814E-2</v>
      </c>
      <c r="H102" s="24">
        <f t="shared" si="58"/>
        <v>0.16969696969696968</v>
      </c>
      <c r="I102" s="22">
        <f t="shared" si="59"/>
        <v>8.9174414598106825E-3</v>
      </c>
      <c r="J102" s="24">
        <f t="shared" si="60"/>
        <v>8.9174414598106825E-3</v>
      </c>
      <c r="K102" s="22">
        <f t="shared" si="61"/>
        <v>5.2549208602455814E-2</v>
      </c>
      <c r="L102" s="22">
        <f t="shared" si="62"/>
        <v>8.9174414598106825E-3</v>
      </c>
      <c r="M102" s="227">
        <f t="shared" si="63"/>
        <v>8.9174414598106825E-3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Cabbage (cash): kg produced</v>
      </c>
      <c r="B103" s="75">
        <f t="shared" ref="B103:C103" si="74">(B49/$B$83)</f>
        <v>3.152952516147349E-2</v>
      </c>
      <c r="C103" s="75">
        <f t="shared" si="74"/>
        <v>0</v>
      </c>
      <c r="D103" s="24">
        <f t="shared" si="57"/>
        <v>3.152952516147349E-2</v>
      </c>
      <c r="H103" s="24">
        <f t="shared" si="58"/>
        <v>0.16969696969696968</v>
      </c>
      <c r="I103" s="22">
        <f t="shared" si="59"/>
        <v>5.3504648758864095E-3</v>
      </c>
      <c r="J103" s="24">
        <f t="shared" si="60"/>
        <v>5.3504648758864095E-3</v>
      </c>
      <c r="K103" s="22">
        <f t="shared" si="61"/>
        <v>3.152952516147349E-2</v>
      </c>
      <c r="L103" s="22">
        <f t="shared" si="62"/>
        <v>5.3504648758864095E-3</v>
      </c>
      <c r="M103" s="227">
        <f t="shared" si="63"/>
        <v>5.3504648758864095E-3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Agricultural cash income -- see Data2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0.33636363636363642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7">
        <f t="shared" si="63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Labour migration(formal employment): no. people per HH</v>
      </c>
      <c r="B105" s="75">
        <f t="shared" ref="B105:C105" si="76">(B51/$B$83)</f>
        <v>1.1560825892540278</v>
      </c>
      <c r="C105" s="75">
        <f t="shared" si="76"/>
        <v>0</v>
      </c>
      <c r="D105" s="24">
        <f t="shared" si="57"/>
        <v>1.1560825892540278</v>
      </c>
      <c r="H105" s="24">
        <f t="shared" si="58"/>
        <v>0.28606060606060607</v>
      </c>
      <c r="I105" s="22">
        <f t="shared" si="59"/>
        <v>0.33070968613812191</v>
      </c>
      <c r="J105" s="24">
        <f t="shared" si="60"/>
        <v>0.33070968613812191</v>
      </c>
      <c r="K105" s="22">
        <f t="shared" si="61"/>
        <v>1.1560825892540278</v>
      </c>
      <c r="L105" s="22">
        <f t="shared" si="62"/>
        <v>0.33070968613812191</v>
      </c>
      <c r="M105" s="227">
        <f t="shared" si="63"/>
        <v>0.33070968613812191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Formal Employment (conservancies, etc.)</v>
      </c>
      <c r="B106" s="75">
        <f t="shared" ref="B106:C106" si="77">(B52/$B$83)</f>
        <v>2.4971383927887003</v>
      </c>
      <c r="C106" s="75">
        <f t="shared" si="77"/>
        <v>0</v>
      </c>
      <c r="D106" s="24">
        <f t="shared" si="57"/>
        <v>2.4971383927887003</v>
      </c>
      <c r="H106" s="24">
        <f t="shared" si="58"/>
        <v>0.42909090909090908</v>
      </c>
      <c r="I106" s="22">
        <f t="shared" si="59"/>
        <v>1.071499383087515</v>
      </c>
      <c r="J106" s="24">
        <f t="shared" si="60"/>
        <v>1.071499383087515</v>
      </c>
      <c r="K106" s="22">
        <f t="shared" si="61"/>
        <v>2.4971383927887003</v>
      </c>
      <c r="L106" s="22">
        <f t="shared" si="62"/>
        <v>1.071499383087515</v>
      </c>
      <c r="M106" s="227">
        <f t="shared" si="63"/>
        <v>1.071499383087515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Self-employment -- see Data2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0.48484848484848486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Small business -- see Data2</v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0.57212121212121214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Social development -- see Data2</v>
      </c>
      <c r="B109" s="75">
        <f t="shared" ref="B109:C109" si="80">(B55/$B$83)</f>
        <v>0.64761644681666541</v>
      </c>
      <c r="C109" s="75">
        <f t="shared" si="80"/>
        <v>0</v>
      </c>
      <c r="D109" s="24">
        <f t="shared" si="57"/>
        <v>0.64761644681666541</v>
      </c>
      <c r="H109" s="24">
        <f t="shared" si="58"/>
        <v>0.7151515151515152</v>
      </c>
      <c r="I109" s="22">
        <f t="shared" si="59"/>
        <v>0.46314388317797894</v>
      </c>
      <c r="J109" s="24">
        <f t="shared" si="60"/>
        <v>0.46314388317797894</v>
      </c>
      <c r="K109" s="22">
        <f t="shared" si="61"/>
        <v>0.64761644681666541</v>
      </c>
      <c r="L109" s="22">
        <f t="shared" si="62"/>
        <v>0.46314388317797894</v>
      </c>
      <c r="M109" s="227">
        <f t="shared" si="63"/>
        <v>0.46314388317797894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Public works -- see Data2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0.7151515151515152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Other income: e.g. Credit (cotton loans)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6.0690131999148269</v>
      </c>
      <c r="C119" s="22">
        <f>SUM(C91:C118)</f>
        <v>6.8419069600397425E-2</v>
      </c>
      <c r="D119" s="24">
        <f>SUM(D91:D118)</f>
        <v>6.1374322695152239</v>
      </c>
      <c r="E119" s="22"/>
      <c r="F119" s="2"/>
      <c r="G119" s="2"/>
      <c r="H119" s="31"/>
      <c r="I119" s="22">
        <f>SUM(I91:I118)</f>
        <v>2.4652419786071658</v>
      </c>
      <c r="J119" s="24">
        <f>SUM(J91:J118)</f>
        <v>2.4652419786071658</v>
      </c>
      <c r="K119" s="22">
        <f>SUM(K91:K118)</f>
        <v>6.0690131999148269</v>
      </c>
      <c r="L119" s="22">
        <f>SUM(L91:L118)</f>
        <v>2.4101079859015737</v>
      </c>
      <c r="M119" s="57">
        <f t="shared" si="50"/>
        <v>2.4652419786071658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1.6055380795793861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1.3622747341885701</v>
      </c>
      <c r="J124" s="237">
        <f>IF(SUMPRODUCT($B$124:$B124,$H$124:$H124)&lt;J$119,($B124*$H124),J$119)</f>
        <v>1.3622747341885701</v>
      </c>
      <c r="K124" s="22">
        <f>(B124)</f>
        <v>1.6055380795793861</v>
      </c>
      <c r="L124" s="29">
        <f>IF(SUMPRODUCT($B$124:$B124,$H$124:$H124)&lt;L$119,($B124*$H124),L$119)</f>
        <v>1.3622747341885701</v>
      </c>
      <c r="M124" s="57">
        <f t="shared" si="90"/>
        <v>1.3622747341885701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1.6527777089644404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1.1029672444185956</v>
      </c>
      <c r="J125" s="237">
        <f>IF(SUMPRODUCT($B$124:$B125,$H$124:$H125)&lt;J$119,($B125*$H125),IF(SUMPRODUCT($B$124:$B124,$H$124:$H124)&lt;J$119,J$119-SUMPRODUCT($B$124:$B124,$H$124:$H124),0))</f>
        <v>1.1029672444185956</v>
      </c>
      <c r="K125" s="22">
        <f t="shared" ref="K125:K126" si="91">(B125)</f>
        <v>1.6527777089644404</v>
      </c>
      <c r="L125" s="29">
        <f>IF(SUMPRODUCT($B$124:$B125,$H$124:$H125)&lt;L$119,($B125*$H125),IF(SUMPRODUCT($B$124:$B124,$H$124:$H124)&lt;L$119,L$119-SUMPRODUCT($B$124:$B124,$H$124:$H124),0))</f>
        <v>1.0478332517130036</v>
      </c>
      <c r="M125" s="57">
        <f t="shared" ref="M125:M126" si="92">(J125)</f>
        <v>1.1029672444185956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3.2803317977997017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91"/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57">
        <f t="shared" si="92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1.2096827820285327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1.2096827820285327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90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0.60560871481942702</v>
      </c>
      <c r="C128" s="2"/>
      <c r="D128" s="31"/>
      <c r="E128" s="2"/>
      <c r="F128" s="2"/>
      <c r="G128" s="2"/>
      <c r="H128" s="24"/>
      <c r="I128" s="29">
        <f>(I30)</f>
        <v>1.1029672444185956</v>
      </c>
      <c r="J128" s="228">
        <f>(J30)</f>
        <v>0.39240767856491321</v>
      </c>
      <c r="K128" s="22">
        <f>(B128)</f>
        <v>0.60560871481942702</v>
      </c>
      <c r="L128" s="22">
        <f>IF(L124=L119,0,(L119-L124)/(B119-B124)*K128)</f>
        <v>0.14217105098757296</v>
      </c>
      <c r="M128" s="57">
        <f t="shared" si="90"/>
        <v>0.39240767856491321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90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6.0690131999148269</v>
      </c>
      <c r="C130" s="2"/>
      <c r="D130" s="31"/>
      <c r="E130" s="2"/>
      <c r="F130" s="2"/>
      <c r="G130" s="2"/>
      <c r="H130" s="24"/>
      <c r="I130" s="29">
        <f>(I119)</f>
        <v>2.4652419786071658</v>
      </c>
      <c r="J130" s="228">
        <f>(J119)</f>
        <v>2.4652419786071658</v>
      </c>
      <c r="K130" s="22">
        <f>(B130)</f>
        <v>6.0690131999148269</v>
      </c>
      <c r="L130" s="22">
        <f>(L119)</f>
        <v>2.4101079859015737</v>
      </c>
      <c r="M130" s="57">
        <f t="shared" si="90"/>
        <v>2.4652419786071658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1.1819864827745694</v>
      </c>
      <c r="J131" s="237">
        <f>IF(SUMPRODUCT($B124:$B125,$H124:$H125)&gt;(J119-J128),SUMPRODUCT($B124:$B125,$H124:$H125)+J128-J119,0)</f>
        <v>0.4714269169208869</v>
      </c>
      <c r="K131" s="29"/>
      <c r="L131" s="29">
        <f>IF(I131&lt;SUM(L126:L127),0,I131-(SUM(L126:L127)))</f>
        <v>1.1819864827745694</v>
      </c>
      <c r="M131" s="237">
        <f>IF(I131&lt;SUM(M126:M127),0,I131-(SUM(M126:M127)))</f>
        <v>1.1819864827745694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9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3:N118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6:N28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2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4" t="str">
        <f>Poor!A1</f>
        <v>ZACNI: 59106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V.Poor!A3</f>
        <v>Sources of Food : Very Poor HHs</v>
      </c>
      <c r="C3" s="266"/>
      <c r="D3" s="266"/>
      <c r="E3" s="266"/>
      <c r="F3" s="245"/>
      <c r="G3" s="263" t="str">
        <f>Poor!A3</f>
        <v>Sources of Food : Poor HHs</v>
      </c>
      <c r="H3" s="263"/>
      <c r="I3" s="263"/>
      <c r="J3" s="263"/>
      <c r="K3" s="246"/>
      <c r="L3" s="263" t="str">
        <f>Middle!A3</f>
        <v>Sources of Food : Middle HHs</v>
      </c>
      <c r="M3" s="263"/>
      <c r="N3" s="263"/>
      <c r="O3" s="263"/>
      <c r="P3" s="263"/>
      <c r="Q3" s="247"/>
      <c r="R3" s="263" t="str">
        <f>Rich!A3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E57" workbookViewId="0">
      <selection activeCell="X78" sqref="X78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Poor!A1</f>
        <v>ZACNI: 59106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V.Poor!A34</f>
        <v>Income : Very Poor HHs</v>
      </c>
      <c r="D3" s="269"/>
      <c r="E3" s="269"/>
      <c r="F3" s="90"/>
      <c r="G3" s="267" t="str">
        <f>Poor!A34</f>
        <v>Income : Poor HHs</v>
      </c>
      <c r="H3" s="267"/>
      <c r="I3" s="267"/>
      <c r="J3" s="267"/>
      <c r="K3" s="89"/>
      <c r="L3" s="267" t="str">
        <f>Middle!A34</f>
        <v>Income : Middle HHs</v>
      </c>
      <c r="M3" s="267"/>
      <c r="N3" s="267"/>
      <c r="O3" s="267"/>
      <c r="P3" s="267"/>
      <c r="Q3" s="91"/>
      <c r="R3" s="267" t="str">
        <f>Rich!A34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3956.4575360895724</v>
      </c>
      <c r="C72" s="109">
        <f>Poor!R7</f>
        <v>4381.2423919338971</v>
      </c>
      <c r="D72" s="109">
        <f>Middle!R7</f>
        <v>6097.8637282341842</v>
      </c>
      <c r="E72" s="109">
        <f>Rich!R7</f>
        <v>6166.8441894519465</v>
      </c>
      <c r="F72" s="109">
        <f>V.Poor!T7</f>
        <v>1039.9379662728882</v>
      </c>
      <c r="G72" s="109">
        <f>Poor!T7</f>
        <v>1242.8631944117926</v>
      </c>
      <c r="H72" s="109">
        <f>Middle!T7</f>
        <v>1967.1972368731397</v>
      </c>
      <c r="I72" s="109">
        <f>Rich!T7</f>
        <v>2120.510002373273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1238.4628440424749</v>
      </c>
      <c r="D73" s="109">
        <f>Middle!R8</f>
        <v>5364.203299375361</v>
      </c>
      <c r="E73" s="109">
        <f>Rich!R8</f>
        <v>7603.2795975558211</v>
      </c>
      <c r="F73" s="109">
        <f>V.Poor!T8</f>
        <v>0</v>
      </c>
      <c r="G73" s="109">
        <f>Poor!T8</f>
        <v>42</v>
      </c>
      <c r="H73" s="109">
        <f>Middle!T8</f>
        <v>997.49999999999989</v>
      </c>
      <c r="I73" s="109">
        <f>Rich!T8</f>
        <v>976.88888888888869</v>
      </c>
    </row>
    <row r="74" spans="1:9">
      <c r="A74" t="str">
        <f>V.Poor!Q9</f>
        <v>Animal products consumed</v>
      </c>
      <c r="B74" s="109">
        <f>V.Poor!R9</f>
        <v>279.81896093684895</v>
      </c>
      <c r="C74" s="109">
        <f>Poor!R9</f>
        <v>432.45354682181602</v>
      </c>
      <c r="D74" s="109">
        <f>Middle!R9</f>
        <v>745.16676507581951</v>
      </c>
      <c r="E74" s="109">
        <f>Rich!R9</f>
        <v>1940.8624261512305</v>
      </c>
      <c r="F74" s="109">
        <f>V.Poor!T9</f>
        <v>62.332475547898078</v>
      </c>
      <c r="G74" s="109">
        <f>Poor!T9</f>
        <v>96.333357977682553</v>
      </c>
      <c r="H74" s="109">
        <f>Middle!T9</f>
        <v>165.9933587333901</v>
      </c>
      <c r="I74" s="109">
        <f>Rich!T9</f>
        <v>432.34654047339143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740.70744260913568</v>
      </c>
      <c r="D76" s="109">
        <f>Middle!R11</f>
        <v>5184.9520982639497</v>
      </c>
      <c r="E76" s="109">
        <f>Rich!R11</f>
        <v>14550.78620592169</v>
      </c>
      <c r="F76" s="109">
        <f>V.Poor!T11</f>
        <v>0</v>
      </c>
      <c r="G76" s="109">
        <f>Poor!T11</f>
        <v>295</v>
      </c>
      <c r="H76" s="109">
        <f>Middle!T11</f>
        <v>2655</v>
      </c>
      <c r="I76" s="109">
        <f>Rich!T11</f>
        <v>7394.666666666667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146.66966986477667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210.61219703876608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2591.4414323271239</v>
      </c>
      <c r="D78" s="109">
        <f>Middle!R13</f>
        <v>1114.0239936841401</v>
      </c>
      <c r="E78" s="109">
        <f>Rich!R13</f>
        <v>0</v>
      </c>
      <c r="F78" s="109">
        <f>V.Poor!T13</f>
        <v>0</v>
      </c>
      <c r="G78" s="109">
        <f>Poor!T13</f>
        <v>1143.7438218661641</v>
      </c>
      <c r="H78" s="109">
        <f>Middle!T13</f>
        <v>417.36000000000007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45772.42792016633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19568.071111111109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549.60492241597865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437.78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635.52698575863838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411.84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3199.8561520714661</v>
      </c>
      <c r="E82" s="109">
        <f>Rich!R17</f>
        <v>0</v>
      </c>
      <c r="F82" s="109">
        <f>V.Poor!T17</f>
        <v>0</v>
      </c>
      <c r="G82" s="109">
        <f>Poor!T17</f>
        <v>0</v>
      </c>
      <c r="H82" s="109">
        <f>Middle!T17</f>
        <v>2039.04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1491.5874480929031</v>
      </c>
      <c r="C83" s="109">
        <f>Poor!R18</f>
        <v>1491.5874480929031</v>
      </c>
      <c r="D83" s="109">
        <f>Middle!R18</f>
        <v>1491.5874480929031</v>
      </c>
      <c r="E83" s="109">
        <f>Rich!R18</f>
        <v>1325.855509415914</v>
      </c>
      <c r="F83" s="109">
        <f>V.Poor!T18</f>
        <v>1661.3302012222382</v>
      </c>
      <c r="G83" s="109">
        <f>Poor!T18</f>
        <v>1661.3302012222382</v>
      </c>
      <c r="H83" s="109">
        <f>Middle!T18</f>
        <v>1661.3302012222382</v>
      </c>
      <c r="I83" s="109">
        <f>Rich!T18</f>
        <v>1476.7379566419895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510.75297941960423</v>
      </c>
      <c r="E84" s="109">
        <f>Rich!R19</f>
        <v>991.20525849870728</v>
      </c>
      <c r="F84" s="109">
        <f>V.Poor!T19</f>
        <v>0</v>
      </c>
      <c r="G84" s="109">
        <f>Poor!T19</f>
        <v>0</v>
      </c>
      <c r="H84" s="109">
        <f>Middle!T19</f>
        <v>568.87670324588203</v>
      </c>
      <c r="I84" s="109">
        <f>Rich!T19</f>
        <v>1104.0044843898638</v>
      </c>
    </row>
    <row r="85" spans="1:9">
      <c r="A85" t="str">
        <f>V.Poor!Q20</f>
        <v>Cash transfer - official</v>
      </c>
      <c r="B85" s="109">
        <f>V.Poor!R20</f>
        <v>32620.755772506334</v>
      </c>
      <c r="C85" s="109">
        <f>Poor!R20</f>
        <v>32620.755772506334</v>
      </c>
      <c r="D85" s="109">
        <f>Middle!R20</f>
        <v>32620.755772506334</v>
      </c>
      <c r="E85" s="109">
        <f>Rich!R20</f>
        <v>8114.2031313022126</v>
      </c>
      <c r="F85" s="109">
        <f>V.Poor!T20</f>
        <v>25983.600000000002</v>
      </c>
      <c r="G85" s="109">
        <f>Poor!T20</f>
        <v>25983.600000000002</v>
      </c>
      <c r="H85" s="109">
        <f>Middle!T20</f>
        <v>25983.600000000002</v>
      </c>
      <c r="I85" s="109">
        <f>Rich!T20</f>
        <v>6463.2533333333331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2370.2638163492343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1600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38348.619717625661</v>
      </c>
      <c r="C88" s="109">
        <f>Poor!R23</f>
        <v>43496.650878333683</v>
      </c>
      <c r="D88" s="109">
        <f>Middle!R23</f>
        <v>59884.557961247614</v>
      </c>
      <c r="E88" s="109">
        <f>Rich!R23</f>
        <v>86612.133908328629</v>
      </c>
      <c r="F88" s="109">
        <f>V.Poor!T23</f>
        <v>28747.200643043027</v>
      </c>
      <c r="G88" s="109">
        <f>Poor!T23</f>
        <v>30464.870575477878</v>
      </c>
      <c r="H88" s="109">
        <f>Middle!T23</f>
        <v>38905.517500074653</v>
      </c>
      <c r="I88" s="109">
        <f>Rich!T23</f>
        <v>39747.091180917283</v>
      </c>
    </row>
    <row r="89" spans="1:9">
      <c r="A89" t="str">
        <f>V.Poor!Q24</f>
        <v>Food Poverty line</v>
      </c>
      <c r="B89" s="109">
        <f>V.Poor!R24</f>
        <v>29831.109022148565</v>
      </c>
      <c r="C89" s="109">
        <f>Poor!R24</f>
        <v>29831.109022148565</v>
      </c>
      <c r="D89" s="109">
        <f>Middle!R24</f>
        <v>29831.109022148565</v>
      </c>
      <c r="E89" s="109">
        <f>Rich!R24</f>
        <v>29831.109022148568</v>
      </c>
      <c r="F89" s="109">
        <f>V.Poor!T24</f>
        <v>29831.109022148565</v>
      </c>
      <c r="G89" s="109">
        <f>Poor!T24</f>
        <v>29831.109022148565</v>
      </c>
      <c r="H89" s="109">
        <f>Middle!T24</f>
        <v>29831.109022148565</v>
      </c>
      <c r="I89" s="109">
        <f>Rich!T24</f>
        <v>29831.109022148568</v>
      </c>
    </row>
    <row r="90" spans="1:9">
      <c r="A90" s="108" t="str">
        <f>V.Poor!Q25</f>
        <v>Lower Bound Poverty line</v>
      </c>
      <c r="B90" s="109">
        <f>V.Poor!R25</f>
        <v>46325.935688815232</v>
      </c>
      <c r="C90" s="109">
        <f>Poor!R25</f>
        <v>46325.935688815232</v>
      </c>
      <c r="D90" s="109">
        <f>Middle!R25</f>
        <v>46325.935688815232</v>
      </c>
      <c r="E90" s="109">
        <f>Rich!R25</f>
        <v>46325.935688815232</v>
      </c>
      <c r="F90" s="109">
        <f>V.Poor!T25</f>
        <v>46325.935688815232</v>
      </c>
      <c r="G90" s="109">
        <f>Poor!T25</f>
        <v>46325.935688815232</v>
      </c>
      <c r="H90" s="109">
        <f>Middle!T25</f>
        <v>46325.935688815232</v>
      </c>
      <c r="I90" s="109">
        <f>Rich!T25</f>
        <v>46325.935688815232</v>
      </c>
    </row>
    <row r="91" spans="1:9">
      <c r="A91" s="108" t="str">
        <f>V.Poor!Q26</f>
        <v>Upper Bound Poverty line</v>
      </c>
      <c r="B91" s="109">
        <f>V.Poor!R26</f>
        <v>79063.855688815223</v>
      </c>
      <c r="C91" s="109">
        <f>Poor!R26</f>
        <v>79063.855688815223</v>
      </c>
      <c r="D91" s="109">
        <f>Middle!R26</f>
        <v>79063.855688815223</v>
      </c>
      <c r="E91" s="109">
        <f>Rich!R26</f>
        <v>79063.855688815238</v>
      </c>
      <c r="F91" s="109">
        <f>V.Poor!T26</f>
        <v>79063.855688815223</v>
      </c>
      <c r="G91" s="109">
        <f>Poor!T26</f>
        <v>79063.855688815223</v>
      </c>
      <c r="H91" s="109">
        <f>Middle!T26</f>
        <v>79063.855688815223</v>
      </c>
      <c r="I91" s="109">
        <f>Rich!T26</f>
        <v>79063.855688815238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29831.109022148565</v>
      </c>
      <c r="G93" s="109">
        <f>Poor!T24</f>
        <v>29831.109022148565</v>
      </c>
      <c r="H93" s="109">
        <f>Middle!T24</f>
        <v>29831.109022148565</v>
      </c>
      <c r="I93" s="109">
        <f>Rich!T24</f>
        <v>29831.109022148568</v>
      </c>
    </row>
    <row r="94" spans="1:9">
      <c r="A94" t="str">
        <f>V.Poor!Q25</f>
        <v>Lower Bound Poverty line</v>
      </c>
      <c r="F94" s="109">
        <f>V.Poor!T25</f>
        <v>46325.935688815232</v>
      </c>
      <c r="G94" s="109">
        <f>Poor!T25</f>
        <v>46325.935688815232</v>
      </c>
      <c r="H94" s="109">
        <f>Middle!T25</f>
        <v>46325.935688815232</v>
      </c>
      <c r="I94" s="109">
        <f>Rich!T25</f>
        <v>46325.935688815232</v>
      </c>
    </row>
    <row r="95" spans="1:9">
      <c r="A95" t="str">
        <f>V.Poor!Q26</f>
        <v>Upper Bound Poverty line</v>
      </c>
      <c r="F95" s="109">
        <f>V.Poor!T26</f>
        <v>79063.855688815223</v>
      </c>
      <c r="G95" s="109">
        <f>Poor!T26</f>
        <v>79063.855688815223</v>
      </c>
      <c r="H95" s="109">
        <f>Middle!T26</f>
        <v>79063.855688815223</v>
      </c>
      <c r="I95" s="109">
        <f>Rich!T26</f>
        <v>79063.855688815238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1083.9083791055382</v>
      </c>
      <c r="G98" s="239">
        <f t="shared" si="0"/>
        <v>0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7977.3159711895714</v>
      </c>
      <c r="C99" s="239">
        <f t="shared" si="0"/>
        <v>2829.2848104815494</v>
      </c>
      <c r="D99" s="239">
        <f t="shared" si="0"/>
        <v>0</v>
      </c>
      <c r="E99" s="239">
        <f t="shared" si="0"/>
        <v>0</v>
      </c>
      <c r="F99" s="239">
        <f t="shared" si="0"/>
        <v>17578.735045772206</v>
      </c>
      <c r="G99" s="239">
        <f t="shared" si="0"/>
        <v>15861.065113337354</v>
      </c>
      <c r="H99" s="239">
        <f t="shared" si="0"/>
        <v>7420.4181887405794</v>
      </c>
      <c r="I99" s="239">
        <f t="shared" si="0"/>
        <v>6578.8445078979494</v>
      </c>
    </row>
    <row r="100" spans="1:9">
      <c r="A100" t="s">
        <v>143</v>
      </c>
      <c r="B100" s="239">
        <f>IF(B91&gt;B$88,B91-B$88,0)</f>
        <v>40715.235971189562</v>
      </c>
      <c r="C100" s="239">
        <f t="shared" si="0"/>
        <v>35567.20481048154</v>
      </c>
      <c r="D100" s="239">
        <f t="shared" si="0"/>
        <v>19179.297727567609</v>
      </c>
      <c r="E100" s="239">
        <f t="shared" si="0"/>
        <v>0</v>
      </c>
      <c r="F100" s="239">
        <f t="shared" si="0"/>
        <v>50316.655045772197</v>
      </c>
      <c r="G100" s="239">
        <f t="shared" si="0"/>
        <v>48598.985113337345</v>
      </c>
      <c r="H100" s="239">
        <f t="shared" si="0"/>
        <v>40158.33818874057</v>
      </c>
      <c r="I100" s="239">
        <f t="shared" si="0"/>
        <v>39316.764507897955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4" t="str">
        <f>Poor!A1</f>
        <v>ZACNI: 59106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V.Poor!A67</f>
        <v>Expenditure : Very Poor HHs</v>
      </c>
      <c r="C3" s="265"/>
      <c r="D3" s="265"/>
      <c r="E3" s="265"/>
      <c r="F3" s="250"/>
      <c r="G3" s="263" t="str">
        <f>Poor!A67</f>
        <v>Expenditure : Poor HHs</v>
      </c>
      <c r="H3" s="263"/>
      <c r="I3" s="263"/>
      <c r="J3" s="263"/>
      <c r="K3" s="246"/>
      <c r="L3" s="263" t="str">
        <f>Middle!A67</f>
        <v>Expenditure : Middle HHs</v>
      </c>
      <c r="M3" s="263"/>
      <c r="N3" s="263"/>
      <c r="O3" s="263"/>
      <c r="P3" s="263"/>
      <c r="Q3" s="247"/>
      <c r="R3" s="263" t="str">
        <f>Rich!A67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0.5</v>
      </c>
      <c r="C2" s="202">
        <f>[1]WB!$CK$10</f>
        <v>0.3</v>
      </c>
      <c r="D2" s="202">
        <f>[1]WB!$CK$11</f>
        <v>0.15</v>
      </c>
      <c r="E2" s="202">
        <f>[1]WB!$CK$12</f>
        <v>0.05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3956.4575360895724</v>
      </c>
      <c r="C3" s="203">
        <f>Income!C72</f>
        <v>4381.2423919338971</v>
      </c>
      <c r="D3" s="203">
        <f>Income!D72</f>
        <v>6097.8637282341842</v>
      </c>
      <c r="E3" s="203">
        <f>Income!E72</f>
        <v>6166.8441894519465</v>
      </c>
      <c r="F3" s="204">
        <f>IF(F$2&lt;=($B$2+$C$2+$D$2),IF(F$2&lt;=($B$2+$C$2),IF(F$2&lt;=$B$2,$B3,$C3),$D3),$E3)</f>
        <v>3956.4575360895724</v>
      </c>
      <c r="G3" s="204">
        <f t="shared" ref="G3:AW7" si="0">IF(G$2&lt;=($B$2+$C$2+$D$2),IF(G$2&lt;=($B$2+$C$2),IF(G$2&lt;=$B$2,$B3,$C3),$D3),$E3)</f>
        <v>3956.4575360895724</v>
      </c>
      <c r="H3" s="204">
        <f t="shared" si="0"/>
        <v>3956.4575360895724</v>
      </c>
      <c r="I3" s="204">
        <f t="shared" si="0"/>
        <v>3956.4575360895724</v>
      </c>
      <c r="J3" s="204">
        <f t="shared" si="0"/>
        <v>3956.4575360895724</v>
      </c>
      <c r="K3" s="204">
        <f t="shared" si="0"/>
        <v>3956.4575360895724</v>
      </c>
      <c r="L3" s="204">
        <f t="shared" si="0"/>
        <v>3956.4575360895724</v>
      </c>
      <c r="M3" s="204">
        <f t="shared" si="0"/>
        <v>3956.4575360895724</v>
      </c>
      <c r="N3" s="204">
        <f t="shared" si="0"/>
        <v>3956.4575360895724</v>
      </c>
      <c r="O3" s="204">
        <f t="shared" si="0"/>
        <v>3956.4575360895724</v>
      </c>
      <c r="P3" s="204">
        <f t="shared" si="0"/>
        <v>3956.4575360895724</v>
      </c>
      <c r="Q3" s="204">
        <f t="shared" si="0"/>
        <v>3956.4575360895724</v>
      </c>
      <c r="R3" s="204">
        <f t="shared" si="0"/>
        <v>3956.4575360895724</v>
      </c>
      <c r="S3" s="204">
        <f t="shared" si="0"/>
        <v>3956.4575360895724</v>
      </c>
      <c r="T3" s="204">
        <f t="shared" si="0"/>
        <v>3956.4575360895724</v>
      </c>
      <c r="U3" s="204">
        <f t="shared" si="0"/>
        <v>3956.4575360895724</v>
      </c>
      <c r="V3" s="204">
        <f t="shared" si="0"/>
        <v>3956.4575360895724</v>
      </c>
      <c r="W3" s="204">
        <f t="shared" si="0"/>
        <v>3956.4575360895724</v>
      </c>
      <c r="X3" s="204">
        <f t="shared" si="0"/>
        <v>3956.4575360895724</v>
      </c>
      <c r="Y3" s="204">
        <f t="shared" si="0"/>
        <v>3956.4575360895724</v>
      </c>
      <c r="Z3" s="204">
        <f t="shared" si="0"/>
        <v>3956.4575360895724</v>
      </c>
      <c r="AA3" s="204">
        <f t="shared" si="0"/>
        <v>3956.4575360895724</v>
      </c>
      <c r="AB3" s="204">
        <f t="shared" si="0"/>
        <v>3956.4575360895724</v>
      </c>
      <c r="AC3" s="204">
        <f t="shared" si="0"/>
        <v>3956.4575360895724</v>
      </c>
      <c r="AD3" s="204">
        <f t="shared" si="0"/>
        <v>3956.4575360895724</v>
      </c>
      <c r="AE3" s="204">
        <f t="shared" si="0"/>
        <v>3956.4575360895724</v>
      </c>
      <c r="AF3" s="204">
        <f t="shared" si="0"/>
        <v>3956.4575360895724</v>
      </c>
      <c r="AG3" s="204">
        <f t="shared" si="0"/>
        <v>3956.4575360895724</v>
      </c>
      <c r="AH3" s="204">
        <f t="shared" si="0"/>
        <v>3956.4575360895724</v>
      </c>
      <c r="AI3" s="204">
        <f t="shared" si="0"/>
        <v>3956.4575360895724</v>
      </c>
      <c r="AJ3" s="204">
        <f t="shared" si="0"/>
        <v>3956.4575360895724</v>
      </c>
      <c r="AK3" s="204">
        <f t="shared" si="0"/>
        <v>3956.4575360895724</v>
      </c>
      <c r="AL3" s="204">
        <f t="shared" si="0"/>
        <v>3956.4575360895724</v>
      </c>
      <c r="AM3" s="204">
        <f t="shared" si="0"/>
        <v>3956.4575360895724</v>
      </c>
      <c r="AN3" s="204">
        <f t="shared" si="0"/>
        <v>3956.4575360895724</v>
      </c>
      <c r="AO3" s="204">
        <f t="shared" si="0"/>
        <v>3956.4575360895724</v>
      </c>
      <c r="AP3" s="204">
        <f t="shared" si="0"/>
        <v>3956.4575360895724</v>
      </c>
      <c r="AQ3" s="204">
        <f t="shared" si="0"/>
        <v>3956.4575360895724</v>
      </c>
      <c r="AR3" s="204">
        <f t="shared" si="0"/>
        <v>3956.4575360895724</v>
      </c>
      <c r="AS3" s="204">
        <f t="shared" si="0"/>
        <v>3956.4575360895724</v>
      </c>
      <c r="AT3" s="204">
        <f t="shared" si="0"/>
        <v>3956.4575360895724</v>
      </c>
      <c r="AU3" s="204">
        <f t="shared" si="0"/>
        <v>3956.4575360895724</v>
      </c>
      <c r="AV3" s="204">
        <f t="shared" si="0"/>
        <v>3956.4575360895724</v>
      </c>
      <c r="AW3" s="204">
        <f t="shared" si="0"/>
        <v>3956.4575360895724</v>
      </c>
      <c r="AX3" s="204">
        <f t="shared" ref="AX3:BZ10" si="1">IF(AX$2&lt;=($B$2+$C$2+$D$2),IF(AX$2&lt;=($B$2+$C$2),IF(AX$2&lt;=$B$2,$B3,$C3),$D3),$E3)</f>
        <v>3956.4575360895724</v>
      </c>
      <c r="AY3" s="204">
        <f t="shared" si="1"/>
        <v>3956.4575360895724</v>
      </c>
      <c r="AZ3" s="204">
        <f t="shared" si="1"/>
        <v>3956.4575360895724</v>
      </c>
      <c r="BA3" s="204">
        <f t="shared" si="1"/>
        <v>3956.4575360895724</v>
      </c>
      <c r="BB3" s="204">
        <f t="shared" si="1"/>
        <v>3956.4575360895724</v>
      </c>
      <c r="BC3" s="204">
        <f t="shared" si="1"/>
        <v>3956.4575360895724</v>
      </c>
      <c r="BD3" s="204">
        <f t="shared" si="1"/>
        <v>4381.2423919338971</v>
      </c>
      <c r="BE3" s="204">
        <f t="shared" si="1"/>
        <v>4381.2423919338971</v>
      </c>
      <c r="BF3" s="204">
        <f t="shared" si="1"/>
        <v>4381.2423919338971</v>
      </c>
      <c r="BG3" s="204">
        <f t="shared" si="1"/>
        <v>4381.2423919338971</v>
      </c>
      <c r="BH3" s="204">
        <f t="shared" si="1"/>
        <v>4381.2423919338971</v>
      </c>
      <c r="BI3" s="204">
        <f t="shared" si="1"/>
        <v>4381.2423919338971</v>
      </c>
      <c r="BJ3" s="204">
        <f t="shared" si="1"/>
        <v>4381.2423919338971</v>
      </c>
      <c r="BK3" s="204">
        <f t="shared" si="1"/>
        <v>4381.2423919338971</v>
      </c>
      <c r="BL3" s="204">
        <f t="shared" si="1"/>
        <v>4381.2423919338971</v>
      </c>
      <c r="BM3" s="204">
        <f t="shared" si="1"/>
        <v>4381.2423919338971</v>
      </c>
      <c r="BN3" s="204">
        <f t="shared" si="1"/>
        <v>4381.2423919338971</v>
      </c>
      <c r="BO3" s="204">
        <f t="shared" si="1"/>
        <v>4381.2423919338971</v>
      </c>
      <c r="BP3" s="204">
        <f t="shared" si="1"/>
        <v>4381.2423919338971</v>
      </c>
      <c r="BQ3" s="204">
        <f t="shared" si="1"/>
        <v>4381.2423919338971</v>
      </c>
      <c r="BR3" s="204">
        <f t="shared" si="1"/>
        <v>4381.2423919338971</v>
      </c>
      <c r="BS3" s="204">
        <f t="shared" si="1"/>
        <v>4381.2423919338971</v>
      </c>
      <c r="BT3" s="204">
        <f t="shared" si="1"/>
        <v>4381.2423919338971</v>
      </c>
      <c r="BU3" s="204">
        <f t="shared" si="1"/>
        <v>4381.2423919338971</v>
      </c>
      <c r="BV3" s="204">
        <f t="shared" si="1"/>
        <v>4381.2423919338971</v>
      </c>
      <c r="BW3" s="204">
        <f t="shared" si="1"/>
        <v>4381.2423919338971</v>
      </c>
      <c r="BX3" s="204">
        <f t="shared" si="1"/>
        <v>4381.2423919338971</v>
      </c>
      <c r="BY3" s="204">
        <f t="shared" si="1"/>
        <v>4381.2423919338971</v>
      </c>
      <c r="BZ3" s="204">
        <f t="shared" si="1"/>
        <v>4381.2423919338971</v>
      </c>
      <c r="CA3" s="204">
        <f t="shared" ref="CA3:CR15" si="2">IF(CA$2&lt;=($B$2+$C$2+$D$2),IF(CA$2&lt;=($B$2+$C$2),IF(CA$2&lt;=$B$2,$B3,$C3),$D3),$E3)</f>
        <v>4381.2423919338971</v>
      </c>
      <c r="CB3" s="204">
        <f t="shared" si="2"/>
        <v>4381.2423919338971</v>
      </c>
      <c r="CC3" s="204">
        <f t="shared" si="2"/>
        <v>4381.2423919338971</v>
      </c>
      <c r="CD3" s="204">
        <f t="shared" si="2"/>
        <v>4381.2423919338971</v>
      </c>
      <c r="CE3" s="204">
        <f t="shared" si="2"/>
        <v>4381.2423919338971</v>
      </c>
      <c r="CF3" s="204">
        <f t="shared" si="2"/>
        <v>4381.2423919338971</v>
      </c>
      <c r="CG3" s="204">
        <f t="shared" si="2"/>
        <v>4381.2423919338971</v>
      </c>
      <c r="CH3" s="204">
        <f t="shared" si="2"/>
        <v>6097.8637282341842</v>
      </c>
      <c r="CI3" s="204">
        <f t="shared" si="2"/>
        <v>6097.8637282341842</v>
      </c>
      <c r="CJ3" s="204">
        <f t="shared" si="2"/>
        <v>6097.8637282341842</v>
      </c>
      <c r="CK3" s="204">
        <f t="shared" si="2"/>
        <v>6097.8637282341842</v>
      </c>
      <c r="CL3" s="204">
        <f t="shared" si="2"/>
        <v>6097.8637282341842</v>
      </c>
      <c r="CM3" s="204">
        <f t="shared" si="2"/>
        <v>6097.8637282341842</v>
      </c>
      <c r="CN3" s="204">
        <f t="shared" si="2"/>
        <v>6097.8637282341842</v>
      </c>
      <c r="CO3" s="204">
        <f t="shared" si="2"/>
        <v>6097.8637282341842</v>
      </c>
      <c r="CP3" s="204">
        <f t="shared" si="2"/>
        <v>6097.8637282341842</v>
      </c>
      <c r="CQ3" s="204">
        <f t="shared" si="2"/>
        <v>6097.8637282341842</v>
      </c>
      <c r="CR3" s="204">
        <f t="shared" si="2"/>
        <v>6097.8637282341842</v>
      </c>
      <c r="CS3" s="204">
        <f t="shared" ref="CS3:DA15" si="3">IF(CS$2&lt;=($B$2+$C$2+$D$2),IF(CS$2&lt;=($B$2+$C$2),IF(CS$2&lt;=$B$2,$B3,$C3),$D3),$E3)</f>
        <v>6097.8637282341842</v>
      </c>
      <c r="CT3" s="204">
        <f t="shared" si="3"/>
        <v>6097.8637282341842</v>
      </c>
      <c r="CU3" s="204">
        <f t="shared" si="3"/>
        <v>6097.8637282341842</v>
      </c>
      <c r="CV3" s="204">
        <f t="shared" si="3"/>
        <v>6097.8637282341842</v>
      </c>
      <c r="CW3" s="204">
        <f t="shared" si="3"/>
        <v>6166.8441894519465</v>
      </c>
      <c r="CX3" s="204">
        <f t="shared" si="3"/>
        <v>6166.8441894519465</v>
      </c>
      <c r="CY3" s="204">
        <f t="shared" si="3"/>
        <v>6166.8441894519465</v>
      </c>
      <c r="CZ3" s="204">
        <f t="shared" si="3"/>
        <v>6166.8441894519465</v>
      </c>
      <c r="DA3" s="204">
        <f t="shared" si="3"/>
        <v>6166.8441894519465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1238.4628440424749</v>
      </c>
      <c r="D4" s="203">
        <f>Income!D73</f>
        <v>5364.203299375361</v>
      </c>
      <c r="E4" s="203">
        <f>Income!E73</f>
        <v>7603.2795975558211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1238.4628440424749</v>
      </c>
      <c r="BE4" s="204">
        <f t="shared" si="1"/>
        <v>1238.4628440424749</v>
      </c>
      <c r="BF4" s="204">
        <f t="shared" si="1"/>
        <v>1238.4628440424749</v>
      </c>
      <c r="BG4" s="204">
        <f t="shared" si="1"/>
        <v>1238.4628440424749</v>
      </c>
      <c r="BH4" s="204">
        <f t="shared" si="1"/>
        <v>1238.4628440424749</v>
      </c>
      <c r="BI4" s="204">
        <f t="shared" si="1"/>
        <v>1238.4628440424749</v>
      </c>
      <c r="BJ4" s="204">
        <f t="shared" si="1"/>
        <v>1238.4628440424749</v>
      </c>
      <c r="BK4" s="204">
        <f t="shared" si="1"/>
        <v>1238.4628440424749</v>
      </c>
      <c r="BL4" s="204">
        <f t="shared" si="1"/>
        <v>1238.4628440424749</v>
      </c>
      <c r="BM4" s="204">
        <f t="shared" si="1"/>
        <v>1238.4628440424749</v>
      </c>
      <c r="BN4" s="204">
        <f t="shared" si="1"/>
        <v>1238.4628440424749</v>
      </c>
      <c r="BO4" s="204">
        <f t="shared" si="1"/>
        <v>1238.4628440424749</v>
      </c>
      <c r="BP4" s="204">
        <f t="shared" si="1"/>
        <v>1238.4628440424749</v>
      </c>
      <c r="BQ4" s="204">
        <f t="shared" si="1"/>
        <v>1238.4628440424749</v>
      </c>
      <c r="BR4" s="204">
        <f t="shared" si="1"/>
        <v>1238.4628440424749</v>
      </c>
      <c r="BS4" s="204">
        <f t="shared" si="1"/>
        <v>1238.4628440424749</v>
      </c>
      <c r="BT4" s="204">
        <f t="shared" si="1"/>
        <v>1238.4628440424749</v>
      </c>
      <c r="BU4" s="204">
        <f t="shared" si="1"/>
        <v>1238.4628440424749</v>
      </c>
      <c r="BV4" s="204">
        <f t="shared" si="1"/>
        <v>1238.4628440424749</v>
      </c>
      <c r="BW4" s="204">
        <f t="shared" si="1"/>
        <v>1238.4628440424749</v>
      </c>
      <c r="BX4" s="204">
        <f t="shared" si="1"/>
        <v>1238.4628440424749</v>
      </c>
      <c r="BY4" s="204">
        <f t="shared" si="1"/>
        <v>1238.4628440424749</v>
      </c>
      <c r="BZ4" s="204">
        <f t="shared" si="1"/>
        <v>1238.4628440424749</v>
      </c>
      <c r="CA4" s="204">
        <f t="shared" si="2"/>
        <v>1238.4628440424749</v>
      </c>
      <c r="CB4" s="204">
        <f t="shared" si="2"/>
        <v>1238.4628440424749</v>
      </c>
      <c r="CC4" s="204">
        <f t="shared" si="2"/>
        <v>1238.4628440424749</v>
      </c>
      <c r="CD4" s="204">
        <f t="shared" si="2"/>
        <v>1238.4628440424749</v>
      </c>
      <c r="CE4" s="204">
        <f t="shared" si="2"/>
        <v>1238.4628440424749</v>
      </c>
      <c r="CF4" s="204">
        <f t="shared" si="2"/>
        <v>1238.4628440424749</v>
      </c>
      <c r="CG4" s="204">
        <f t="shared" si="2"/>
        <v>1238.4628440424749</v>
      </c>
      <c r="CH4" s="204">
        <f t="shared" si="2"/>
        <v>5364.203299375361</v>
      </c>
      <c r="CI4" s="204">
        <f t="shared" si="2"/>
        <v>5364.203299375361</v>
      </c>
      <c r="CJ4" s="204">
        <f t="shared" si="2"/>
        <v>5364.203299375361</v>
      </c>
      <c r="CK4" s="204">
        <f t="shared" si="2"/>
        <v>5364.203299375361</v>
      </c>
      <c r="CL4" s="204">
        <f t="shared" si="2"/>
        <v>5364.203299375361</v>
      </c>
      <c r="CM4" s="204">
        <f t="shared" si="2"/>
        <v>5364.203299375361</v>
      </c>
      <c r="CN4" s="204">
        <f t="shared" si="2"/>
        <v>5364.203299375361</v>
      </c>
      <c r="CO4" s="204">
        <f t="shared" si="2"/>
        <v>5364.203299375361</v>
      </c>
      <c r="CP4" s="204">
        <f t="shared" si="2"/>
        <v>5364.203299375361</v>
      </c>
      <c r="CQ4" s="204">
        <f t="shared" si="2"/>
        <v>5364.203299375361</v>
      </c>
      <c r="CR4" s="204">
        <f t="shared" si="2"/>
        <v>5364.203299375361</v>
      </c>
      <c r="CS4" s="204">
        <f t="shared" si="3"/>
        <v>5364.203299375361</v>
      </c>
      <c r="CT4" s="204">
        <f t="shared" si="3"/>
        <v>5364.203299375361</v>
      </c>
      <c r="CU4" s="204">
        <f t="shared" si="3"/>
        <v>5364.203299375361</v>
      </c>
      <c r="CV4" s="204">
        <f t="shared" si="3"/>
        <v>5364.203299375361</v>
      </c>
      <c r="CW4" s="204">
        <f t="shared" si="3"/>
        <v>7603.2795975558211</v>
      </c>
      <c r="CX4" s="204">
        <f t="shared" si="3"/>
        <v>7603.2795975558211</v>
      </c>
      <c r="CY4" s="204">
        <f t="shared" si="3"/>
        <v>7603.2795975558211</v>
      </c>
      <c r="CZ4" s="204">
        <f t="shared" si="3"/>
        <v>7603.2795975558211</v>
      </c>
      <c r="DA4" s="204">
        <f t="shared" si="3"/>
        <v>7603.2795975558211</v>
      </c>
      <c r="DB4" s="204"/>
    </row>
    <row r="5" spans="1:106">
      <c r="A5" s="201" t="str">
        <f>Income!A74</f>
        <v>Animal products consumed</v>
      </c>
      <c r="B5" s="203">
        <f>Income!B74</f>
        <v>279.81896093684895</v>
      </c>
      <c r="C5" s="203">
        <f>Income!C74</f>
        <v>432.45354682181602</v>
      </c>
      <c r="D5" s="203">
        <f>Income!D74</f>
        <v>745.16676507581951</v>
      </c>
      <c r="E5" s="203">
        <f>Income!E74</f>
        <v>1940.8624261512305</v>
      </c>
      <c r="F5" s="204">
        <f t="shared" si="4"/>
        <v>279.81896093684895</v>
      </c>
      <c r="G5" s="204">
        <f t="shared" si="0"/>
        <v>279.81896093684895</v>
      </c>
      <c r="H5" s="204">
        <f t="shared" si="0"/>
        <v>279.81896093684895</v>
      </c>
      <c r="I5" s="204">
        <f t="shared" si="0"/>
        <v>279.81896093684895</v>
      </c>
      <c r="J5" s="204">
        <f t="shared" si="0"/>
        <v>279.81896093684895</v>
      </c>
      <c r="K5" s="204">
        <f t="shared" si="0"/>
        <v>279.81896093684895</v>
      </c>
      <c r="L5" s="204">
        <f t="shared" si="0"/>
        <v>279.81896093684895</v>
      </c>
      <c r="M5" s="204">
        <f t="shared" si="0"/>
        <v>279.81896093684895</v>
      </c>
      <c r="N5" s="204">
        <f t="shared" si="0"/>
        <v>279.81896093684895</v>
      </c>
      <c r="O5" s="204">
        <f t="shared" si="0"/>
        <v>279.81896093684895</v>
      </c>
      <c r="P5" s="204">
        <f t="shared" si="0"/>
        <v>279.81896093684895</v>
      </c>
      <c r="Q5" s="204">
        <f t="shared" si="0"/>
        <v>279.81896093684895</v>
      </c>
      <c r="R5" s="204">
        <f t="shared" si="0"/>
        <v>279.81896093684895</v>
      </c>
      <c r="S5" s="204">
        <f t="shared" si="0"/>
        <v>279.81896093684895</v>
      </c>
      <c r="T5" s="204">
        <f t="shared" si="0"/>
        <v>279.81896093684895</v>
      </c>
      <c r="U5" s="204">
        <f t="shared" si="0"/>
        <v>279.81896093684895</v>
      </c>
      <c r="V5" s="204">
        <f t="shared" si="0"/>
        <v>279.81896093684895</v>
      </c>
      <c r="W5" s="204">
        <f t="shared" si="0"/>
        <v>279.81896093684895</v>
      </c>
      <c r="X5" s="204">
        <f t="shared" si="0"/>
        <v>279.81896093684895</v>
      </c>
      <c r="Y5" s="204">
        <f t="shared" si="0"/>
        <v>279.81896093684895</v>
      </c>
      <c r="Z5" s="204">
        <f t="shared" si="0"/>
        <v>279.81896093684895</v>
      </c>
      <c r="AA5" s="204">
        <f t="shared" si="0"/>
        <v>279.81896093684895</v>
      </c>
      <c r="AB5" s="204">
        <f t="shared" si="0"/>
        <v>279.81896093684895</v>
      </c>
      <c r="AC5" s="204">
        <f t="shared" si="0"/>
        <v>279.81896093684895</v>
      </c>
      <c r="AD5" s="204">
        <f t="shared" si="0"/>
        <v>279.81896093684895</v>
      </c>
      <c r="AE5" s="204">
        <f t="shared" si="0"/>
        <v>279.81896093684895</v>
      </c>
      <c r="AF5" s="204">
        <f t="shared" si="0"/>
        <v>279.81896093684895</v>
      </c>
      <c r="AG5" s="204">
        <f t="shared" si="0"/>
        <v>279.81896093684895</v>
      </c>
      <c r="AH5" s="204">
        <f t="shared" si="0"/>
        <v>279.81896093684895</v>
      </c>
      <c r="AI5" s="204">
        <f t="shared" si="0"/>
        <v>279.81896093684895</v>
      </c>
      <c r="AJ5" s="204">
        <f t="shared" si="0"/>
        <v>279.81896093684895</v>
      </c>
      <c r="AK5" s="204">
        <f t="shared" si="0"/>
        <v>279.81896093684895</v>
      </c>
      <c r="AL5" s="204">
        <f t="shared" si="0"/>
        <v>279.81896093684895</v>
      </c>
      <c r="AM5" s="204">
        <f t="shared" si="0"/>
        <v>279.81896093684895</v>
      </c>
      <c r="AN5" s="204">
        <f t="shared" si="0"/>
        <v>279.81896093684895</v>
      </c>
      <c r="AO5" s="204">
        <f t="shared" si="0"/>
        <v>279.81896093684895</v>
      </c>
      <c r="AP5" s="204">
        <f t="shared" si="0"/>
        <v>279.81896093684895</v>
      </c>
      <c r="AQ5" s="204">
        <f t="shared" si="0"/>
        <v>279.81896093684895</v>
      </c>
      <c r="AR5" s="204">
        <f t="shared" si="0"/>
        <v>279.81896093684895</v>
      </c>
      <c r="AS5" s="204">
        <f t="shared" si="0"/>
        <v>279.81896093684895</v>
      </c>
      <c r="AT5" s="204">
        <f t="shared" si="0"/>
        <v>279.81896093684895</v>
      </c>
      <c r="AU5" s="204">
        <f t="shared" si="0"/>
        <v>279.81896093684895</v>
      </c>
      <c r="AV5" s="204">
        <f t="shared" si="0"/>
        <v>279.81896093684895</v>
      </c>
      <c r="AW5" s="204">
        <f t="shared" si="0"/>
        <v>279.81896093684895</v>
      </c>
      <c r="AX5" s="204">
        <f t="shared" si="1"/>
        <v>279.81896093684895</v>
      </c>
      <c r="AY5" s="204">
        <f t="shared" si="1"/>
        <v>279.81896093684895</v>
      </c>
      <c r="AZ5" s="204">
        <f t="shared" si="1"/>
        <v>279.81896093684895</v>
      </c>
      <c r="BA5" s="204">
        <f t="shared" si="1"/>
        <v>279.81896093684895</v>
      </c>
      <c r="BB5" s="204">
        <f t="shared" si="1"/>
        <v>279.81896093684895</v>
      </c>
      <c r="BC5" s="204">
        <f t="shared" si="1"/>
        <v>279.81896093684895</v>
      </c>
      <c r="BD5" s="204">
        <f t="shared" si="1"/>
        <v>432.45354682181602</v>
      </c>
      <c r="BE5" s="204">
        <f t="shared" si="1"/>
        <v>432.45354682181602</v>
      </c>
      <c r="BF5" s="204">
        <f t="shared" si="1"/>
        <v>432.45354682181602</v>
      </c>
      <c r="BG5" s="204">
        <f t="shared" si="1"/>
        <v>432.45354682181602</v>
      </c>
      <c r="BH5" s="204">
        <f t="shared" si="1"/>
        <v>432.45354682181602</v>
      </c>
      <c r="BI5" s="204">
        <f t="shared" si="1"/>
        <v>432.45354682181602</v>
      </c>
      <c r="BJ5" s="204">
        <f t="shared" si="1"/>
        <v>432.45354682181602</v>
      </c>
      <c r="BK5" s="204">
        <f t="shared" si="1"/>
        <v>432.45354682181602</v>
      </c>
      <c r="BL5" s="204">
        <f t="shared" si="1"/>
        <v>432.45354682181602</v>
      </c>
      <c r="BM5" s="204">
        <f t="shared" si="1"/>
        <v>432.45354682181602</v>
      </c>
      <c r="BN5" s="204">
        <f t="shared" si="1"/>
        <v>432.45354682181602</v>
      </c>
      <c r="BO5" s="204">
        <f t="shared" si="1"/>
        <v>432.45354682181602</v>
      </c>
      <c r="BP5" s="204">
        <f t="shared" si="1"/>
        <v>432.45354682181602</v>
      </c>
      <c r="BQ5" s="204">
        <f t="shared" si="1"/>
        <v>432.45354682181602</v>
      </c>
      <c r="BR5" s="204">
        <f t="shared" si="1"/>
        <v>432.45354682181602</v>
      </c>
      <c r="BS5" s="204">
        <f t="shared" si="1"/>
        <v>432.45354682181602</v>
      </c>
      <c r="BT5" s="204">
        <f t="shared" si="1"/>
        <v>432.45354682181602</v>
      </c>
      <c r="BU5" s="204">
        <f t="shared" si="1"/>
        <v>432.45354682181602</v>
      </c>
      <c r="BV5" s="204">
        <f t="shared" si="1"/>
        <v>432.45354682181602</v>
      </c>
      <c r="BW5" s="204">
        <f t="shared" si="1"/>
        <v>432.45354682181602</v>
      </c>
      <c r="BX5" s="204">
        <f t="shared" si="1"/>
        <v>432.45354682181602</v>
      </c>
      <c r="BY5" s="204">
        <f t="shared" si="1"/>
        <v>432.45354682181602</v>
      </c>
      <c r="BZ5" s="204">
        <f t="shared" si="1"/>
        <v>432.45354682181602</v>
      </c>
      <c r="CA5" s="204">
        <f t="shared" si="2"/>
        <v>432.45354682181602</v>
      </c>
      <c r="CB5" s="204">
        <f t="shared" si="2"/>
        <v>432.45354682181602</v>
      </c>
      <c r="CC5" s="204">
        <f t="shared" si="2"/>
        <v>432.45354682181602</v>
      </c>
      <c r="CD5" s="204">
        <f t="shared" si="2"/>
        <v>432.45354682181602</v>
      </c>
      <c r="CE5" s="204">
        <f t="shared" si="2"/>
        <v>432.45354682181602</v>
      </c>
      <c r="CF5" s="204">
        <f t="shared" si="2"/>
        <v>432.45354682181602</v>
      </c>
      <c r="CG5" s="204">
        <f t="shared" si="2"/>
        <v>432.45354682181602</v>
      </c>
      <c r="CH5" s="204">
        <f t="shared" si="2"/>
        <v>745.16676507581951</v>
      </c>
      <c r="CI5" s="204">
        <f t="shared" si="2"/>
        <v>745.16676507581951</v>
      </c>
      <c r="CJ5" s="204">
        <f t="shared" si="2"/>
        <v>745.16676507581951</v>
      </c>
      <c r="CK5" s="204">
        <f t="shared" si="2"/>
        <v>745.16676507581951</v>
      </c>
      <c r="CL5" s="204">
        <f t="shared" si="2"/>
        <v>745.16676507581951</v>
      </c>
      <c r="CM5" s="204">
        <f t="shared" si="2"/>
        <v>745.16676507581951</v>
      </c>
      <c r="CN5" s="204">
        <f t="shared" si="2"/>
        <v>745.16676507581951</v>
      </c>
      <c r="CO5" s="204">
        <f t="shared" si="2"/>
        <v>745.16676507581951</v>
      </c>
      <c r="CP5" s="204">
        <f t="shared" si="2"/>
        <v>745.16676507581951</v>
      </c>
      <c r="CQ5" s="204">
        <f t="shared" si="2"/>
        <v>745.16676507581951</v>
      </c>
      <c r="CR5" s="204">
        <f t="shared" si="2"/>
        <v>745.16676507581951</v>
      </c>
      <c r="CS5" s="204">
        <f t="shared" si="3"/>
        <v>745.16676507581951</v>
      </c>
      <c r="CT5" s="204">
        <f t="shared" si="3"/>
        <v>745.16676507581951</v>
      </c>
      <c r="CU5" s="204">
        <f t="shared" si="3"/>
        <v>745.16676507581951</v>
      </c>
      <c r="CV5" s="204">
        <f t="shared" si="3"/>
        <v>745.16676507581951</v>
      </c>
      <c r="CW5" s="204">
        <f t="shared" si="3"/>
        <v>1940.8624261512305</v>
      </c>
      <c r="CX5" s="204">
        <f t="shared" si="3"/>
        <v>1940.8624261512305</v>
      </c>
      <c r="CY5" s="204">
        <f t="shared" si="3"/>
        <v>1940.8624261512305</v>
      </c>
      <c r="CZ5" s="204">
        <f t="shared" si="3"/>
        <v>1940.8624261512305</v>
      </c>
      <c r="DA5" s="204">
        <f t="shared" si="3"/>
        <v>1940.8624261512305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740.70744260913568</v>
      </c>
      <c r="D7" s="203">
        <f>Income!D76</f>
        <v>5184.9520982639497</v>
      </c>
      <c r="E7" s="203">
        <f>Income!E76</f>
        <v>14550.78620592169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0</v>
      </c>
      <c r="BB7" s="204">
        <f t="shared" si="5"/>
        <v>0</v>
      </c>
      <c r="BC7" s="204">
        <f t="shared" si="5"/>
        <v>0</v>
      </c>
      <c r="BD7" s="204">
        <f t="shared" si="5"/>
        <v>740.70744260913568</v>
      </c>
      <c r="BE7" s="204">
        <f t="shared" si="5"/>
        <v>740.70744260913568</v>
      </c>
      <c r="BF7" s="204">
        <f t="shared" si="5"/>
        <v>740.70744260913568</v>
      </c>
      <c r="BG7" s="204">
        <f t="shared" si="5"/>
        <v>740.70744260913568</v>
      </c>
      <c r="BH7" s="204">
        <f t="shared" si="5"/>
        <v>740.70744260913568</v>
      </c>
      <c r="BI7" s="204">
        <f t="shared" si="5"/>
        <v>740.70744260913568</v>
      </c>
      <c r="BJ7" s="204">
        <f t="shared" si="5"/>
        <v>740.70744260913568</v>
      </c>
      <c r="BK7" s="204">
        <f t="shared" si="1"/>
        <v>740.70744260913568</v>
      </c>
      <c r="BL7" s="204">
        <f t="shared" si="1"/>
        <v>740.70744260913568</v>
      </c>
      <c r="BM7" s="204">
        <f t="shared" si="1"/>
        <v>740.70744260913568</v>
      </c>
      <c r="BN7" s="204">
        <f t="shared" si="1"/>
        <v>740.70744260913568</v>
      </c>
      <c r="BO7" s="204">
        <f t="shared" si="1"/>
        <v>740.70744260913568</v>
      </c>
      <c r="BP7" s="204">
        <f t="shared" si="1"/>
        <v>740.70744260913568</v>
      </c>
      <c r="BQ7" s="204">
        <f t="shared" si="1"/>
        <v>740.70744260913568</v>
      </c>
      <c r="BR7" s="204">
        <f t="shared" si="1"/>
        <v>740.70744260913568</v>
      </c>
      <c r="BS7" s="204">
        <f t="shared" si="1"/>
        <v>740.70744260913568</v>
      </c>
      <c r="BT7" s="204">
        <f t="shared" si="1"/>
        <v>740.70744260913568</v>
      </c>
      <c r="BU7" s="204">
        <f t="shared" si="1"/>
        <v>740.70744260913568</v>
      </c>
      <c r="BV7" s="204">
        <f t="shared" si="1"/>
        <v>740.70744260913568</v>
      </c>
      <c r="BW7" s="204">
        <f t="shared" si="1"/>
        <v>740.70744260913568</v>
      </c>
      <c r="BX7" s="204">
        <f t="shared" si="1"/>
        <v>740.70744260913568</v>
      </c>
      <c r="BY7" s="204">
        <f t="shared" si="1"/>
        <v>740.70744260913568</v>
      </c>
      <c r="BZ7" s="204">
        <f t="shared" si="1"/>
        <v>740.70744260913568</v>
      </c>
      <c r="CA7" s="204">
        <f t="shared" si="2"/>
        <v>740.70744260913568</v>
      </c>
      <c r="CB7" s="204">
        <f t="shared" si="2"/>
        <v>740.70744260913568</v>
      </c>
      <c r="CC7" s="204">
        <f t="shared" si="2"/>
        <v>740.70744260913568</v>
      </c>
      <c r="CD7" s="204">
        <f t="shared" si="2"/>
        <v>740.70744260913568</v>
      </c>
      <c r="CE7" s="204">
        <f t="shared" si="2"/>
        <v>740.70744260913568</v>
      </c>
      <c r="CF7" s="204">
        <f t="shared" si="2"/>
        <v>740.70744260913568</v>
      </c>
      <c r="CG7" s="204">
        <f t="shared" si="2"/>
        <v>740.70744260913568</v>
      </c>
      <c r="CH7" s="204">
        <f t="shared" si="2"/>
        <v>5184.9520982639497</v>
      </c>
      <c r="CI7" s="204">
        <f t="shared" si="2"/>
        <v>5184.9520982639497</v>
      </c>
      <c r="CJ7" s="204">
        <f t="shared" si="2"/>
        <v>5184.9520982639497</v>
      </c>
      <c r="CK7" s="204">
        <f t="shared" si="2"/>
        <v>5184.9520982639497</v>
      </c>
      <c r="CL7" s="204">
        <f t="shared" si="2"/>
        <v>5184.9520982639497</v>
      </c>
      <c r="CM7" s="204">
        <f t="shared" si="2"/>
        <v>5184.9520982639497</v>
      </c>
      <c r="CN7" s="204">
        <f t="shared" si="2"/>
        <v>5184.9520982639497</v>
      </c>
      <c r="CO7" s="204">
        <f t="shared" si="2"/>
        <v>5184.9520982639497</v>
      </c>
      <c r="CP7" s="204">
        <f t="shared" si="2"/>
        <v>5184.9520982639497</v>
      </c>
      <c r="CQ7" s="204">
        <f t="shared" si="2"/>
        <v>5184.9520982639497</v>
      </c>
      <c r="CR7" s="204">
        <f t="shared" si="2"/>
        <v>5184.9520982639497</v>
      </c>
      <c r="CS7" s="204">
        <f t="shared" si="3"/>
        <v>5184.9520982639497</v>
      </c>
      <c r="CT7" s="204">
        <f t="shared" si="3"/>
        <v>5184.9520982639497</v>
      </c>
      <c r="CU7" s="204">
        <f t="shared" si="3"/>
        <v>5184.9520982639497</v>
      </c>
      <c r="CV7" s="204">
        <f t="shared" si="3"/>
        <v>5184.9520982639497</v>
      </c>
      <c r="CW7" s="204">
        <f t="shared" si="3"/>
        <v>14550.78620592169</v>
      </c>
      <c r="CX7" s="204">
        <f t="shared" si="3"/>
        <v>14550.78620592169</v>
      </c>
      <c r="CY7" s="204">
        <f t="shared" si="3"/>
        <v>14550.78620592169</v>
      </c>
      <c r="CZ7" s="204">
        <f t="shared" si="3"/>
        <v>14550.78620592169</v>
      </c>
      <c r="DA7" s="204">
        <f t="shared" si="3"/>
        <v>14550.78620592169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146.66966986477667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146.66966986477667</v>
      </c>
      <c r="CX8" s="204">
        <f t="shared" si="3"/>
        <v>146.66966986477667</v>
      </c>
      <c r="CY8" s="204">
        <f t="shared" si="3"/>
        <v>146.66966986477667</v>
      </c>
      <c r="CZ8" s="204">
        <f t="shared" si="3"/>
        <v>146.66966986477667</v>
      </c>
      <c r="DA8" s="204">
        <f t="shared" si="3"/>
        <v>146.66966986477667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2591.4414323271239</v>
      </c>
      <c r="D9" s="203">
        <f>Income!D78</f>
        <v>1114.0239936841401</v>
      </c>
      <c r="E9" s="203">
        <f>Income!E78</f>
        <v>0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2591.4414323271239</v>
      </c>
      <c r="BE9" s="204">
        <f t="shared" si="1"/>
        <v>2591.4414323271239</v>
      </c>
      <c r="BF9" s="204">
        <f t="shared" si="1"/>
        <v>2591.4414323271239</v>
      </c>
      <c r="BG9" s="204">
        <f t="shared" si="1"/>
        <v>2591.4414323271239</v>
      </c>
      <c r="BH9" s="204">
        <f t="shared" si="1"/>
        <v>2591.4414323271239</v>
      </c>
      <c r="BI9" s="204">
        <f t="shared" si="1"/>
        <v>2591.4414323271239</v>
      </c>
      <c r="BJ9" s="204">
        <f t="shared" si="1"/>
        <v>2591.4414323271239</v>
      </c>
      <c r="BK9" s="204">
        <f t="shared" si="1"/>
        <v>2591.4414323271239</v>
      </c>
      <c r="BL9" s="204">
        <f t="shared" si="1"/>
        <v>2591.4414323271239</v>
      </c>
      <c r="BM9" s="204">
        <f t="shared" si="1"/>
        <v>2591.4414323271239</v>
      </c>
      <c r="BN9" s="204">
        <f t="shared" si="1"/>
        <v>2591.4414323271239</v>
      </c>
      <c r="BO9" s="204">
        <f t="shared" si="1"/>
        <v>2591.4414323271239</v>
      </c>
      <c r="BP9" s="204">
        <f t="shared" si="1"/>
        <v>2591.4414323271239</v>
      </c>
      <c r="BQ9" s="204">
        <f t="shared" si="1"/>
        <v>2591.4414323271239</v>
      </c>
      <c r="BR9" s="204">
        <f t="shared" si="1"/>
        <v>2591.4414323271239</v>
      </c>
      <c r="BS9" s="204">
        <f t="shared" si="1"/>
        <v>2591.4414323271239</v>
      </c>
      <c r="BT9" s="204">
        <f t="shared" si="1"/>
        <v>2591.4414323271239</v>
      </c>
      <c r="BU9" s="204">
        <f t="shared" si="1"/>
        <v>2591.4414323271239</v>
      </c>
      <c r="BV9" s="204">
        <f t="shared" si="1"/>
        <v>2591.4414323271239</v>
      </c>
      <c r="BW9" s="204">
        <f t="shared" si="1"/>
        <v>2591.4414323271239</v>
      </c>
      <c r="BX9" s="204">
        <f t="shared" si="1"/>
        <v>2591.4414323271239</v>
      </c>
      <c r="BY9" s="204">
        <f t="shared" si="1"/>
        <v>2591.4414323271239</v>
      </c>
      <c r="BZ9" s="204">
        <f t="shared" si="1"/>
        <v>2591.4414323271239</v>
      </c>
      <c r="CA9" s="204">
        <f t="shared" si="2"/>
        <v>2591.4414323271239</v>
      </c>
      <c r="CB9" s="204">
        <f t="shared" si="2"/>
        <v>2591.4414323271239</v>
      </c>
      <c r="CC9" s="204">
        <f t="shared" si="2"/>
        <v>2591.4414323271239</v>
      </c>
      <c r="CD9" s="204">
        <f t="shared" si="2"/>
        <v>2591.4414323271239</v>
      </c>
      <c r="CE9" s="204">
        <f t="shared" si="2"/>
        <v>2591.4414323271239</v>
      </c>
      <c r="CF9" s="204">
        <f t="shared" si="2"/>
        <v>2591.4414323271239</v>
      </c>
      <c r="CG9" s="204">
        <f t="shared" si="2"/>
        <v>2591.4414323271239</v>
      </c>
      <c r="CH9" s="204">
        <f t="shared" si="2"/>
        <v>1114.0239936841401</v>
      </c>
      <c r="CI9" s="204">
        <f t="shared" si="2"/>
        <v>1114.0239936841401</v>
      </c>
      <c r="CJ9" s="204">
        <f t="shared" si="2"/>
        <v>1114.0239936841401</v>
      </c>
      <c r="CK9" s="204">
        <f t="shared" si="2"/>
        <v>1114.0239936841401</v>
      </c>
      <c r="CL9" s="204">
        <f t="shared" si="2"/>
        <v>1114.0239936841401</v>
      </c>
      <c r="CM9" s="204">
        <f t="shared" si="2"/>
        <v>1114.0239936841401</v>
      </c>
      <c r="CN9" s="204">
        <f t="shared" si="2"/>
        <v>1114.0239936841401</v>
      </c>
      <c r="CO9" s="204">
        <f t="shared" si="2"/>
        <v>1114.0239936841401</v>
      </c>
      <c r="CP9" s="204">
        <f t="shared" si="2"/>
        <v>1114.0239936841401</v>
      </c>
      <c r="CQ9" s="204">
        <f t="shared" si="2"/>
        <v>1114.0239936841401</v>
      </c>
      <c r="CR9" s="204">
        <f t="shared" si="2"/>
        <v>1114.0239936841401</v>
      </c>
      <c r="CS9" s="204">
        <f t="shared" si="3"/>
        <v>1114.0239936841401</v>
      </c>
      <c r="CT9" s="204">
        <f t="shared" si="3"/>
        <v>1114.0239936841401</v>
      </c>
      <c r="CU9" s="204">
        <f t="shared" si="3"/>
        <v>1114.0239936841401</v>
      </c>
      <c r="CV9" s="204">
        <f t="shared" si="3"/>
        <v>1114.0239936841401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45772.42792016633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45772.42792016633</v>
      </c>
      <c r="CX10" s="204">
        <f t="shared" si="3"/>
        <v>45772.42792016633</v>
      </c>
      <c r="CY10" s="204">
        <f t="shared" si="3"/>
        <v>45772.42792016633</v>
      </c>
      <c r="CZ10" s="204">
        <f t="shared" si="3"/>
        <v>45772.42792016633</v>
      </c>
      <c r="DA10" s="204">
        <f t="shared" si="3"/>
        <v>45772.42792016633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635.52698575863838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635.52698575863838</v>
      </c>
      <c r="CI11" s="204">
        <f t="shared" si="2"/>
        <v>635.52698575863838</v>
      </c>
      <c r="CJ11" s="204">
        <f t="shared" si="2"/>
        <v>635.52698575863838</v>
      </c>
      <c r="CK11" s="204">
        <f t="shared" si="2"/>
        <v>635.52698575863838</v>
      </c>
      <c r="CL11" s="204">
        <f t="shared" si="2"/>
        <v>635.52698575863838</v>
      </c>
      <c r="CM11" s="204">
        <f t="shared" si="2"/>
        <v>635.52698575863838</v>
      </c>
      <c r="CN11" s="204">
        <f t="shared" si="2"/>
        <v>635.52698575863838</v>
      </c>
      <c r="CO11" s="204">
        <f t="shared" si="2"/>
        <v>635.52698575863838</v>
      </c>
      <c r="CP11" s="204">
        <f t="shared" si="2"/>
        <v>635.52698575863838</v>
      </c>
      <c r="CQ11" s="204">
        <f t="shared" si="2"/>
        <v>635.52698575863838</v>
      </c>
      <c r="CR11" s="204">
        <f t="shared" si="2"/>
        <v>635.52698575863838</v>
      </c>
      <c r="CS11" s="204">
        <f t="shared" si="3"/>
        <v>635.52698575863838</v>
      </c>
      <c r="CT11" s="204">
        <f t="shared" si="3"/>
        <v>635.52698575863838</v>
      </c>
      <c r="CU11" s="204">
        <f t="shared" si="3"/>
        <v>635.52698575863838</v>
      </c>
      <c r="CV11" s="204">
        <f t="shared" si="3"/>
        <v>635.52698575863838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3199.8561520714661</v>
      </c>
      <c r="E12" s="203">
        <f>Income!E82</f>
        <v>0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0</v>
      </c>
      <c r="BY12" s="204">
        <f t="shared" si="8"/>
        <v>0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0</v>
      </c>
      <c r="CD12" s="204">
        <f t="shared" si="2"/>
        <v>0</v>
      </c>
      <c r="CE12" s="204">
        <f t="shared" si="2"/>
        <v>0</v>
      </c>
      <c r="CF12" s="204">
        <f t="shared" si="2"/>
        <v>0</v>
      </c>
      <c r="CG12" s="204">
        <f t="shared" si="2"/>
        <v>0</v>
      </c>
      <c r="CH12" s="204">
        <f t="shared" si="2"/>
        <v>3199.8561520714661</v>
      </c>
      <c r="CI12" s="204">
        <f t="shared" si="2"/>
        <v>3199.8561520714661</v>
      </c>
      <c r="CJ12" s="204">
        <f t="shared" si="2"/>
        <v>3199.8561520714661</v>
      </c>
      <c r="CK12" s="204">
        <f t="shared" si="2"/>
        <v>3199.8561520714661</v>
      </c>
      <c r="CL12" s="204">
        <f t="shared" si="2"/>
        <v>3199.8561520714661</v>
      </c>
      <c r="CM12" s="204">
        <f t="shared" si="2"/>
        <v>3199.8561520714661</v>
      </c>
      <c r="CN12" s="204">
        <f t="shared" si="2"/>
        <v>3199.8561520714661</v>
      </c>
      <c r="CO12" s="204">
        <f t="shared" si="2"/>
        <v>3199.8561520714661</v>
      </c>
      <c r="CP12" s="204">
        <f t="shared" si="2"/>
        <v>3199.8561520714661</v>
      </c>
      <c r="CQ12" s="204">
        <f t="shared" si="2"/>
        <v>3199.8561520714661</v>
      </c>
      <c r="CR12" s="204">
        <f t="shared" si="2"/>
        <v>3199.8561520714661</v>
      </c>
      <c r="CS12" s="204">
        <f t="shared" si="3"/>
        <v>3199.8561520714661</v>
      </c>
      <c r="CT12" s="204">
        <f t="shared" si="3"/>
        <v>3199.8561520714661</v>
      </c>
      <c r="CU12" s="204">
        <f t="shared" si="3"/>
        <v>3199.8561520714661</v>
      </c>
      <c r="CV12" s="204">
        <f t="shared" si="3"/>
        <v>3199.8561520714661</v>
      </c>
      <c r="CW12" s="204">
        <f t="shared" si="3"/>
        <v>0</v>
      </c>
      <c r="CX12" s="204">
        <f t="shared" si="3"/>
        <v>0</v>
      </c>
      <c r="CY12" s="204">
        <f t="shared" si="3"/>
        <v>0</v>
      </c>
      <c r="CZ12" s="204">
        <f t="shared" si="3"/>
        <v>0</v>
      </c>
      <c r="DA12" s="204">
        <f t="shared" si="3"/>
        <v>0</v>
      </c>
      <c r="DB12" s="204"/>
    </row>
    <row r="13" spans="1:106">
      <c r="A13" s="201" t="str">
        <f>Income!A83</f>
        <v>Food transfer - official</v>
      </c>
      <c r="B13" s="203">
        <f>Income!B83</f>
        <v>1491.5874480929031</v>
      </c>
      <c r="C13" s="203">
        <f>Income!C83</f>
        <v>1491.5874480929031</v>
      </c>
      <c r="D13" s="203">
        <f>Income!D83</f>
        <v>1491.5874480929031</v>
      </c>
      <c r="E13" s="203">
        <f>Income!E83</f>
        <v>1325.855509415914</v>
      </c>
      <c r="F13" s="204">
        <f t="shared" si="4"/>
        <v>1491.5874480929031</v>
      </c>
      <c r="G13" s="204">
        <f t="shared" si="4"/>
        <v>1491.5874480929031</v>
      </c>
      <c r="H13" s="204">
        <f t="shared" si="4"/>
        <v>1491.5874480929031</v>
      </c>
      <c r="I13" s="204">
        <f t="shared" si="4"/>
        <v>1491.5874480929031</v>
      </c>
      <c r="J13" s="204">
        <f t="shared" si="4"/>
        <v>1491.5874480929031</v>
      </c>
      <c r="K13" s="204">
        <f t="shared" si="4"/>
        <v>1491.5874480929031</v>
      </c>
      <c r="L13" s="204">
        <f t="shared" si="4"/>
        <v>1491.5874480929031</v>
      </c>
      <c r="M13" s="204">
        <f t="shared" si="4"/>
        <v>1491.5874480929031</v>
      </c>
      <c r="N13" s="204">
        <f t="shared" si="4"/>
        <v>1491.5874480929031</v>
      </c>
      <c r="O13" s="204">
        <f t="shared" si="4"/>
        <v>1491.5874480929031</v>
      </c>
      <c r="P13" s="204">
        <f t="shared" si="4"/>
        <v>1491.5874480929031</v>
      </c>
      <c r="Q13" s="204">
        <f t="shared" si="4"/>
        <v>1491.5874480929031</v>
      </c>
      <c r="R13" s="204">
        <f t="shared" si="4"/>
        <v>1491.5874480929031</v>
      </c>
      <c r="S13" s="204">
        <f t="shared" si="4"/>
        <v>1491.5874480929031</v>
      </c>
      <c r="T13" s="204">
        <f t="shared" si="4"/>
        <v>1491.5874480929031</v>
      </c>
      <c r="U13" s="204">
        <f t="shared" si="4"/>
        <v>1491.5874480929031</v>
      </c>
      <c r="V13" s="204">
        <f t="shared" si="6"/>
        <v>1491.5874480929031</v>
      </c>
      <c r="W13" s="204">
        <f t="shared" si="6"/>
        <v>1491.5874480929031</v>
      </c>
      <c r="X13" s="204">
        <f t="shared" si="6"/>
        <v>1491.5874480929031</v>
      </c>
      <c r="Y13" s="204">
        <f t="shared" si="6"/>
        <v>1491.5874480929031</v>
      </c>
      <c r="Z13" s="204">
        <f t="shared" si="6"/>
        <v>1491.5874480929031</v>
      </c>
      <c r="AA13" s="204">
        <f t="shared" si="6"/>
        <v>1491.5874480929031</v>
      </c>
      <c r="AB13" s="204">
        <f t="shared" si="6"/>
        <v>1491.5874480929031</v>
      </c>
      <c r="AC13" s="204">
        <f t="shared" si="6"/>
        <v>1491.5874480929031</v>
      </c>
      <c r="AD13" s="204">
        <f t="shared" si="6"/>
        <v>1491.5874480929031</v>
      </c>
      <c r="AE13" s="204">
        <f t="shared" si="6"/>
        <v>1491.5874480929031</v>
      </c>
      <c r="AF13" s="204">
        <f t="shared" si="6"/>
        <v>1491.5874480929031</v>
      </c>
      <c r="AG13" s="204">
        <f t="shared" si="6"/>
        <v>1491.5874480929031</v>
      </c>
      <c r="AH13" s="204">
        <f t="shared" si="6"/>
        <v>1491.5874480929031</v>
      </c>
      <c r="AI13" s="204">
        <f t="shared" si="6"/>
        <v>1491.5874480929031</v>
      </c>
      <c r="AJ13" s="204">
        <f t="shared" si="6"/>
        <v>1491.5874480929031</v>
      </c>
      <c r="AK13" s="204">
        <f t="shared" si="6"/>
        <v>1491.5874480929031</v>
      </c>
      <c r="AL13" s="204">
        <f t="shared" si="7"/>
        <v>1491.5874480929031</v>
      </c>
      <c r="AM13" s="204">
        <f t="shared" si="7"/>
        <v>1491.5874480929031</v>
      </c>
      <c r="AN13" s="204">
        <f t="shared" si="7"/>
        <v>1491.5874480929031</v>
      </c>
      <c r="AO13" s="204">
        <f t="shared" si="7"/>
        <v>1491.5874480929031</v>
      </c>
      <c r="AP13" s="204">
        <f t="shared" si="7"/>
        <v>1491.5874480929031</v>
      </c>
      <c r="AQ13" s="204">
        <f t="shared" si="7"/>
        <v>1491.5874480929031</v>
      </c>
      <c r="AR13" s="204">
        <f t="shared" si="7"/>
        <v>1491.5874480929031</v>
      </c>
      <c r="AS13" s="204">
        <f t="shared" si="7"/>
        <v>1491.5874480929031</v>
      </c>
      <c r="AT13" s="204">
        <f t="shared" si="7"/>
        <v>1491.5874480929031</v>
      </c>
      <c r="AU13" s="204">
        <f t="shared" si="7"/>
        <v>1491.5874480929031</v>
      </c>
      <c r="AV13" s="204">
        <f t="shared" si="7"/>
        <v>1491.5874480929031</v>
      </c>
      <c r="AW13" s="204">
        <f t="shared" si="7"/>
        <v>1491.5874480929031</v>
      </c>
      <c r="AX13" s="204">
        <f t="shared" si="8"/>
        <v>1491.5874480929031</v>
      </c>
      <c r="AY13" s="204">
        <f t="shared" si="8"/>
        <v>1491.5874480929031</v>
      </c>
      <c r="AZ13" s="204">
        <f t="shared" si="8"/>
        <v>1491.5874480929031</v>
      </c>
      <c r="BA13" s="204">
        <f t="shared" si="8"/>
        <v>1491.5874480929031</v>
      </c>
      <c r="BB13" s="204">
        <f t="shared" si="8"/>
        <v>1491.5874480929031</v>
      </c>
      <c r="BC13" s="204">
        <f t="shared" si="8"/>
        <v>1491.5874480929031</v>
      </c>
      <c r="BD13" s="204">
        <f t="shared" si="8"/>
        <v>1491.5874480929031</v>
      </c>
      <c r="BE13" s="204">
        <f t="shared" si="8"/>
        <v>1491.5874480929031</v>
      </c>
      <c r="BF13" s="204">
        <f t="shared" si="8"/>
        <v>1491.5874480929031</v>
      </c>
      <c r="BG13" s="204">
        <f t="shared" si="8"/>
        <v>1491.5874480929031</v>
      </c>
      <c r="BH13" s="204">
        <f t="shared" si="8"/>
        <v>1491.5874480929031</v>
      </c>
      <c r="BI13" s="204">
        <f t="shared" si="8"/>
        <v>1491.5874480929031</v>
      </c>
      <c r="BJ13" s="204">
        <f t="shared" si="8"/>
        <v>1491.5874480929031</v>
      </c>
      <c r="BK13" s="204">
        <f t="shared" si="8"/>
        <v>1491.5874480929031</v>
      </c>
      <c r="BL13" s="204">
        <f t="shared" si="8"/>
        <v>1491.5874480929031</v>
      </c>
      <c r="BM13" s="204">
        <f t="shared" si="8"/>
        <v>1491.5874480929031</v>
      </c>
      <c r="BN13" s="204">
        <f t="shared" si="8"/>
        <v>1491.5874480929031</v>
      </c>
      <c r="BO13" s="204">
        <f t="shared" si="8"/>
        <v>1491.5874480929031</v>
      </c>
      <c r="BP13" s="204">
        <f t="shared" si="8"/>
        <v>1491.5874480929031</v>
      </c>
      <c r="BQ13" s="204">
        <f t="shared" si="8"/>
        <v>1491.5874480929031</v>
      </c>
      <c r="BR13" s="204">
        <f t="shared" si="8"/>
        <v>1491.5874480929031</v>
      </c>
      <c r="BS13" s="204">
        <f t="shared" si="8"/>
        <v>1491.5874480929031</v>
      </c>
      <c r="BT13" s="204">
        <f t="shared" si="8"/>
        <v>1491.5874480929031</v>
      </c>
      <c r="BU13" s="204">
        <f t="shared" si="8"/>
        <v>1491.5874480929031</v>
      </c>
      <c r="BV13" s="204">
        <f t="shared" si="8"/>
        <v>1491.5874480929031</v>
      </c>
      <c r="BW13" s="204">
        <f t="shared" si="8"/>
        <v>1491.5874480929031</v>
      </c>
      <c r="BX13" s="204">
        <f t="shared" si="8"/>
        <v>1491.5874480929031</v>
      </c>
      <c r="BY13" s="204">
        <f t="shared" si="8"/>
        <v>1491.5874480929031</v>
      </c>
      <c r="BZ13" s="204">
        <f t="shared" si="8"/>
        <v>1491.5874480929031</v>
      </c>
      <c r="CA13" s="204">
        <f t="shared" si="2"/>
        <v>1491.5874480929031</v>
      </c>
      <c r="CB13" s="204">
        <f t="shared" si="2"/>
        <v>1491.5874480929031</v>
      </c>
      <c r="CC13" s="204">
        <f t="shared" si="2"/>
        <v>1491.5874480929031</v>
      </c>
      <c r="CD13" s="204">
        <f t="shared" si="2"/>
        <v>1491.5874480929031</v>
      </c>
      <c r="CE13" s="204">
        <f t="shared" si="2"/>
        <v>1491.5874480929031</v>
      </c>
      <c r="CF13" s="204">
        <f t="shared" si="2"/>
        <v>1491.5874480929031</v>
      </c>
      <c r="CG13" s="204">
        <f t="shared" si="2"/>
        <v>1491.5874480929031</v>
      </c>
      <c r="CH13" s="204">
        <f t="shared" si="2"/>
        <v>1491.5874480929031</v>
      </c>
      <c r="CI13" s="204">
        <f t="shared" si="2"/>
        <v>1491.5874480929031</v>
      </c>
      <c r="CJ13" s="204">
        <f t="shared" si="2"/>
        <v>1491.5874480929031</v>
      </c>
      <c r="CK13" s="204">
        <f t="shared" si="2"/>
        <v>1491.5874480929031</v>
      </c>
      <c r="CL13" s="204">
        <f t="shared" si="2"/>
        <v>1491.5874480929031</v>
      </c>
      <c r="CM13" s="204">
        <f t="shared" si="2"/>
        <v>1491.5874480929031</v>
      </c>
      <c r="CN13" s="204">
        <f t="shared" si="2"/>
        <v>1491.5874480929031</v>
      </c>
      <c r="CO13" s="204">
        <f t="shared" si="2"/>
        <v>1491.5874480929031</v>
      </c>
      <c r="CP13" s="204">
        <f t="shared" si="2"/>
        <v>1491.5874480929031</v>
      </c>
      <c r="CQ13" s="204">
        <f t="shared" si="2"/>
        <v>1491.5874480929031</v>
      </c>
      <c r="CR13" s="204">
        <f t="shared" si="2"/>
        <v>1491.5874480929031</v>
      </c>
      <c r="CS13" s="204">
        <f t="shared" si="3"/>
        <v>1491.5874480929031</v>
      </c>
      <c r="CT13" s="204">
        <f t="shared" si="3"/>
        <v>1491.5874480929031</v>
      </c>
      <c r="CU13" s="204">
        <f t="shared" si="3"/>
        <v>1491.5874480929031</v>
      </c>
      <c r="CV13" s="204">
        <f t="shared" si="3"/>
        <v>1491.5874480929031</v>
      </c>
      <c r="CW13" s="204">
        <f t="shared" si="3"/>
        <v>1325.855509415914</v>
      </c>
      <c r="CX13" s="204">
        <f t="shared" si="3"/>
        <v>1325.855509415914</v>
      </c>
      <c r="CY13" s="204">
        <f t="shared" si="3"/>
        <v>1325.855509415914</v>
      </c>
      <c r="CZ13" s="204">
        <f t="shared" si="3"/>
        <v>1325.855509415914</v>
      </c>
      <c r="DA13" s="204">
        <f t="shared" si="3"/>
        <v>1325.855509415914</v>
      </c>
      <c r="DB13" s="204"/>
    </row>
    <row r="14" spans="1:106">
      <c r="A14" s="201" t="str">
        <f>Income!A85</f>
        <v>Cash transfer - official</v>
      </c>
      <c r="B14" s="203">
        <f>Income!B85</f>
        <v>32620.755772506334</v>
      </c>
      <c r="C14" s="203">
        <f>Income!C85</f>
        <v>32620.755772506334</v>
      </c>
      <c r="D14" s="203">
        <f>Income!D85</f>
        <v>32620.755772506334</v>
      </c>
      <c r="E14" s="203">
        <f>Income!E85</f>
        <v>8114.2031313022126</v>
      </c>
      <c r="F14" s="204">
        <f t="shared" si="4"/>
        <v>32620.755772506334</v>
      </c>
      <c r="G14" s="204">
        <f t="shared" si="4"/>
        <v>32620.755772506334</v>
      </c>
      <c r="H14" s="204">
        <f t="shared" si="4"/>
        <v>32620.755772506334</v>
      </c>
      <c r="I14" s="204">
        <f t="shared" si="4"/>
        <v>32620.755772506334</v>
      </c>
      <c r="J14" s="204">
        <f t="shared" si="4"/>
        <v>32620.755772506334</v>
      </c>
      <c r="K14" s="204">
        <f t="shared" si="4"/>
        <v>32620.755772506334</v>
      </c>
      <c r="L14" s="204">
        <f t="shared" si="4"/>
        <v>32620.755772506334</v>
      </c>
      <c r="M14" s="204">
        <f t="shared" si="4"/>
        <v>32620.755772506334</v>
      </c>
      <c r="N14" s="204">
        <f t="shared" si="4"/>
        <v>32620.755772506334</v>
      </c>
      <c r="O14" s="204">
        <f t="shared" si="4"/>
        <v>32620.755772506334</v>
      </c>
      <c r="P14" s="204">
        <f t="shared" si="4"/>
        <v>32620.755772506334</v>
      </c>
      <c r="Q14" s="204">
        <f t="shared" si="4"/>
        <v>32620.755772506334</v>
      </c>
      <c r="R14" s="204">
        <f t="shared" si="4"/>
        <v>32620.755772506334</v>
      </c>
      <c r="S14" s="204">
        <f t="shared" si="4"/>
        <v>32620.755772506334</v>
      </c>
      <c r="T14" s="204">
        <f t="shared" si="4"/>
        <v>32620.755772506334</v>
      </c>
      <c r="U14" s="204">
        <f t="shared" si="4"/>
        <v>32620.755772506334</v>
      </c>
      <c r="V14" s="204">
        <f t="shared" si="6"/>
        <v>32620.755772506334</v>
      </c>
      <c r="W14" s="204">
        <f t="shared" si="6"/>
        <v>32620.755772506334</v>
      </c>
      <c r="X14" s="204">
        <f t="shared" si="6"/>
        <v>32620.755772506334</v>
      </c>
      <c r="Y14" s="204">
        <f t="shared" si="6"/>
        <v>32620.755772506334</v>
      </c>
      <c r="Z14" s="204">
        <f t="shared" si="6"/>
        <v>32620.755772506334</v>
      </c>
      <c r="AA14" s="204">
        <f t="shared" si="6"/>
        <v>32620.755772506334</v>
      </c>
      <c r="AB14" s="204">
        <f t="shared" si="6"/>
        <v>32620.755772506334</v>
      </c>
      <c r="AC14" s="204">
        <f t="shared" si="6"/>
        <v>32620.755772506334</v>
      </c>
      <c r="AD14" s="204">
        <f t="shared" si="6"/>
        <v>32620.755772506334</v>
      </c>
      <c r="AE14" s="204">
        <f t="shared" si="6"/>
        <v>32620.755772506334</v>
      </c>
      <c r="AF14" s="204">
        <f t="shared" si="6"/>
        <v>32620.755772506334</v>
      </c>
      <c r="AG14" s="204">
        <f t="shared" si="6"/>
        <v>32620.755772506334</v>
      </c>
      <c r="AH14" s="204">
        <f t="shared" si="6"/>
        <v>32620.755772506334</v>
      </c>
      <c r="AI14" s="204">
        <f t="shared" si="6"/>
        <v>32620.755772506334</v>
      </c>
      <c r="AJ14" s="204">
        <f t="shared" si="6"/>
        <v>32620.755772506334</v>
      </c>
      <c r="AK14" s="204">
        <f t="shared" si="6"/>
        <v>32620.755772506334</v>
      </c>
      <c r="AL14" s="204">
        <f t="shared" si="7"/>
        <v>32620.755772506334</v>
      </c>
      <c r="AM14" s="204">
        <f t="shared" si="7"/>
        <v>32620.755772506334</v>
      </c>
      <c r="AN14" s="204">
        <f t="shared" si="7"/>
        <v>32620.755772506334</v>
      </c>
      <c r="AO14" s="204">
        <f t="shared" si="7"/>
        <v>32620.755772506334</v>
      </c>
      <c r="AP14" s="204">
        <f t="shared" si="7"/>
        <v>32620.755772506334</v>
      </c>
      <c r="AQ14" s="204">
        <f t="shared" si="7"/>
        <v>32620.755772506334</v>
      </c>
      <c r="AR14" s="204">
        <f t="shared" si="7"/>
        <v>32620.755772506334</v>
      </c>
      <c r="AS14" s="204">
        <f t="shared" si="7"/>
        <v>32620.755772506334</v>
      </c>
      <c r="AT14" s="204">
        <f t="shared" si="7"/>
        <v>32620.755772506334</v>
      </c>
      <c r="AU14" s="204">
        <f t="shared" si="7"/>
        <v>32620.755772506334</v>
      </c>
      <c r="AV14" s="204">
        <f t="shared" si="7"/>
        <v>32620.755772506334</v>
      </c>
      <c r="AW14" s="204">
        <f t="shared" si="7"/>
        <v>32620.755772506334</v>
      </c>
      <c r="AX14" s="204">
        <f t="shared" si="7"/>
        <v>32620.755772506334</v>
      </c>
      <c r="AY14" s="204">
        <f t="shared" si="7"/>
        <v>32620.755772506334</v>
      </c>
      <c r="AZ14" s="204">
        <f t="shared" si="7"/>
        <v>32620.755772506334</v>
      </c>
      <c r="BA14" s="204">
        <f t="shared" si="7"/>
        <v>32620.755772506334</v>
      </c>
      <c r="BB14" s="204">
        <f t="shared" si="8"/>
        <v>32620.755772506334</v>
      </c>
      <c r="BC14" s="204">
        <f t="shared" si="8"/>
        <v>32620.755772506334</v>
      </c>
      <c r="BD14" s="204">
        <f t="shared" si="8"/>
        <v>32620.755772506334</v>
      </c>
      <c r="BE14" s="204">
        <f t="shared" si="8"/>
        <v>32620.755772506334</v>
      </c>
      <c r="BF14" s="204">
        <f t="shared" si="8"/>
        <v>32620.755772506334</v>
      </c>
      <c r="BG14" s="204">
        <f t="shared" si="8"/>
        <v>32620.755772506334</v>
      </c>
      <c r="BH14" s="204">
        <f t="shared" si="8"/>
        <v>32620.755772506334</v>
      </c>
      <c r="BI14" s="204">
        <f t="shared" si="8"/>
        <v>32620.755772506334</v>
      </c>
      <c r="BJ14" s="204">
        <f t="shared" si="8"/>
        <v>32620.755772506334</v>
      </c>
      <c r="BK14" s="204">
        <f t="shared" si="8"/>
        <v>32620.755772506334</v>
      </c>
      <c r="BL14" s="204">
        <f t="shared" si="8"/>
        <v>32620.755772506334</v>
      </c>
      <c r="BM14" s="204">
        <f t="shared" si="8"/>
        <v>32620.755772506334</v>
      </c>
      <c r="BN14" s="204">
        <f t="shared" si="8"/>
        <v>32620.755772506334</v>
      </c>
      <c r="BO14" s="204">
        <f t="shared" si="8"/>
        <v>32620.755772506334</v>
      </c>
      <c r="BP14" s="204">
        <f t="shared" si="8"/>
        <v>32620.755772506334</v>
      </c>
      <c r="BQ14" s="204">
        <f t="shared" si="8"/>
        <v>32620.755772506334</v>
      </c>
      <c r="BR14" s="204">
        <f t="shared" si="8"/>
        <v>32620.755772506334</v>
      </c>
      <c r="BS14" s="204">
        <f t="shared" si="8"/>
        <v>32620.755772506334</v>
      </c>
      <c r="BT14" s="204">
        <f t="shared" si="8"/>
        <v>32620.755772506334</v>
      </c>
      <c r="BU14" s="204">
        <f t="shared" si="8"/>
        <v>32620.755772506334</v>
      </c>
      <c r="BV14" s="204">
        <f t="shared" si="8"/>
        <v>32620.755772506334</v>
      </c>
      <c r="BW14" s="204">
        <f t="shared" si="8"/>
        <v>32620.755772506334</v>
      </c>
      <c r="BX14" s="204">
        <f t="shared" si="8"/>
        <v>32620.755772506334</v>
      </c>
      <c r="BY14" s="204">
        <f t="shared" si="8"/>
        <v>32620.755772506334</v>
      </c>
      <c r="BZ14" s="204">
        <f t="shared" si="8"/>
        <v>32620.755772506334</v>
      </c>
      <c r="CA14" s="204">
        <f t="shared" si="2"/>
        <v>32620.755772506334</v>
      </c>
      <c r="CB14" s="204">
        <f t="shared" si="2"/>
        <v>32620.755772506334</v>
      </c>
      <c r="CC14" s="204">
        <f t="shared" si="2"/>
        <v>32620.755772506334</v>
      </c>
      <c r="CD14" s="204">
        <f t="shared" si="2"/>
        <v>32620.755772506334</v>
      </c>
      <c r="CE14" s="204">
        <f t="shared" si="2"/>
        <v>32620.755772506334</v>
      </c>
      <c r="CF14" s="204">
        <f t="shared" si="2"/>
        <v>32620.755772506334</v>
      </c>
      <c r="CG14" s="204">
        <f t="shared" si="2"/>
        <v>32620.755772506334</v>
      </c>
      <c r="CH14" s="204">
        <f t="shared" si="2"/>
        <v>32620.755772506334</v>
      </c>
      <c r="CI14" s="204">
        <f t="shared" si="2"/>
        <v>32620.755772506334</v>
      </c>
      <c r="CJ14" s="204">
        <f t="shared" si="2"/>
        <v>32620.755772506334</v>
      </c>
      <c r="CK14" s="204">
        <f t="shared" si="2"/>
        <v>32620.755772506334</v>
      </c>
      <c r="CL14" s="204">
        <f t="shared" si="2"/>
        <v>32620.755772506334</v>
      </c>
      <c r="CM14" s="204">
        <f t="shared" si="2"/>
        <v>32620.755772506334</v>
      </c>
      <c r="CN14" s="204">
        <f t="shared" si="2"/>
        <v>32620.755772506334</v>
      </c>
      <c r="CO14" s="204">
        <f t="shared" si="2"/>
        <v>32620.755772506334</v>
      </c>
      <c r="CP14" s="204">
        <f t="shared" si="2"/>
        <v>32620.755772506334</v>
      </c>
      <c r="CQ14" s="204">
        <f t="shared" si="2"/>
        <v>32620.755772506334</v>
      </c>
      <c r="CR14" s="204">
        <f t="shared" si="2"/>
        <v>32620.755772506334</v>
      </c>
      <c r="CS14" s="204">
        <f t="shared" si="3"/>
        <v>32620.755772506334</v>
      </c>
      <c r="CT14" s="204">
        <f t="shared" si="3"/>
        <v>32620.755772506334</v>
      </c>
      <c r="CU14" s="204">
        <f t="shared" si="3"/>
        <v>32620.755772506334</v>
      </c>
      <c r="CV14" s="204">
        <f t="shared" si="3"/>
        <v>32620.755772506334</v>
      </c>
      <c r="CW14" s="204">
        <f t="shared" si="3"/>
        <v>8114.2031313022126</v>
      </c>
      <c r="CX14" s="204">
        <f t="shared" si="3"/>
        <v>8114.2031313022126</v>
      </c>
      <c r="CY14" s="204">
        <f t="shared" si="3"/>
        <v>8114.2031313022126</v>
      </c>
      <c r="CZ14" s="204">
        <f t="shared" si="3"/>
        <v>8114.2031313022126</v>
      </c>
      <c r="DA14" s="204">
        <f t="shared" si="3"/>
        <v>8114.2031313022126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38348.619717625661</v>
      </c>
      <c r="C16" s="203">
        <f>Income!C88</f>
        <v>43496.650878333683</v>
      </c>
      <c r="D16" s="203">
        <f>Income!D88</f>
        <v>59884.557961247614</v>
      </c>
      <c r="E16" s="203">
        <f>Income!E88</f>
        <v>86612.133908328629</v>
      </c>
      <c r="F16" s="204">
        <f t="shared" si="4"/>
        <v>38348.619717625661</v>
      </c>
      <c r="G16" s="204">
        <f t="shared" si="4"/>
        <v>38348.619717625661</v>
      </c>
      <c r="H16" s="204">
        <f t="shared" si="4"/>
        <v>38348.619717625661</v>
      </c>
      <c r="I16" s="204">
        <f t="shared" si="4"/>
        <v>38348.619717625661</v>
      </c>
      <c r="J16" s="204">
        <f t="shared" si="4"/>
        <v>38348.619717625661</v>
      </c>
      <c r="K16" s="204">
        <f t="shared" si="4"/>
        <v>38348.619717625661</v>
      </c>
      <c r="L16" s="204">
        <f t="shared" si="4"/>
        <v>38348.619717625661</v>
      </c>
      <c r="M16" s="204">
        <f t="shared" si="4"/>
        <v>38348.619717625661</v>
      </c>
      <c r="N16" s="204">
        <f t="shared" si="4"/>
        <v>38348.619717625661</v>
      </c>
      <c r="O16" s="204">
        <f t="shared" si="4"/>
        <v>38348.619717625661</v>
      </c>
      <c r="P16" s="204">
        <f t="shared" si="4"/>
        <v>38348.619717625661</v>
      </c>
      <c r="Q16" s="204">
        <f t="shared" si="4"/>
        <v>38348.619717625661</v>
      </c>
      <c r="R16" s="204">
        <f t="shared" si="4"/>
        <v>38348.619717625661</v>
      </c>
      <c r="S16" s="204">
        <f t="shared" si="4"/>
        <v>38348.619717625661</v>
      </c>
      <c r="T16" s="204">
        <f t="shared" si="4"/>
        <v>38348.619717625661</v>
      </c>
      <c r="U16" s="204">
        <f t="shared" si="4"/>
        <v>38348.619717625661</v>
      </c>
      <c r="V16" s="204">
        <f t="shared" si="6"/>
        <v>38348.619717625661</v>
      </c>
      <c r="W16" s="204">
        <f t="shared" si="6"/>
        <v>38348.619717625661</v>
      </c>
      <c r="X16" s="204">
        <f t="shared" si="6"/>
        <v>38348.619717625661</v>
      </c>
      <c r="Y16" s="204">
        <f t="shared" si="6"/>
        <v>38348.619717625661</v>
      </c>
      <c r="Z16" s="204">
        <f t="shared" si="6"/>
        <v>38348.619717625661</v>
      </c>
      <c r="AA16" s="204">
        <f t="shared" si="6"/>
        <v>38348.619717625661</v>
      </c>
      <c r="AB16" s="204">
        <f t="shared" si="6"/>
        <v>38348.619717625661</v>
      </c>
      <c r="AC16" s="204">
        <f t="shared" si="6"/>
        <v>38348.619717625661</v>
      </c>
      <c r="AD16" s="204">
        <f t="shared" si="6"/>
        <v>38348.619717625661</v>
      </c>
      <c r="AE16" s="204">
        <f>IF(AE$2&lt;=($B$2+$C$2+$D$2),IF(AE$2&lt;=($B$2+$C$2),IF(AE$2&lt;=$B$2,$B16,$C16),$D16),$E16)</f>
        <v>38348.619717625661</v>
      </c>
      <c r="AF16" s="204">
        <f t="shared" si="6"/>
        <v>38348.619717625661</v>
      </c>
      <c r="AG16" s="204">
        <f t="shared" si="6"/>
        <v>38348.619717625661</v>
      </c>
      <c r="AH16" s="204">
        <f t="shared" si="6"/>
        <v>38348.619717625661</v>
      </c>
      <c r="AI16" s="204">
        <f t="shared" si="6"/>
        <v>38348.619717625661</v>
      </c>
      <c r="AJ16" s="204">
        <f t="shared" si="6"/>
        <v>38348.619717625661</v>
      </c>
      <c r="AK16" s="204">
        <f t="shared" si="6"/>
        <v>38348.619717625661</v>
      </c>
      <c r="AL16" s="204">
        <f t="shared" si="7"/>
        <v>38348.619717625661</v>
      </c>
      <c r="AM16" s="204">
        <f t="shared" si="7"/>
        <v>38348.619717625661</v>
      </c>
      <c r="AN16" s="204">
        <f t="shared" si="7"/>
        <v>38348.619717625661</v>
      </c>
      <c r="AO16" s="204">
        <f t="shared" si="7"/>
        <v>38348.619717625661</v>
      </c>
      <c r="AP16" s="204">
        <f t="shared" si="7"/>
        <v>38348.619717625661</v>
      </c>
      <c r="AQ16" s="204">
        <f t="shared" si="7"/>
        <v>38348.619717625661</v>
      </c>
      <c r="AR16" s="204">
        <f t="shared" si="7"/>
        <v>38348.619717625661</v>
      </c>
      <c r="AS16" s="204">
        <f t="shared" si="7"/>
        <v>38348.619717625661</v>
      </c>
      <c r="AT16" s="204">
        <f t="shared" si="7"/>
        <v>38348.619717625661</v>
      </c>
      <c r="AU16" s="204">
        <f t="shared" si="7"/>
        <v>38348.619717625661</v>
      </c>
      <c r="AV16" s="204">
        <f t="shared" si="7"/>
        <v>38348.619717625661</v>
      </c>
      <c r="AW16" s="204">
        <f t="shared" si="7"/>
        <v>38348.619717625661</v>
      </c>
      <c r="AX16" s="204">
        <f t="shared" si="8"/>
        <v>38348.619717625661</v>
      </c>
      <c r="AY16" s="204">
        <f t="shared" si="8"/>
        <v>38348.619717625661</v>
      </c>
      <c r="AZ16" s="204">
        <f t="shared" si="8"/>
        <v>38348.619717625661</v>
      </c>
      <c r="BA16" s="204">
        <f t="shared" si="8"/>
        <v>38348.619717625661</v>
      </c>
      <c r="BB16" s="204">
        <f t="shared" si="8"/>
        <v>38348.619717625661</v>
      </c>
      <c r="BC16" s="204">
        <f t="shared" si="8"/>
        <v>38348.619717625661</v>
      </c>
      <c r="BD16" s="204">
        <f t="shared" si="8"/>
        <v>43496.650878333683</v>
      </c>
      <c r="BE16" s="204">
        <f t="shared" si="8"/>
        <v>43496.650878333683</v>
      </c>
      <c r="BF16" s="204">
        <f t="shared" si="8"/>
        <v>43496.650878333683</v>
      </c>
      <c r="BG16" s="204">
        <f t="shared" si="8"/>
        <v>43496.650878333683</v>
      </c>
      <c r="BH16" s="204">
        <f t="shared" si="8"/>
        <v>43496.650878333683</v>
      </c>
      <c r="BI16" s="204">
        <f t="shared" si="8"/>
        <v>43496.650878333683</v>
      </c>
      <c r="BJ16" s="204">
        <f t="shared" si="8"/>
        <v>43496.650878333683</v>
      </c>
      <c r="BK16" s="204">
        <f t="shared" si="8"/>
        <v>43496.650878333683</v>
      </c>
      <c r="BL16" s="204">
        <f t="shared" si="8"/>
        <v>43496.650878333683</v>
      </c>
      <c r="BM16" s="204">
        <f t="shared" si="8"/>
        <v>43496.650878333683</v>
      </c>
      <c r="BN16" s="204">
        <f t="shared" si="8"/>
        <v>43496.650878333683</v>
      </c>
      <c r="BO16" s="204">
        <f t="shared" si="8"/>
        <v>43496.650878333683</v>
      </c>
      <c r="BP16" s="204">
        <f t="shared" si="8"/>
        <v>43496.650878333683</v>
      </c>
      <c r="BQ16" s="204">
        <f t="shared" si="8"/>
        <v>43496.650878333683</v>
      </c>
      <c r="BR16" s="204">
        <f t="shared" si="8"/>
        <v>43496.650878333683</v>
      </c>
      <c r="BS16" s="204">
        <f t="shared" si="8"/>
        <v>43496.650878333683</v>
      </c>
      <c r="BT16" s="204">
        <f t="shared" si="8"/>
        <v>43496.650878333683</v>
      </c>
      <c r="BU16" s="204">
        <f t="shared" si="8"/>
        <v>43496.650878333683</v>
      </c>
      <c r="BV16" s="204">
        <f t="shared" si="8"/>
        <v>43496.650878333683</v>
      </c>
      <c r="BW16" s="204">
        <f t="shared" si="8"/>
        <v>43496.650878333683</v>
      </c>
      <c r="BX16" s="204">
        <f t="shared" si="8"/>
        <v>43496.650878333683</v>
      </c>
      <c r="BY16" s="204">
        <f t="shared" si="8"/>
        <v>43496.650878333683</v>
      </c>
      <c r="BZ16" s="204">
        <f t="shared" si="8"/>
        <v>43496.650878333683</v>
      </c>
      <c r="CA16" s="204">
        <f t="shared" ref="CA16:CB18" si="10">IF(CA$2&lt;=($B$2+$C$2+$D$2),IF(CA$2&lt;=($B$2+$C$2),IF(CA$2&lt;=$B$2,$B16,$C16),$D16),$E16)</f>
        <v>43496.650878333683</v>
      </c>
      <c r="CB16" s="204">
        <f t="shared" si="10"/>
        <v>43496.650878333683</v>
      </c>
      <c r="CC16" s="204">
        <f t="shared" si="9"/>
        <v>43496.650878333683</v>
      </c>
      <c r="CD16" s="204">
        <f t="shared" si="9"/>
        <v>43496.650878333683</v>
      </c>
      <c r="CE16" s="204">
        <f t="shared" si="9"/>
        <v>43496.650878333683</v>
      </c>
      <c r="CF16" s="204">
        <f t="shared" si="9"/>
        <v>43496.650878333683</v>
      </c>
      <c r="CG16" s="204">
        <f t="shared" si="9"/>
        <v>43496.650878333683</v>
      </c>
      <c r="CH16" s="204">
        <f t="shared" si="9"/>
        <v>59884.557961247614</v>
      </c>
      <c r="CI16" s="204">
        <f t="shared" si="9"/>
        <v>59884.557961247614</v>
      </c>
      <c r="CJ16" s="204">
        <f t="shared" si="9"/>
        <v>59884.557961247614</v>
      </c>
      <c r="CK16" s="204">
        <f t="shared" si="9"/>
        <v>59884.557961247614</v>
      </c>
      <c r="CL16" s="204">
        <f t="shared" si="9"/>
        <v>59884.557961247614</v>
      </c>
      <c r="CM16" s="204">
        <f t="shared" si="9"/>
        <v>59884.557961247614</v>
      </c>
      <c r="CN16" s="204">
        <f t="shared" si="9"/>
        <v>59884.557961247614</v>
      </c>
      <c r="CO16" s="204">
        <f t="shared" si="9"/>
        <v>59884.557961247614</v>
      </c>
      <c r="CP16" s="204">
        <f t="shared" si="9"/>
        <v>59884.557961247614</v>
      </c>
      <c r="CQ16" s="204">
        <f t="shared" si="9"/>
        <v>59884.557961247614</v>
      </c>
      <c r="CR16" s="204">
        <f t="shared" si="9"/>
        <v>59884.557961247614</v>
      </c>
      <c r="CS16" s="204">
        <f t="shared" ref="CS16:DA18" si="11">IF(CS$2&lt;=($B$2+$C$2+$D$2),IF(CS$2&lt;=($B$2+$C$2),IF(CS$2&lt;=$B$2,$B16,$C16),$D16),$E16)</f>
        <v>59884.557961247614</v>
      </c>
      <c r="CT16" s="204">
        <f t="shared" si="11"/>
        <v>59884.557961247614</v>
      </c>
      <c r="CU16" s="204">
        <f t="shared" si="11"/>
        <v>59884.557961247614</v>
      </c>
      <c r="CV16" s="204">
        <f t="shared" si="11"/>
        <v>59884.557961247614</v>
      </c>
      <c r="CW16" s="204">
        <f t="shared" si="11"/>
        <v>86612.133908328629</v>
      </c>
      <c r="CX16" s="204">
        <f t="shared" si="11"/>
        <v>86612.133908328629</v>
      </c>
      <c r="CY16" s="204">
        <f t="shared" si="11"/>
        <v>86612.133908328629</v>
      </c>
      <c r="CZ16" s="204">
        <f t="shared" si="11"/>
        <v>86612.133908328629</v>
      </c>
      <c r="DA16" s="204">
        <f t="shared" si="11"/>
        <v>86612.133908328629</v>
      </c>
      <c r="DB16" s="204"/>
    </row>
    <row r="17" spans="1:105">
      <c r="A17" s="201" t="s">
        <v>101</v>
      </c>
      <c r="B17" s="203">
        <f>Income!B89</f>
        <v>29831.109022148565</v>
      </c>
      <c r="C17" s="203">
        <f>Income!C89</f>
        <v>29831.109022148565</v>
      </c>
      <c r="D17" s="203">
        <f>Income!D89</f>
        <v>29831.109022148565</v>
      </c>
      <c r="E17" s="203">
        <f>Income!E89</f>
        <v>29831.109022148568</v>
      </c>
      <c r="F17" s="204">
        <f t="shared" si="4"/>
        <v>29831.109022148565</v>
      </c>
      <c r="G17" s="204">
        <f t="shared" si="4"/>
        <v>29831.109022148565</v>
      </c>
      <c r="H17" s="204">
        <f t="shared" si="4"/>
        <v>29831.109022148565</v>
      </c>
      <c r="I17" s="204">
        <f t="shared" si="4"/>
        <v>29831.109022148565</v>
      </c>
      <c r="J17" s="204">
        <f t="shared" si="4"/>
        <v>29831.109022148565</v>
      </c>
      <c r="K17" s="204">
        <f t="shared" si="4"/>
        <v>29831.109022148565</v>
      </c>
      <c r="L17" s="204">
        <f t="shared" si="4"/>
        <v>29831.109022148565</v>
      </c>
      <c r="M17" s="204">
        <f t="shared" si="4"/>
        <v>29831.109022148565</v>
      </c>
      <c r="N17" s="204">
        <f t="shared" si="4"/>
        <v>29831.109022148565</v>
      </c>
      <c r="O17" s="204">
        <f t="shared" si="4"/>
        <v>29831.109022148565</v>
      </c>
      <c r="P17" s="204">
        <f t="shared" si="4"/>
        <v>29831.109022148565</v>
      </c>
      <c r="Q17" s="204">
        <f t="shared" si="4"/>
        <v>29831.109022148565</v>
      </c>
      <c r="R17" s="204">
        <f t="shared" si="4"/>
        <v>29831.109022148565</v>
      </c>
      <c r="S17" s="204">
        <f t="shared" si="4"/>
        <v>29831.109022148565</v>
      </c>
      <c r="T17" s="204">
        <f t="shared" si="4"/>
        <v>29831.109022148565</v>
      </c>
      <c r="U17" s="204">
        <f t="shared" si="4"/>
        <v>29831.109022148565</v>
      </c>
      <c r="V17" s="204">
        <f t="shared" si="6"/>
        <v>29831.109022148565</v>
      </c>
      <c r="W17" s="204">
        <f t="shared" si="6"/>
        <v>29831.109022148565</v>
      </c>
      <c r="X17" s="204">
        <f t="shared" si="6"/>
        <v>29831.109022148565</v>
      </c>
      <c r="Y17" s="204">
        <f t="shared" si="6"/>
        <v>29831.109022148565</v>
      </c>
      <c r="Z17" s="204">
        <f t="shared" si="6"/>
        <v>29831.109022148565</v>
      </c>
      <c r="AA17" s="204">
        <f t="shared" si="6"/>
        <v>29831.109022148565</v>
      </c>
      <c r="AB17" s="204">
        <f t="shared" si="6"/>
        <v>29831.109022148565</v>
      </c>
      <c r="AC17" s="204">
        <f t="shared" si="6"/>
        <v>29831.109022148565</v>
      </c>
      <c r="AD17" s="204">
        <f t="shared" si="6"/>
        <v>29831.109022148565</v>
      </c>
      <c r="AE17" s="204">
        <f t="shared" si="6"/>
        <v>29831.109022148565</v>
      </c>
      <c r="AF17" s="204">
        <f t="shared" si="6"/>
        <v>29831.109022148565</v>
      </c>
      <c r="AG17" s="204">
        <f t="shared" si="6"/>
        <v>29831.109022148565</v>
      </c>
      <c r="AH17" s="204">
        <f t="shared" si="6"/>
        <v>29831.109022148565</v>
      </c>
      <c r="AI17" s="204">
        <f t="shared" si="6"/>
        <v>29831.109022148565</v>
      </c>
      <c r="AJ17" s="204">
        <f t="shared" si="6"/>
        <v>29831.109022148565</v>
      </c>
      <c r="AK17" s="204">
        <f t="shared" si="6"/>
        <v>29831.109022148565</v>
      </c>
      <c r="AL17" s="204">
        <f t="shared" si="7"/>
        <v>29831.109022148565</v>
      </c>
      <c r="AM17" s="204">
        <f t="shared" si="7"/>
        <v>29831.109022148565</v>
      </c>
      <c r="AN17" s="204">
        <f t="shared" si="7"/>
        <v>29831.109022148565</v>
      </c>
      <c r="AO17" s="204">
        <f t="shared" si="7"/>
        <v>29831.109022148565</v>
      </c>
      <c r="AP17" s="204">
        <f t="shared" si="7"/>
        <v>29831.109022148565</v>
      </c>
      <c r="AQ17" s="204">
        <f t="shared" si="7"/>
        <v>29831.109022148565</v>
      </c>
      <c r="AR17" s="204">
        <f t="shared" si="7"/>
        <v>29831.109022148565</v>
      </c>
      <c r="AS17" s="204">
        <f t="shared" si="7"/>
        <v>29831.109022148565</v>
      </c>
      <c r="AT17" s="204">
        <f t="shared" si="7"/>
        <v>29831.109022148565</v>
      </c>
      <c r="AU17" s="204">
        <f t="shared" si="7"/>
        <v>29831.109022148565</v>
      </c>
      <c r="AV17" s="204">
        <f t="shared" si="7"/>
        <v>29831.109022148565</v>
      </c>
      <c r="AW17" s="204">
        <f t="shared" si="7"/>
        <v>29831.109022148565</v>
      </c>
      <c r="AX17" s="204">
        <f t="shared" si="8"/>
        <v>29831.109022148565</v>
      </c>
      <c r="AY17" s="204">
        <f t="shared" si="8"/>
        <v>29831.109022148565</v>
      </c>
      <c r="AZ17" s="204">
        <f t="shared" si="8"/>
        <v>29831.109022148565</v>
      </c>
      <c r="BA17" s="204">
        <f t="shared" si="8"/>
        <v>29831.109022148565</v>
      </c>
      <c r="BB17" s="204">
        <f t="shared" si="8"/>
        <v>29831.109022148565</v>
      </c>
      <c r="BC17" s="204">
        <f t="shared" si="8"/>
        <v>29831.109022148565</v>
      </c>
      <c r="BD17" s="204">
        <f t="shared" si="8"/>
        <v>29831.109022148565</v>
      </c>
      <c r="BE17" s="204">
        <f t="shared" si="8"/>
        <v>29831.109022148565</v>
      </c>
      <c r="BF17" s="204">
        <f t="shared" si="8"/>
        <v>29831.109022148565</v>
      </c>
      <c r="BG17" s="204">
        <f t="shared" si="8"/>
        <v>29831.109022148565</v>
      </c>
      <c r="BH17" s="204">
        <f t="shared" si="8"/>
        <v>29831.109022148565</v>
      </c>
      <c r="BI17" s="204">
        <f t="shared" si="8"/>
        <v>29831.109022148565</v>
      </c>
      <c r="BJ17" s="204">
        <f t="shared" si="8"/>
        <v>29831.109022148565</v>
      </c>
      <c r="BK17" s="204">
        <f t="shared" si="8"/>
        <v>29831.109022148565</v>
      </c>
      <c r="BL17" s="204">
        <f t="shared" si="8"/>
        <v>29831.109022148565</v>
      </c>
      <c r="BM17" s="204">
        <f t="shared" si="8"/>
        <v>29831.109022148565</v>
      </c>
      <c r="BN17" s="204">
        <f t="shared" si="8"/>
        <v>29831.109022148565</v>
      </c>
      <c r="BO17" s="204">
        <f t="shared" si="8"/>
        <v>29831.109022148565</v>
      </c>
      <c r="BP17" s="204">
        <f t="shared" si="8"/>
        <v>29831.109022148565</v>
      </c>
      <c r="BQ17" s="204">
        <f t="shared" si="8"/>
        <v>29831.109022148565</v>
      </c>
      <c r="BR17" s="204">
        <f t="shared" si="8"/>
        <v>29831.109022148565</v>
      </c>
      <c r="BS17" s="204">
        <f t="shared" si="8"/>
        <v>29831.109022148565</v>
      </c>
      <c r="BT17" s="204">
        <f t="shared" si="8"/>
        <v>29831.109022148565</v>
      </c>
      <c r="BU17" s="204">
        <f t="shared" si="8"/>
        <v>29831.109022148565</v>
      </c>
      <c r="BV17" s="204">
        <f t="shared" si="8"/>
        <v>29831.109022148565</v>
      </c>
      <c r="BW17" s="204">
        <f t="shared" si="8"/>
        <v>29831.109022148565</v>
      </c>
      <c r="BX17" s="204">
        <f t="shared" si="8"/>
        <v>29831.109022148565</v>
      </c>
      <c r="BY17" s="204">
        <f t="shared" si="8"/>
        <v>29831.109022148565</v>
      </c>
      <c r="BZ17" s="204">
        <f t="shared" si="8"/>
        <v>29831.109022148565</v>
      </c>
      <c r="CA17" s="204">
        <f t="shared" si="10"/>
        <v>29831.109022148565</v>
      </c>
      <c r="CB17" s="204">
        <f t="shared" si="10"/>
        <v>29831.109022148565</v>
      </c>
      <c r="CC17" s="204">
        <f t="shared" si="9"/>
        <v>29831.109022148565</v>
      </c>
      <c r="CD17" s="204">
        <f t="shared" si="9"/>
        <v>29831.109022148565</v>
      </c>
      <c r="CE17" s="204">
        <f t="shared" si="9"/>
        <v>29831.109022148565</v>
      </c>
      <c r="CF17" s="204">
        <f t="shared" si="9"/>
        <v>29831.109022148565</v>
      </c>
      <c r="CG17" s="204">
        <f t="shared" si="9"/>
        <v>29831.109022148565</v>
      </c>
      <c r="CH17" s="204">
        <f t="shared" si="9"/>
        <v>29831.109022148565</v>
      </c>
      <c r="CI17" s="204">
        <f t="shared" si="9"/>
        <v>29831.109022148565</v>
      </c>
      <c r="CJ17" s="204">
        <f t="shared" si="9"/>
        <v>29831.109022148565</v>
      </c>
      <c r="CK17" s="204">
        <f t="shared" si="9"/>
        <v>29831.109022148565</v>
      </c>
      <c r="CL17" s="204">
        <f t="shared" si="9"/>
        <v>29831.109022148565</v>
      </c>
      <c r="CM17" s="204">
        <f t="shared" si="9"/>
        <v>29831.109022148565</v>
      </c>
      <c r="CN17" s="204">
        <f t="shared" si="9"/>
        <v>29831.109022148565</v>
      </c>
      <c r="CO17" s="204">
        <f t="shared" si="9"/>
        <v>29831.109022148565</v>
      </c>
      <c r="CP17" s="204">
        <f t="shared" si="9"/>
        <v>29831.109022148565</v>
      </c>
      <c r="CQ17" s="204">
        <f t="shared" si="9"/>
        <v>29831.109022148565</v>
      </c>
      <c r="CR17" s="204">
        <f t="shared" si="9"/>
        <v>29831.109022148565</v>
      </c>
      <c r="CS17" s="204">
        <f t="shared" si="11"/>
        <v>29831.109022148565</v>
      </c>
      <c r="CT17" s="204">
        <f t="shared" si="11"/>
        <v>29831.109022148565</v>
      </c>
      <c r="CU17" s="204">
        <f t="shared" si="11"/>
        <v>29831.109022148565</v>
      </c>
      <c r="CV17" s="204">
        <f t="shared" si="11"/>
        <v>29831.109022148565</v>
      </c>
      <c r="CW17" s="204">
        <f t="shared" si="11"/>
        <v>29831.109022148568</v>
      </c>
      <c r="CX17" s="204">
        <f t="shared" si="11"/>
        <v>29831.109022148568</v>
      </c>
      <c r="CY17" s="204">
        <f t="shared" si="11"/>
        <v>29831.109022148568</v>
      </c>
      <c r="CZ17" s="204">
        <f t="shared" si="11"/>
        <v>29831.109022148568</v>
      </c>
      <c r="DA17" s="204">
        <f t="shared" si="11"/>
        <v>29831.109022148568</v>
      </c>
    </row>
    <row r="18" spans="1:105">
      <c r="A18" s="201" t="s">
        <v>85</v>
      </c>
      <c r="B18" s="203">
        <f>Income!B90</f>
        <v>46325.935688815232</v>
      </c>
      <c r="C18" s="203">
        <f>Income!C90</f>
        <v>46325.935688815232</v>
      </c>
      <c r="D18" s="203">
        <f>Income!D90</f>
        <v>46325.935688815232</v>
      </c>
      <c r="E18" s="203">
        <f>Income!E90</f>
        <v>46325.935688815232</v>
      </c>
      <c r="F18" s="204">
        <f t="shared" ref="F18:U18" si="12">IF(F$2&lt;=($B$2+$C$2+$D$2),IF(F$2&lt;=($B$2+$C$2),IF(F$2&lt;=$B$2,$B18,$C18),$D18),$E18)</f>
        <v>46325.935688815232</v>
      </c>
      <c r="G18" s="204">
        <f t="shared" si="12"/>
        <v>46325.935688815232</v>
      </c>
      <c r="H18" s="204">
        <f t="shared" si="12"/>
        <v>46325.935688815232</v>
      </c>
      <c r="I18" s="204">
        <f t="shared" si="12"/>
        <v>46325.935688815232</v>
      </c>
      <c r="J18" s="204">
        <f t="shared" si="12"/>
        <v>46325.935688815232</v>
      </c>
      <c r="K18" s="204">
        <f t="shared" si="12"/>
        <v>46325.935688815232</v>
      </c>
      <c r="L18" s="204">
        <f t="shared" si="12"/>
        <v>46325.935688815232</v>
      </c>
      <c r="M18" s="204">
        <f t="shared" si="12"/>
        <v>46325.935688815232</v>
      </c>
      <c r="N18" s="204">
        <f t="shared" si="12"/>
        <v>46325.935688815232</v>
      </c>
      <c r="O18" s="204">
        <f t="shared" si="12"/>
        <v>46325.935688815232</v>
      </c>
      <c r="P18" s="204">
        <f t="shared" si="12"/>
        <v>46325.935688815232</v>
      </c>
      <c r="Q18" s="204">
        <f t="shared" si="12"/>
        <v>46325.935688815232</v>
      </c>
      <c r="R18" s="204">
        <f t="shared" si="12"/>
        <v>46325.935688815232</v>
      </c>
      <c r="S18" s="204">
        <f t="shared" si="12"/>
        <v>46325.935688815232</v>
      </c>
      <c r="T18" s="204">
        <f t="shared" si="12"/>
        <v>46325.935688815232</v>
      </c>
      <c r="U18" s="204">
        <f t="shared" si="12"/>
        <v>46325.935688815232</v>
      </c>
      <c r="V18" s="204">
        <f t="shared" si="6"/>
        <v>46325.935688815232</v>
      </c>
      <c r="W18" s="204">
        <f t="shared" si="6"/>
        <v>46325.935688815232</v>
      </c>
      <c r="X18" s="204">
        <f t="shared" si="6"/>
        <v>46325.935688815232</v>
      </c>
      <c r="Y18" s="204">
        <f t="shared" si="6"/>
        <v>46325.935688815232</v>
      </c>
      <c r="Z18" s="204">
        <f t="shared" si="6"/>
        <v>46325.935688815232</v>
      </c>
      <c r="AA18" s="204">
        <f t="shared" si="6"/>
        <v>46325.935688815232</v>
      </c>
      <c r="AB18" s="204">
        <f t="shared" si="6"/>
        <v>46325.935688815232</v>
      </c>
      <c r="AC18" s="204">
        <f t="shared" si="6"/>
        <v>46325.935688815232</v>
      </c>
      <c r="AD18" s="204">
        <f t="shared" si="6"/>
        <v>46325.935688815232</v>
      </c>
      <c r="AE18" s="204">
        <f t="shared" si="6"/>
        <v>46325.935688815232</v>
      </c>
      <c r="AF18" s="204">
        <f t="shared" si="6"/>
        <v>46325.935688815232</v>
      </c>
      <c r="AG18" s="204">
        <f t="shared" si="6"/>
        <v>46325.935688815232</v>
      </c>
      <c r="AH18" s="204">
        <f t="shared" si="6"/>
        <v>46325.935688815232</v>
      </c>
      <c r="AI18" s="204">
        <f t="shared" si="6"/>
        <v>46325.935688815232</v>
      </c>
      <c r="AJ18" s="204">
        <f t="shared" si="6"/>
        <v>46325.935688815232</v>
      </c>
      <c r="AK18" s="204">
        <f t="shared" si="6"/>
        <v>46325.935688815232</v>
      </c>
      <c r="AL18" s="204">
        <f t="shared" si="7"/>
        <v>46325.935688815232</v>
      </c>
      <c r="AM18" s="204">
        <f t="shared" si="7"/>
        <v>46325.935688815232</v>
      </c>
      <c r="AN18" s="204">
        <f t="shared" si="7"/>
        <v>46325.935688815232</v>
      </c>
      <c r="AO18" s="204">
        <f t="shared" si="7"/>
        <v>46325.935688815232</v>
      </c>
      <c r="AP18" s="204">
        <f t="shared" si="7"/>
        <v>46325.935688815232</v>
      </c>
      <c r="AQ18" s="204">
        <f t="shared" si="7"/>
        <v>46325.935688815232</v>
      </c>
      <c r="AR18" s="204">
        <f t="shared" si="7"/>
        <v>46325.935688815232</v>
      </c>
      <c r="AS18" s="204">
        <f t="shared" si="7"/>
        <v>46325.935688815232</v>
      </c>
      <c r="AT18" s="204">
        <f t="shared" si="7"/>
        <v>46325.935688815232</v>
      </c>
      <c r="AU18" s="204">
        <f t="shared" si="7"/>
        <v>46325.935688815232</v>
      </c>
      <c r="AV18" s="204">
        <f t="shared" si="7"/>
        <v>46325.935688815232</v>
      </c>
      <c r="AW18" s="204">
        <f t="shared" si="7"/>
        <v>46325.935688815232</v>
      </c>
      <c r="AX18" s="204">
        <f t="shared" si="8"/>
        <v>46325.935688815232</v>
      </c>
      <c r="AY18" s="204">
        <f t="shared" si="8"/>
        <v>46325.935688815232</v>
      </c>
      <c r="AZ18" s="204">
        <f t="shared" si="8"/>
        <v>46325.935688815232</v>
      </c>
      <c r="BA18" s="204">
        <f t="shared" si="8"/>
        <v>46325.935688815232</v>
      </c>
      <c r="BB18" s="204">
        <f t="shared" si="8"/>
        <v>46325.935688815232</v>
      </c>
      <c r="BC18" s="204">
        <f t="shared" si="8"/>
        <v>46325.935688815232</v>
      </c>
      <c r="BD18" s="204">
        <f t="shared" si="8"/>
        <v>46325.935688815232</v>
      </c>
      <c r="BE18" s="204">
        <f t="shared" si="8"/>
        <v>46325.935688815232</v>
      </c>
      <c r="BF18" s="204">
        <f t="shared" si="8"/>
        <v>46325.935688815232</v>
      </c>
      <c r="BG18" s="204">
        <f t="shared" si="8"/>
        <v>46325.935688815232</v>
      </c>
      <c r="BH18" s="204">
        <f t="shared" si="8"/>
        <v>46325.935688815232</v>
      </c>
      <c r="BI18" s="204">
        <f t="shared" si="8"/>
        <v>46325.935688815232</v>
      </c>
      <c r="BJ18" s="204">
        <f t="shared" si="8"/>
        <v>46325.935688815232</v>
      </c>
      <c r="BK18" s="204">
        <f t="shared" si="8"/>
        <v>46325.935688815232</v>
      </c>
      <c r="BL18" s="204">
        <f t="shared" ref="BL18:BZ18" si="13">IF(BL$2&lt;=($B$2+$C$2+$D$2),IF(BL$2&lt;=($B$2+$C$2),IF(BL$2&lt;=$B$2,$B18,$C18),$D18),$E18)</f>
        <v>46325.935688815232</v>
      </c>
      <c r="BM18" s="204">
        <f t="shared" si="13"/>
        <v>46325.935688815232</v>
      </c>
      <c r="BN18" s="204">
        <f t="shared" si="13"/>
        <v>46325.935688815232</v>
      </c>
      <c r="BO18" s="204">
        <f t="shared" si="13"/>
        <v>46325.935688815232</v>
      </c>
      <c r="BP18" s="204">
        <f t="shared" si="13"/>
        <v>46325.935688815232</v>
      </c>
      <c r="BQ18" s="204">
        <f t="shared" si="13"/>
        <v>46325.935688815232</v>
      </c>
      <c r="BR18" s="204">
        <f t="shared" si="13"/>
        <v>46325.935688815232</v>
      </c>
      <c r="BS18" s="204">
        <f t="shared" si="13"/>
        <v>46325.935688815232</v>
      </c>
      <c r="BT18" s="204">
        <f t="shared" si="13"/>
        <v>46325.935688815232</v>
      </c>
      <c r="BU18" s="204">
        <f t="shared" si="13"/>
        <v>46325.935688815232</v>
      </c>
      <c r="BV18" s="204">
        <f t="shared" si="13"/>
        <v>46325.935688815232</v>
      </c>
      <c r="BW18" s="204">
        <f t="shared" si="13"/>
        <v>46325.935688815232</v>
      </c>
      <c r="BX18" s="204">
        <f t="shared" si="13"/>
        <v>46325.935688815232</v>
      </c>
      <c r="BY18" s="204">
        <f t="shared" si="13"/>
        <v>46325.935688815232</v>
      </c>
      <c r="BZ18" s="204">
        <f t="shared" si="13"/>
        <v>46325.935688815232</v>
      </c>
      <c r="CA18" s="204">
        <f t="shared" si="10"/>
        <v>46325.935688815232</v>
      </c>
      <c r="CB18" s="204">
        <f t="shared" si="10"/>
        <v>46325.935688815232</v>
      </c>
      <c r="CC18" s="204">
        <f t="shared" si="9"/>
        <v>46325.935688815232</v>
      </c>
      <c r="CD18" s="204">
        <f t="shared" si="9"/>
        <v>46325.935688815232</v>
      </c>
      <c r="CE18" s="204">
        <f t="shared" si="9"/>
        <v>46325.935688815232</v>
      </c>
      <c r="CF18" s="204">
        <f t="shared" si="9"/>
        <v>46325.935688815232</v>
      </c>
      <c r="CG18" s="204">
        <f t="shared" si="9"/>
        <v>46325.935688815232</v>
      </c>
      <c r="CH18" s="204">
        <f t="shared" si="9"/>
        <v>46325.935688815232</v>
      </c>
      <c r="CI18" s="204">
        <f t="shared" si="9"/>
        <v>46325.935688815232</v>
      </c>
      <c r="CJ18" s="204">
        <f t="shared" si="9"/>
        <v>46325.935688815232</v>
      </c>
      <c r="CK18" s="204">
        <f t="shared" si="9"/>
        <v>46325.935688815232</v>
      </c>
      <c r="CL18" s="204">
        <f t="shared" si="9"/>
        <v>46325.935688815232</v>
      </c>
      <c r="CM18" s="204">
        <f t="shared" si="9"/>
        <v>46325.935688815232</v>
      </c>
      <c r="CN18" s="204">
        <f t="shared" si="9"/>
        <v>46325.935688815232</v>
      </c>
      <c r="CO18" s="204">
        <f t="shared" si="9"/>
        <v>46325.935688815232</v>
      </c>
      <c r="CP18" s="204">
        <f t="shared" si="9"/>
        <v>46325.935688815232</v>
      </c>
      <c r="CQ18" s="204">
        <f t="shared" si="9"/>
        <v>46325.935688815232</v>
      </c>
      <c r="CR18" s="204">
        <f t="shared" si="9"/>
        <v>46325.935688815232</v>
      </c>
      <c r="CS18" s="204">
        <f t="shared" si="11"/>
        <v>46325.935688815232</v>
      </c>
      <c r="CT18" s="204">
        <f t="shared" si="11"/>
        <v>46325.935688815232</v>
      </c>
      <c r="CU18" s="204">
        <f t="shared" si="11"/>
        <v>46325.935688815232</v>
      </c>
      <c r="CV18" s="204">
        <f t="shared" si="11"/>
        <v>46325.935688815232</v>
      </c>
      <c r="CW18" s="204">
        <f t="shared" si="11"/>
        <v>46325.935688815232</v>
      </c>
      <c r="CX18" s="204">
        <f t="shared" si="11"/>
        <v>46325.935688815232</v>
      </c>
      <c r="CY18" s="204">
        <f t="shared" si="11"/>
        <v>46325.935688815232</v>
      </c>
      <c r="CZ18" s="204">
        <f t="shared" si="11"/>
        <v>46325.935688815232</v>
      </c>
      <c r="DA18" s="204">
        <f t="shared" si="11"/>
        <v>46325.935688815232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 t="str">
        <f t="shared" si="14"/>
        <v/>
      </c>
      <c r="Z19" s="201" t="str">
        <f t="shared" si="14"/>
        <v/>
      </c>
      <c r="AA19" s="201" t="str">
        <f t="shared" si="14"/>
        <v/>
      </c>
      <c r="AB19" s="201" t="str">
        <f t="shared" si="14"/>
        <v/>
      </c>
      <c r="AC19" s="201" t="str">
        <f t="shared" si="14"/>
        <v/>
      </c>
      <c r="AD19" s="201" t="str">
        <f t="shared" si="14"/>
        <v/>
      </c>
      <c r="AE19" s="201">
        <f t="shared" si="14"/>
        <v>38348.619717625661</v>
      </c>
      <c r="AF19" s="201">
        <f t="shared" si="14"/>
        <v>38477.320496643362</v>
      </c>
      <c r="AG19" s="201">
        <f t="shared" si="14"/>
        <v>38606.021275661064</v>
      </c>
      <c r="AH19" s="201">
        <f t="shared" si="14"/>
        <v>38734.722054678765</v>
      </c>
      <c r="AI19" s="201">
        <f t="shared" si="14"/>
        <v>38863.422833696466</v>
      </c>
      <c r="AJ19" s="201">
        <f t="shared" si="14"/>
        <v>38992.12361271416</v>
      </c>
      <c r="AK19" s="201">
        <f t="shared" si="14"/>
        <v>39120.824391731861</v>
      </c>
      <c r="AL19" s="201">
        <f t="shared" si="14"/>
        <v>39249.525170749563</v>
      </c>
      <c r="AM19" s="201">
        <f t="shared" si="14"/>
        <v>39378.225949767264</v>
      </c>
      <c r="AN19" s="201">
        <f t="shared" si="14"/>
        <v>39506.926728784965</v>
      </c>
      <c r="AO19" s="201">
        <f t="shared" si="14"/>
        <v>39635.627507802667</v>
      </c>
      <c r="AP19" s="201">
        <f t="shared" si="14"/>
        <v>39764.328286820368</v>
      </c>
      <c r="AQ19" s="201">
        <f t="shared" si="14"/>
        <v>39893.029065838069</v>
      </c>
      <c r="AR19" s="201">
        <f t="shared" si="14"/>
        <v>40021.72984485577</v>
      </c>
      <c r="AS19" s="201">
        <f t="shared" si="14"/>
        <v>40150.430623873472</v>
      </c>
      <c r="AT19" s="201">
        <f t="shared" si="14"/>
        <v>40279.131402891166</v>
      </c>
      <c r="AU19" s="201">
        <f t="shared" si="14"/>
        <v>40407.832181908867</v>
      </c>
      <c r="AV19" s="201">
        <f t="shared" si="14"/>
        <v>40536.532960926568</v>
      </c>
      <c r="AW19" s="201">
        <f t="shared" si="14"/>
        <v>40665.233739944269</v>
      </c>
      <c r="AX19" s="201">
        <f t="shared" si="14"/>
        <v>40793.934518961971</v>
      </c>
      <c r="AY19" s="201">
        <f t="shared" si="14"/>
        <v>40922.635297979672</v>
      </c>
      <c r="AZ19" s="201">
        <f t="shared" si="14"/>
        <v>41051.336076997373</v>
      </c>
      <c r="BA19" s="201">
        <f t="shared" si="14"/>
        <v>41180.036856015075</v>
      </c>
      <c r="BB19" s="201">
        <f t="shared" si="14"/>
        <v>41308.737635032776</v>
      </c>
      <c r="BC19" s="201">
        <f t="shared" si="14"/>
        <v>41437.438414050477</v>
      </c>
      <c r="BD19" s="201">
        <f t="shared" si="14"/>
        <v>41566.139193068171</v>
      </c>
      <c r="BE19" s="201">
        <f t="shared" si="14"/>
        <v>41694.839972085872</v>
      </c>
      <c r="BF19" s="201">
        <f t="shared" si="14"/>
        <v>41823.540751103574</v>
      </c>
      <c r="BG19" s="201">
        <f t="shared" si="14"/>
        <v>41952.241530121275</v>
      </c>
      <c r="BH19" s="201">
        <f t="shared" si="14"/>
        <v>42080.942309138976</v>
      </c>
      <c r="BI19" s="201">
        <f t="shared" si="14"/>
        <v>42209.643088156678</v>
      </c>
      <c r="BJ19" s="201">
        <f t="shared" si="14"/>
        <v>42338.343867174379</v>
      </c>
      <c r="BK19" s="201">
        <f t="shared" si="14"/>
        <v>42467.04464619208</v>
      </c>
      <c r="BL19" s="201">
        <f t="shared" si="14"/>
        <v>42595.745425209781</v>
      </c>
      <c r="BM19" s="201">
        <f t="shared" si="14"/>
        <v>42724.446204227483</v>
      </c>
      <c r="BN19" s="201">
        <f t="shared" si="14"/>
        <v>42853.146983245184</v>
      </c>
      <c r="BO19" s="201">
        <f t="shared" si="14"/>
        <v>42981.847762262878</v>
      </c>
      <c r="BP19" s="201">
        <f t="shared" si="14"/>
        <v>43110.548541280579</v>
      </c>
      <c r="BQ19" s="201">
        <f t="shared" si="14"/>
        <v>43239.249320298281</v>
      </c>
      <c r="BR19" s="201">
        <f t="shared" si="14"/>
        <v>43367.950099315982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43496.650878333683</v>
      </c>
      <c r="BT19" s="201">
        <f t="shared" si="15"/>
        <v>44225.002304240967</v>
      </c>
      <c r="BU19" s="201">
        <f t="shared" si="15"/>
        <v>44953.353730148257</v>
      </c>
      <c r="BV19" s="201">
        <f t="shared" si="15"/>
        <v>45681.705156055541</v>
      </c>
      <c r="BW19" s="201">
        <f t="shared" si="15"/>
        <v>46410.056581962825</v>
      </c>
      <c r="BX19" s="201">
        <f t="shared" si="15"/>
        <v>47138.408007870115</v>
      </c>
      <c r="BY19" s="201">
        <f t="shared" si="15"/>
        <v>47866.759433777399</v>
      </c>
      <c r="BZ19" s="201">
        <f t="shared" si="15"/>
        <v>48595.110859684683</v>
      </c>
      <c r="CA19" s="201">
        <f t="shared" si="15"/>
        <v>49323.462285591973</v>
      </c>
      <c r="CB19" s="201">
        <f t="shared" si="15"/>
        <v>50051.813711499257</v>
      </c>
      <c r="CC19" s="201">
        <f t="shared" si="15"/>
        <v>50780.16513740654</v>
      </c>
      <c r="CD19" s="201">
        <f t="shared" si="15"/>
        <v>51508.516563313824</v>
      </c>
      <c r="CE19" s="201">
        <f t="shared" si="15"/>
        <v>52236.867989221115</v>
      </c>
      <c r="CF19" s="201">
        <f t="shared" si="15"/>
        <v>52965.219415128398</v>
      </c>
      <c r="CG19" s="201">
        <f t="shared" si="15"/>
        <v>53693.570841035689</v>
      </c>
      <c r="CH19" s="201">
        <f t="shared" si="15"/>
        <v>54421.922266942973</v>
      </c>
      <c r="CI19" s="201">
        <f t="shared" si="15"/>
        <v>55150.273692850256</v>
      </c>
      <c r="CJ19" s="201">
        <f t="shared" si="15"/>
        <v>55878.62511875754</v>
      </c>
      <c r="CK19" s="201">
        <f t="shared" si="15"/>
        <v>56606.976544664823</v>
      </c>
      <c r="CL19" s="201">
        <f t="shared" si="15"/>
        <v>57335.327970572114</v>
      </c>
      <c r="CM19" s="201">
        <f t="shared" si="15"/>
        <v>58063.679396479398</v>
      </c>
      <c r="CN19" s="201">
        <f t="shared" si="15"/>
        <v>58792.030822386689</v>
      </c>
      <c r="CO19" s="201">
        <f t="shared" si="15"/>
        <v>59520.382248293972</v>
      </c>
      <c r="CP19" s="201">
        <f t="shared" si="15"/>
        <v>61220.936758601667</v>
      </c>
      <c r="CQ19" s="201">
        <f t="shared" si="15"/>
        <v>63893.694353309766</v>
      </c>
      <c r="CR19" s="201">
        <f t="shared" si="15"/>
        <v>66566.451948017871</v>
      </c>
      <c r="CS19" s="201">
        <f t="shared" si="15"/>
        <v>69239.209542725963</v>
      </c>
      <c r="CT19" s="201">
        <f t="shared" si="15"/>
        <v>71911.967137434069</v>
      </c>
      <c r="CU19" s="201">
        <f t="shared" si="15"/>
        <v>74584.724732142175</v>
      </c>
      <c r="CV19" s="201">
        <f t="shared" si="15"/>
        <v>77257.482326850266</v>
      </c>
      <c r="CW19" s="201">
        <f t="shared" si="15"/>
        <v>79930.239921558372</v>
      </c>
      <c r="CX19" s="201">
        <f t="shared" si="15"/>
        <v>82602.997516266478</v>
      </c>
      <c r="CY19" s="201">
        <f t="shared" si="15"/>
        <v>85275.755110974569</v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50</v>
      </c>
      <c r="C22" s="205">
        <f>C2*100</f>
        <v>30</v>
      </c>
      <c r="D22" s="205">
        <f>D2*100</f>
        <v>15</v>
      </c>
      <c r="E22" s="205">
        <f>E2*100</f>
        <v>5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50</v>
      </c>
      <c r="C23" s="206">
        <f>SUM($B22:C22)</f>
        <v>80</v>
      </c>
      <c r="D23" s="206">
        <f>SUM($B22:D22)</f>
        <v>95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25</v>
      </c>
      <c r="C24" s="208">
        <f>B23+(C23-B23)/2</f>
        <v>65</v>
      </c>
      <c r="D24" s="208">
        <f>C23+(D23-C23)/2</f>
        <v>87.5</v>
      </c>
      <c r="E24" s="208">
        <f>D23+(E23-D23)/2</f>
        <v>97.5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3956.4575360895724</v>
      </c>
      <c r="C25" s="203">
        <f>Income!C72</f>
        <v>4381.2423919338971</v>
      </c>
      <c r="D25" s="203">
        <f>Income!D72</f>
        <v>6097.8637282341842</v>
      </c>
      <c r="E25" s="203">
        <f>Income!E72</f>
        <v>6166.8441894519465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3956.4575360895724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3956.4575360895724</v>
      </c>
      <c r="H25" s="210">
        <f t="shared" si="16"/>
        <v>3956.4575360895724</v>
      </c>
      <c r="I25" s="210">
        <f t="shared" si="16"/>
        <v>3956.4575360895724</v>
      </c>
      <c r="J25" s="210">
        <f t="shared" si="16"/>
        <v>3956.4575360895724</v>
      </c>
      <c r="K25" s="210">
        <f t="shared" si="16"/>
        <v>3956.4575360895724</v>
      </c>
      <c r="L25" s="210">
        <f t="shared" si="16"/>
        <v>3956.4575360895724</v>
      </c>
      <c r="M25" s="210">
        <f t="shared" si="16"/>
        <v>3956.4575360895724</v>
      </c>
      <c r="N25" s="210">
        <f t="shared" si="16"/>
        <v>3956.4575360895724</v>
      </c>
      <c r="O25" s="210">
        <f t="shared" si="16"/>
        <v>3956.4575360895724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3956.4575360895724</v>
      </c>
      <c r="Q25" s="210">
        <f t="shared" si="17"/>
        <v>3956.4575360895724</v>
      </c>
      <c r="R25" s="210">
        <f t="shared" si="17"/>
        <v>3956.4575360895724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3956.4575360895724</v>
      </c>
      <c r="T25" s="210">
        <f t="shared" si="17"/>
        <v>3956.4575360895724</v>
      </c>
      <c r="U25" s="210">
        <f t="shared" si="17"/>
        <v>3956.4575360895724</v>
      </c>
      <c r="V25" s="210">
        <f t="shared" si="17"/>
        <v>3956.4575360895724</v>
      </c>
      <c r="W25" s="210">
        <f t="shared" si="17"/>
        <v>3956.4575360895724</v>
      </c>
      <c r="X25" s="210">
        <f t="shared" si="17"/>
        <v>3956.4575360895724</v>
      </c>
      <c r="Y25" s="210">
        <f t="shared" si="17"/>
        <v>3956.4575360895724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3956.4575360895724</v>
      </c>
      <c r="AA25" s="210">
        <f t="shared" si="18"/>
        <v>3956.4575360895724</v>
      </c>
      <c r="AB25" s="210">
        <f t="shared" si="18"/>
        <v>3956.4575360895724</v>
      </c>
      <c r="AC25" s="210">
        <f t="shared" si="18"/>
        <v>3956.4575360895724</v>
      </c>
      <c r="AD25" s="210">
        <f t="shared" si="18"/>
        <v>3956.4575360895724</v>
      </c>
      <c r="AE25" s="210">
        <f t="shared" si="18"/>
        <v>3956.4575360895724</v>
      </c>
      <c r="AF25" s="210">
        <f t="shared" si="18"/>
        <v>3967.0771574856803</v>
      </c>
      <c r="AG25" s="210">
        <f t="shared" si="18"/>
        <v>3977.6967788817888</v>
      </c>
      <c r="AH25" s="210">
        <f t="shared" si="18"/>
        <v>3988.3164002778967</v>
      </c>
      <c r="AI25" s="210">
        <f t="shared" si="18"/>
        <v>3998.9360216740047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4009.5556430701131</v>
      </c>
      <c r="AK25" s="210">
        <f t="shared" si="19"/>
        <v>4020.1752644662211</v>
      </c>
      <c r="AL25" s="210">
        <f t="shared" si="19"/>
        <v>4030.794885862329</v>
      </c>
      <c r="AM25" s="210">
        <f t="shared" si="19"/>
        <v>4041.4145072584374</v>
      </c>
      <c r="AN25" s="210">
        <f t="shared" si="19"/>
        <v>4052.0341286545454</v>
      </c>
      <c r="AO25" s="210">
        <f t="shared" si="19"/>
        <v>4062.6537500506538</v>
      </c>
      <c r="AP25" s="210">
        <f t="shared" si="19"/>
        <v>4073.2733714467618</v>
      </c>
      <c r="AQ25" s="210">
        <f t="shared" si="19"/>
        <v>4083.8929928428697</v>
      </c>
      <c r="AR25" s="210">
        <f t="shared" si="19"/>
        <v>4094.5126142389781</v>
      </c>
      <c r="AS25" s="210">
        <f t="shared" si="19"/>
        <v>4105.1322356350856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4115.751857031194</v>
      </c>
      <c r="AU25" s="210">
        <f t="shared" si="20"/>
        <v>4126.3714784273025</v>
      </c>
      <c r="AV25" s="210">
        <f t="shared" si="20"/>
        <v>4136.99109982341</v>
      </c>
      <c r="AW25" s="210">
        <f t="shared" si="20"/>
        <v>4147.6107212195184</v>
      </c>
      <c r="AX25" s="210">
        <f t="shared" si="20"/>
        <v>4158.2303426156268</v>
      </c>
      <c r="AY25" s="210">
        <f t="shared" si="20"/>
        <v>4168.8499640117352</v>
      </c>
      <c r="AZ25" s="210">
        <f t="shared" si="20"/>
        <v>4179.4695854078427</v>
      </c>
      <c r="BA25" s="210">
        <f t="shared" si="20"/>
        <v>4190.0892068039511</v>
      </c>
      <c r="BB25" s="210">
        <f t="shared" si="20"/>
        <v>4200.7088282000586</v>
      </c>
      <c r="BC25" s="210">
        <f t="shared" si="20"/>
        <v>4211.328449596167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4221.9480709922755</v>
      </c>
      <c r="BE25" s="210">
        <f t="shared" si="21"/>
        <v>4232.5676923883839</v>
      </c>
      <c r="BF25" s="210">
        <f t="shared" si="21"/>
        <v>4243.1873137844914</v>
      </c>
      <c r="BG25" s="210">
        <f t="shared" si="21"/>
        <v>4253.8069351805998</v>
      </c>
      <c r="BH25" s="210">
        <f t="shared" si="21"/>
        <v>4264.4265565767082</v>
      </c>
      <c r="BI25" s="210">
        <f t="shared" si="21"/>
        <v>4275.0461779728157</v>
      </c>
      <c r="BJ25" s="210">
        <f t="shared" si="21"/>
        <v>4285.6657993689241</v>
      </c>
      <c r="BK25" s="210">
        <f t="shared" si="21"/>
        <v>4296.2854207650325</v>
      </c>
      <c r="BL25" s="210">
        <f t="shared" si="21"/>
        <v>4306.90504216114</v>
      </c>
      <c r="BM25" s="210">
        <f t="shared" si="21"/>
        <v>4317.5246635572485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4328.1442849533569</v>
      </c>
      <c r="BO25" s="210">
        <f t="shared" si="22"/>
        <v>4338.7639063494644</v>
      </c>
      <c r="BP25" s="210">
        <f t="shared" si="22"/>
        <v>4349.3835277455728</v>
      </c>
      <c r="BQ25" s="210">
        <f t="shared" si="22"/>
        <v>4360.0031491416812</v>
      </c>
      <c r="BR25" s="210">
        <f t="shared" si="22"/>
        <v>4370.6227705377887</v>
      </c>
      <c r="BS25" s="210">
        <f t="shared" si="22"/>
        <v>4381.2423919338971</v>
      </c>
      <c r="BT25" s="210">
        <f t="shared" si="22"/>
        <v>4457.5366735472435</v>
      </c>
      <c r="BU25" s="210">
        <f t="shared" si="22"/>
        <v>4533.8309551605889</v>
      </c>
      <c r="BV25" s="210">
        <f t="shared" si="22"/>
        <v>4610.1252367739353</v>
      </c>
      <c r="BW25" s="210">
        <f t="shared" si="22"/>
        <v>4686.4195183872816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4762.7138000006271</v>
      </c>
      <c r="BY25" s="210">
        <f t="shared" si="23"/>
        <v>4839.0080816139734</v>
      </c>
      <c r="BZ25" s="210">
        <f t="shared" si="23"/>
        <v>4915.3023632273198</v>
      </c>
      <c r="CA25" s="210">
        <f t="shared" si="23"/>
        <v>4991.5966448406662</v>
      </c>
      <c r="CB25" s="210">
        <f t="shared" si="23"/>
        <v>5067.8909264540116</v>
      </c>
      <c r="CC25" s="210">
        <f t="shared" si="23"/>
        <v>5144.185208067358</v>
      </c>
      <c r="CD25" s="210">
        <f t="shared" si="23"/>
        <v>5220.4794896807043</v>
      </c>
      <c r="CE25" s="210">
        <f t="shared" si="23"/>
        <v>5296.7737712940507</v>
      </c>
      <c r="CF25" s="210">
        <f t="shared" si="23"/>
        <v>5373.0680529073961</v>
      </c>
      <c r="CG25" s="210">
        <f t="shared" si="23"/>
        <v>5449.3623345207425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5525.6566161340888</v>
      </c>
      <c r="CI25" s="210">
        <f t="shared" si="24"/>
        <v>5601.9508977474343</v>
      </c>
      <c r="CJ25" s="210">
        <f t="shared" si="24"/>
        <v>5678.2451793607806</v>
      </c>
      <c r="CK25" s="210">
        <f t="shared" si="24"/>
        <v>5754.539460974127</v>
      </c>
      <c r="CL25" s="210">
        <f t="shared" si="24"/>
        <v>5830.8337425874724</v>
      </c>
      <c r="CM25" s="210">
        <f t="shared" si="24"/>
        <v>5907.1280242008188</v>
      </c>
      <c r="CN25" s="210">
        <f t="shared" si="24"/>
        <v>5983.4223058141652</v>
      </c>
      <c r="CO25" s="210">
        <f t="shared" si="24"/>
        <v>6059.7165874275115</v>
      </c>
      <c r="CP25" s="210">
        <f t="shared" si="24"/>
        <v>6101.3127512950723</v>
      </c>
      <c r="CQ25" s="210">
        <f t="shared" si="24"/>
        <v>6108.2107974168484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6115.1088435386246</v>
      </c>
      <c r="CS25" s="210">
        <f t="shared" si="25"/>
        <v>6122.0068896604007</v>
      </c>
      <c r="CT25" s="210">
        <f t="shared" si="25"/>
        <v>6128.9049357821768</v>
      </c>
      <c r="CU25" s="210">
        <f t="shared" si="25"/>
        <v>6135.8029819039539</v>
      </c>
      <c r="CV25" s="210">
        <f t="shared" si="25"/>
        <v>6142.70102802573</v>
      </c>
      <c r="CW25" s="210">
        <f t="shared" si="25"/>
        <v>6149.5990741475061</v>
      </c>
      <c r="CX25" s="210">
        <f t="shared" si="25"/>
        <v>6156.4971202692823</v>
      </c>
      <c r="CY25" s="210">
        <f t="shared" si="25"/>
        <v>6163.3951663910584</v>
      </c>
      <c r="CZ25" s="210">
        <f t="shared" si="25"/>
        <v>6166.8441894519465</v>
      </c>
      <c r="DA25" s="210">
        <f t="shared" si="25"/>
        <v>6166.8441894519465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1238.4628440424749</v>
      </c>
      <c r="D26" s="203">
        <f>Income!D73</f>
        <v>5364.203299375361</v>
      </c>
      <c r="E26" s="203">
        <f>Income!E73</f>
        <v>7603.2795975558211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30.961571101061871</v>
      </c>
      <c r="AG26" s="210">
        <f t="shared" si="18"/>
        <v>61.923142202123742</v>
      </c>
      <c r="AH26" s="210">
        <f t="shared" si="18"/>
        <v>92.88471330318562</v>
      </c>
      <c r="AI26" s="210">
        <f t="shared" si="18"/>
        <v>123.84628440424748</v>
      </c>
      <c r="AJ26" s="210">
        <f t="shared" si="19"/>
        <v>154.80785550530936</v>
      </c>
      <c r="AK26" s="210">
        <f t="shared" si="19"/>
        <v>185.76942660637124</v>
      </c>
      <c r="AL26" s="210">
        <f t="shared" si="19"/>
        <v>216.73099770743312</v>
      </c>
      <c r="AM26" s="210">
        <f t="shared" si="19"/>
        <v>247.69256880849497</v>
      </c>
      <c r="AN26" s="210">
        <f t="shared" si="19"/>
        <v>278.65413990955687</v>
      </c>
      <c r="AO26" s="210">
        <f t="shared" si="19"/>
        <v>309.61571101061872</v>
      </c>
      <c r="AP26" s="210">
        <f t="shared" si="19"/>
        <v>340.57728211168057</v>
      </c>
      <c r="AQ26" s="210">
        <f t="shared" si="19"/>
        <v>371.53885321274248</v>
      </c>
      <c r="AR26" s="210">
        <f t="shared" si="19"/>
        <v>402.50042431380433</v>
      </c>
      <c r="AS26" s="210">
        <f t="shared" si="19"/>
        <v>433.46199541486624</v>
      </c>
      <c r="AT26" s="210">
        <f t="shared" si="20"/>
        <v>464.42356651592809</v>
      </c>
      <c r="AU26" s="210">
        <f t="shared" si="20"/>
        <v>495.38513761698994</v>
      </c>
      <c r="AV26" s="210">
        <f t="shared" si="20"/>
        <v>526.34670871805179</v>
      </c>
      <c r="AW26" s="210">
        <f t="shared" si="20"/>
        <v>557.30827981911375</v>
      </c>
      <c r="AX26" s="210">
        <f t="shared" si="20"/>
        <v>588.2698509201756</v>
      </c>
      <c r="AY26" s="210">
        <f t="shared" si="20"/>
        <v>619.23142202123745</v>
      </c>
      <c r="AZ26" s="210">
        <f t="shared" si="20"/>
        <v>650.1929931222993</v>
      </c>
      <c r="BA26" s="210">
        <f t="shared" si="20"/>
        <v>681.15456422336115</v>
      </c>
      <c r="BB26" s="210">
        <f t="shared" si="20"/>
        <v>712.11613532442311</v>
      </c>
      <c r="BC26" s="210">
        <f t="shared" si="20"/>
        <v>743.07770642548496</v>
      </c>
      <c r="BD26" s="210">
        <f t="shared" si="21"/>
        <v>774.03927752654681</v>
      </c>
      <c r="BE26" s="210">
        <f t="shared" si="21"/>
        <v>805.00084862760866</v>
      </c>
      <c r="BF26" s="210">
        <f t="shared" si="21"/>
        <v>835.96241972867062</v>
      </c>
      <c r="BG26" s="210">
        <f t="shared" si="21"/>
        <v>866.92399082973247</v>
      </c>
      <c r="BH26" s="210">
        <f t="shared" si="21"/>
        <v>897.88556193079421</v>
      </c>
      <c r="BI26" s="210">
        <f t="shared" si="21"/>
        <v>928.84713303185617</v>
      </c>
      <c r="BJ26" s="210">
        <f t="shared" si="21"/>
        <v>959.80870413291814</v>
      </c>
      <c r="BK26" s="210">
        <f t="shared" si="21"/>
        <v>990.77027523397987</v>
      </c>
      <c r="BL26" s="210">
        <f t="shared" si="21"/>
        <v>1021.7318463350417</v>
      </c>
      <c r="BM26" s="210">
        <f t="shared" si="21"/>
        <v>1052.6934174361036</v>
      </c>
      <c r="BN26" s="210">
        <f t="shared" si="22"/>
        <v>1083.6549885371655</v>
      </c>
      <c r="BO26" s="210">
        <f t="shared" si="22"/>
        <v>1114.6165596382275</v>
      </c>
      <c r="BP26" s="210">
        <f t="shared" si="22"/>
        <v>1145.5781307392892</v>
      </c>
      <c r="BQ26" s="210">
        <f t="shared" si="22"/>
        <v>1176.5397018403512</v>
      </c>
      <c r="BR26" s="210">
        <f t="shared" si="22"/>
        <v>1207.5012729414132</v>
      </c>
      <c r="BS26" s="210">
        <f t="shared" si="22"/>
        <v>1238.4628440424749</v>
      </c>
      <c r="BT26" s="210">
        <f t="shared" si="22"/>
        <v>1421.8290865017143</v>
      </c>
      <c r="BU26" s="210">
        <f t="shared" si="22"/>
        <v>1605.1953289609537</v>
      </c>
      <c r="BV26" s="210">
        <f t="shared" si="22"/>
        <v>1788.5615714201931</v>
      </c>
      <c r="BW26" s="210">
        <f t="shared" si="22"/>
        <v>1971.9278138794325</v>
      </c>
      <c r="BX26" s="210">
        <f t="shared" si="23"/>
        <v>2155.2940563386719</v>
      </c>
      <c r="BY26" s="210">
        <f t="shared" si="23"/>
        <v>2338.6602987979113</v>
      </c>
      <c r="BZ26" s="210">
        <f t="shared" si="23"/>
        <v>2522.0265412571507</v>
      </c>
      <c r="CA26" s="210">
        <f t="shared" si="23"/>
        <v>2705.3927837163901</v>
      </c>
      <c r="CB26" s="210">
        <f t="shared" si="23"/>
        <v>2888.7590261756295</v>
      </c>
      <c r="CC26" s="210">
        <f t="shared" si="23"/>
        <v>3072.1252686348689</v>
      </c>
      <c r="CD26" s="210">
        <f t="shared" si="23"/>
        <v>3255.4915110941083</v>
      </c>
      <c r="CE26" s="210">
        <f t="shared" si="23"/>
        <v>3438.8577535533477</v>
      </c>
      <c r="CF26" s="210">
        <f t="shared" si="23"/>
        <v>3622.2239960125867</v>
      </c>
      <c r="CG26" s="210">
        <f t="shared" si="23"/>
        <v>3805.5902384718265</v>
      </c>
      <c r="CH26" s="210">
        <f t="shared" si="24"/>
        <v>3988.9564809310655</v>
      </c>
      <c r="CI26" s="210">
        <f t="shared" si="24"/>
        <v>4172.3227233903053</v>
      </c>
      <c r="CJ26" s="210">
        <f t="shared" si="24"/>
        <v>4355.6889658495438</v>
      </c>
      <c r="CK26" s="210">
        <f t="shared" si="24"/>
        <v>4539.0552083087841</v>
      </c>
      <c r="CL26" s="210">
        <f t="shared" si="24"/>
        <v>4722.4214507680226</v>
      </c>
      <c r="CM26" s="210">
        <f t="shared" si="24"/>
        <v>4905.7876932272629</v>
      </c>
      <c r="CN26" s="210">
        <f t="shared" si="24"/>
        <v>5089.1539356865023</v>
      </c>
      <c r="CO26" s="210">
        <f t="shared" si="24"/>
        <v>5272.5201781457417</v>
      </c>
      <c r="CP26" s="210">
        <f t="shared" si="24"/>
        <v>5476.1571142843841</v>
      </c>
      <c r="CQ26" s="210">
        <f t="shared" si="24"/>
        <v>5700.0647441024303</v>
      </c>
      <c r="CR26" s="210">
        <f t="shared" si="25"/>
        <v>5923.9723739204765</v>
      </c>
      <c r="CS26" s="210">
        <f t="shared" si="25"/>
        <v>6147.8800037385217</v>
      </c>
      <c r="CT26" s="210">
        <f t="shared" si="25"/>
        <v>6371.7876335565679</v>
      </c>
      <c r="CU26" s="210">
        <f t="shared" si="25"/>
        <v>6595.6952633746141</v>
      </c>
      <c r="CV26" s="210">
        <f t="shared" si="25"/>
        <v>6819.6028931926594</v>
      </c>
      <c r="CW26" s="210">
        <f t="shared" si="25"/>
        <v>7043.5105230107056</v>
      </c>
      <c r="CX26" s="210">
        <f t="shared" si="25"/>
        <v>7267.4181528287518</v>
      </c>
      <c r="CY26" s="210">
        <f t="shared" si="25"/>
        <v>7491.325782646798</v>
      </c>
      <c r="CZ26" s="210">
        <f t="shared" si="25"/>
        <v>7603.2795975558211</v>
      </c>
      <c r="DA26" s="210">
        <f t="shared" si="25"/>
        <v>7603.2795975558211</v>
      </c>
    </row>
    <row r="27" spans="1:105">
      <c r="A27" s="201" t="str">
        <f>Income!A74</f>
        <v>Animal products consumed</v>
      </c>
      <c r="B27" s="203">
        <f>Income!B74</f>
        <v>279.81896093684895</v>
      </c>
      <c r="C27" s="203">
        <f>Income!C74</f>
        <v>432.45354682181602</v>
      </c>
      <c r="D27" s="203">
        <f>Income!D74</f>
        <v>745.16676507581951</v>
      </c>
      <c r="E27" s="203">
        <f>Income!E74</f>
        <v>1940.8624261512305</v>
      </c>
      <c r="F27" s="210">
        <f t="shared" si="16"/>
        <v>279.81896093684895</v>
      </c>
      <c r="G27" s="210">
        <f t="shared" si="16"/>
        <v>279.81896093684895</v>
      </c>
      <c r="H27" s="210">
        <f t="shared" si="16"/>
        <v>279.81896093684895</v>
      </c>
      <c r="I27" s="210">
        <f t="shared" si="16"/>
        <v>279.81896093684895</v>
      </c>
      <c r="J27" s="210">
        <f t="shared" si="16"/>
        <v>279.81896093684895</v>
      </c>
      <c r="K27" s="210">
        <f t="shared" si="16"/>
        <v>279.81896093684895</v>
      </c>
      <c r="L27" s="210">
        <f t="shared" si="16"/>
        <v>279.81896093684895</v>
      </c>
      <c r="M27" s="210">
        <f t="shared" si="16"/>
        <v>279.81896093684895</v>
      </c>
      <c r="N27" s="210">
        <f t="shared" si="16"/>
        <v>279.81896093684895</v>
      </c>
      <c r="O27" s="210">
        <f t="shared" si="16"/>
        <v>279.81896093684895</v>
      </c>
      <c r="P27" s="210">
        <f t="shared" si="17"/>
        <v>279.81896093684895</v>
      </c>
      <c r="Q27" s="210">
        <f t="shared" si="17"/>
        <v>279.81896093684895</v>
      </c>
      <c r="R27" s="210">
        <f t="shared" si="17"/>
        <v>279.81896093684895</v>
      </c>
      <c r="S27" s="210">
        <f t="shared" si="17"/>
        <v>279.81896093684895</v>
      </c>
      <c r="T27" s="210">
        <f t="shared" si="17"/>
        <v>279.81896093684895</v>
      </c>
      <c r="U27" s="210">
        <f t="shared" si="17"/>
        <v>279.81896093684895</v>
      </c>
      <c r="V27" s="210">
        <f t="shared" si="17"/>
        <v>279.81896093684895</v>
      </c>
      <c r="W27" s="210">
        <f t="shared" si="17"/>
        <v>279.81896093684895</v>
      </c>
      <c r="X27" s="210">
        <f t="shared" si="17"/>
        <v>279.81896093684895</v>
      </c>
      <c r="Y27" s="210">
        <f t="shared" si="17"/>
        <v>279.81896093684895</v>
      </c>
      <c r="Z27" s="210">
        <f t="shared" si="18"/>
        <v>279.81896093684895</v>
      </c>
      <c r="AA27" s="210">
        <f t="shared" si="18"/>
        <v>279.81896093684895</v>
      </c>
      <c r="AB27" s="210">
        <f t="shared" si="18"/>
        <v>279.81896093684895</v>
      </c>
      <c r="AC27" s="210">
        <f t="shared" si="18"/>
        <v>279.81896093684895</v>
      </c>
      <c r="AD27" s="210">
        <f t="shared" si="18"/>
        <v>279.81896093684895</v>
      </c>
      <c r="AE27" s="210">
        <f t="shared" si="18"/>
        <v>279.81896093684895</v>
      </c>
      <c r="AF27" s="210">
        <f t="shared" si="18"/>
        <v>283.63482558397311</v>
      </c>
      <c r="AG27" s="210">
        <f t="shared" si="18"/>
        <v>287.45069023109733</v>
      </c>
      <c r="AH27" s="210">
        <f t="shared" si="18"/>
        <v>291.26655487822148</v>
      </c>
      <c r="AI27" s="210">
        <f t="shared" si="18"/>
        <v>295.08241952534564</v>
      </c>
      <c r="AJ27" s="210">
        <f t="shared" si="19"/>
        <v>298.89828417246986</v>
      </c>
      <c r="AK27" s="210">
        <f t="shared" si="19"/>
        <v>302.71414881959402</v>
      </c>
      <c r="AL27" s="210">
        <f t="shared" si="19"/>
        <v>306.53001346671817</v>
      </c>
      <c r="AM27" s="210">
        <f t="shared" si="19"/>
        <v>310.34587811384239</v>
      </c>
      <c r="AN27" s="210">
        <f t="shared" si="19"/>
        <v>314.16174276096655</v>
      </c>
      <c r="AO27" s="210">
        <f t="shared" si="19"/>
        <v>317.97760740809071</v>
      </c>
      <c r="AP27" s="210">
        <f t="shared" si="19"/>
        <v>321.79347205521492</v>
      </c>
      <c r="AQ27" s="210">
        <f t="shared" si="19"/>
        <v>325.60933670233908</v>
      </c>
      <c r="AR27" s="210">
        <f t="shared" si="19"/>
        <v>329.42520134946324</v>
      </c>
      <c r="AS27" s="210">
        <f t="shared" si="19"/>
        <v>333.24106599658745</v>
      </c>
      <c r="AT27" s="210">
        <f t="shared" si="20"/>
        <v>337.05693064371161</v>
      </c>
      <c r="AU27" s="210">
        <f t="shared" si="20"/>
        <v>340.87279529083577</v>
      </c>
      <c r="AV27" s="210">
        <f t="shared" si="20"/>
        <v>344.68865993795998</v>
      </c>
      <c r="AW27" s="210">
        <f t="shared" si="20"/>
        <v>348.50452458508414</v>
      </c>
      <c r="AX27" s="210">
        <f t="shared" si="20"/>
        <v>352.3203892322083</v>
      </c>
      <c r="AY27" s="210">
        <f t="shared" si="20"/>
        <v>356.13625387933246</v>
      </c>
      <c r="AZ27" s="210">
        <f t="shared" si="20"/>
        <v>359.95211852645667</v>
      </c>
      <c r="BA27" s="210">
        <f t="shared" si="20"/>
        <v>363.76798317358083</v>
      </c>
      <c r="BB27" s="210">
        <f t="shared" si="20"/>
        <v>367.58384782070505</v>
      </c>
      <c r="BC27" s="210">
        <f t="shared" si="20"/>
        <v>371.3997124678292</v>
      </c>
      <c r="BD27" s="210">
        <f t="shared" si="21"/>
        <v>375.21557711495336</v>
      </c>
      <c r="BE27" s="210">
        <f t="shared" si="21"/>
        <v>379.03144176207752</v>
      </c>
      <c r="BF27" s="210">
        <f t="shared" si="21"/>
        <v>382.84730640920174</v>
      </c>
      <c r="BG27" s="210">
        <f t="shared" si="21"/>
        <v>386.66317105632589</v>
      </c>
      <c r="BH27" s="210">
        <f t="shared" si="21"/>
        <v>390.47903570345011</v>
      </c>
      <c r="BI27" s="210">
        <f t="shared" si="21"/>
        <v>394.29490035057427</v>
      </c>
      <c r="BJ27" s="210">
        <f t="shared" si="21"/>
        <v>398.11076499769842</v>
      </c>
      <c r="BK27" s="210">
        <f t="shared" si="21"/>
        <v>401.92662964482258</v>
      </c>
      <c r="BL27" s="210">
        <f t="shared" si="21"/>
        <v>405.7424942919468</v>
      </c>
      <c r="BM27" s="210">
        <f t="shared" si="21"/>
        <v>409.55835893907096</v>
      </c>
      <c r="BN27" s="210">
        <f t="shared" si="22"/>
        <v>413.37422358619511</v>
      </c>
      <c r="BO27" s="210">
        <f t="shared" si="22"/>
        <v>417.19008823331933</v>
      </c>
      <c r="BP27" s="210">
        <f t="shared" si="22"/>
        <v>421.00595288044349</v>
      </c>
      <c r="BQ27" s="210">
        <f t="shared" si="22"/>
        <v>424.82181752756765</v>
      </c>
      <c r="BR27" s="210">
        <f t="shared" si="22"/>
        <v>428.63768217469186</v>
      </c>
      <c r="BS27" s="210">
        <f t="shared" si="22"/>
        <v>432.45354682181602</v>
      </c>
      <c r="BT27" s="210">
        <f t="shared" si="22"/>
        <v>446.35191207754951</v>
      </c>
      <c r="BU27" s="210">
        <f t="shared" si="22"/>
        <v>460.25027733328301</v>
      </c>
      <c r="BV27" s="210">
        <f t="shared" si="22"/>
        <v>474.1486425890165</v>
      </c>
      <c r="BW27" s="210">
        <f t="shared" si="22"/>
        <v>488.04700784474994</v>
      </c>
      <c r="BX27" s="210">
        <f t="shared" si="23"/>
        <v>501.94537310048349</v>
      </c>
      <c r="BY27" s="210">
        <f t="shared" si="23"/>
        <v>515.84373835621693</v>
      </c>
      <c r="BZ27" s="210">
        <f t="shared" si="23"/>
        <v>529.74210361195048</v>
      </c>
      <c r="CA27" s="210">
        <f t="shared" si="23"/>
        <v>543.64046886768392</v>
      </c>
      <c r="CB27" s="210">
        <f t="shared" si="23"/>
        <v>557.53883412341747</v>
      </c>
      <c r="CC27" s="210">
        <f t="shared" si="23"/>
        <v>571.43719937915091</v>
      </c>
      <c r="CD27" s="210">
        <f t="shared" si="23"/>
        <v>585.33556463488435</v>
      </c>
      <c r="CE27" s="210">
        <f t="shared" si="23"/>
        <v>599.2339298906179</v>
      </c>
      <c r="CF27" s="210">
        <f t="shared" si="23"/>
        <v>613.13229514635134</v>
      </c>
      <c r="CG27" s="210">
        <f t="shared" si="23"/>
        <v>627.03066040208489</v>
      </c>
      <c r="CH27" s="210">
        <f t="shared" si="24"/>
        <v>640.92902565781833</v>
      </c>
      <c r="CI27" s="210">
        <f t="shared" si="24"/>
        <v>654.82739091355188</v>
      </c>
      <c r="CJ27" s="210">
        <f t="shared" si="24"/>
        <v>668.72575616928532</v>
      </c>
      <c r="CK27" s="210">
        <f t="shared" si="24"/>
        <v>682.62412142501876</v>
      </c>
      <c r="CL27" s="210">
        <f t="shared" si="24"/>
        <v>696.52248668075231</v>
      </c>
      <c r="CM27" s="210">
        <f t="shared" si="24"/>
        <v>710.42085193648586</v>
      </c>
      <c r="CN27" s="210">
        <f t="shared" si="24"/>
        <v>724.3192171922193</v>
      </c>
      <c r="CO27" s="210">
        <f t="shared" si="24"/>
        <v>738.21758244795274</v>
      </c>
      <c r="CP27" s="210">
        <f t="shared" si="24"/>
        <v>804.95154812959004</v>
      </c>
      <c r="CQ27" s="210">
        <f t="shared" si="24"/>
        <v>924.52111423713109</v>
      </c>
      <c r="CR27" s="210">
        <f t="shared" si="25"/>
        <v>1044.0906803446724</v>
      </c>
      <c r="CS27" s="210">
        <f t="shared" si="25"/>
        <v>1163.6602464522134</v>
      </c>
      <c r="CT27" s="210">
        <f t="shared" si="25"/>
        <v>1283.2298125597545</v>
      </c>
      <c r="CU27" s="210">
        <f t="shared" si="25"/>
        <v>1402.7993786672955</v>
      </c>
      <c r="CV27" s="210">
        <f t="shared" si="25"/>
        <v>1522.3689447748366</v>
      </c>
      <c r="CW27" s="210">
        <f t="shared" si="25"/>
        <v>1641.9385108823778</v>
      </c>
      <c r="CX27" s="210">
        <f t="shared" si="25"/>
        <v>1761.5080769899187</v>
      </c>
      <c r="CY27" s="210">
        <f t="shared" si="25"/>
        <v>1881.0776430974599</v>
      </c>
      <c r="CZ27" s="210">
        <f t="shared" si="25"/>
        <v>1940.8624261512305</v>
      </c>
      <c r="DA27" s="210">
        <f t="shared" si="25"/>
        <v>1940.8624261512305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740.70744260913568</v>
      </c>
      <c r="D29" s="203">
        <f>Income!D76</f>
        <v>5184.9520982639497</v>
      </c>
      <c r="E29" s="203">
        <f>Income!E76</f>
        <v>14550.78620592169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0</v>
      </c>
      <c r="AB29" s="210">
        <f t="shared" si="18"/>
        <v>0</v>
      </c>
      <c r="AC29" s="210">
        <f t="shared" si="18"/>
        <v>0</v>
      </c>
      <c r="AD29" s="210">
        <f t="shared" si="18"/>
        <v>0</v>
      </c>
      <c r="AE29" s="210">
        <f t="shared" si="18"/>
        <v>0</v>
      </c>
      <c r="AF29" s="210">
        <f t="shared" si="18"/>
        <v>18.517686065228393</v>
      </c>
      <c r="AG29" s="210">
        <f t="shared" si="18"/>
        <v>37.035372130456786</v>
      </c>
      <c r="AH29" s="210">
        <f t="shared" si="18"/>
        <v>55.553058195685175</v>
      </c>
      <c r="AI29" s="210">
        <f t="shared" si="18"/>
        <v>74.070744260913571</v>
      </c>
      <c r="AJ29" s="210">
        <f t="shared" si="19"/>
        <v>92.58843032614196</v>
      </c>
      <c r="AK29" s="210">
        <f t="shared" si="19"/>
        <v>111.10611639137035</v>
      </c>
      <c r="AL29" s="210">
        <f t="shared" si="19"/>
        <v>129.62380245659875</v>
      </c>
      <c r="AM29" s="210">
        <f t="shared" si="19"/>
        <v>148.14148852182714</v>
      </c>
      <c r="AN29" s="210">
        <f t="shared" si="19"/>
        <v>166.65917458705553</v>
      </c>
      <c r="AO29" s="210">
        <f t="shared" si="19"/>
        <v>185.17686065228392</v>
      </c>
      <c r="AP29" s="210">
        <f t="shared" si="19"/>
        <v>203.69454671751231</v>
      </c>
      <c r="AQ29" s="210">
        <f t="shared" si="19"/>
        <v>222.2122327827407</v>
      </c>
      <c r="AR29" s="210">
        <f t="shared" si="19"/>
        <v>240.72991884796912</v>
      </c>
      <c r="AS29" s="210">
        <f t="shared" si="19"/>
        <v>259.24760491319751</v>
      </c>
      <c r="AT29" s="210">
        <f t="shared" si="20"/>
        <v>277.76529097842592</v>
      </c>
      <c r="AU29" s="210">
        <f t="shared" si="20"/>
        <v>296.28297704365428</v>
      </c>
      <c r="AV29" s="210">
        <f t="shared" si="20"/>
        <v>314.80066310888265</v>
      </c>
      <c r="AW29" s="210">
        <f t="shared" si="20"/>
        <v>333.31834917411106</v>
      </c>
      <c r="AX29" s="210">
        <f t="shared" si="20"/>
        <v>351.83603523933942</v>
      </c>
      <c r="AY29" s="210">
        <f t="shared" si="20"/>
        <v>370.35372130456784</v>
      </c>
      <c r="AZ29" s="210">
        <f t="shared" si="20"/>
        <v>388.8714073697962</v>
      </c>
      <c r="BA29" s="210">
        <f t="shared" si="20"/>
        <v>407.38909343502462</v>
      </c>
      <c r="BB29" s="210">
        <f t="shared" si="20"/>
        <v>425.90677950025304</v>
      </c>
      <c r="BC29" s="210">
        <f t="shared" si="20"/>
        <v>444.4244655654814</v>
      </c>
      <c r="BD29" s="210">
        <f t="shared" si="21"/>
        <v>462.94215163070976</v>
      </c>
      <c r="BE29" s="210">
        <f t="shared" si="21"/>
        <v>481.45983769593823</v>
      </c>
      <c r="BF29" s="210">
        <f t="shared" si="21"/>
        <v>499.97752376116659</v>
      </c>
      <c r="BG29" s="210">
        <f t="shared" si="21"/>
        <v>518.49520982639501</v>
      </c>
      <c r="BH29" s="210">
        <f t="shared" si="21"/>
        <v>537.01289589162332</v>
      </c>
      <c r="BI29" s="210">
        <f t="shared" si="21"/>
        <v>555.53058195685185</v>
      </c>
      <c r="BJ29" s="210">
        <f t="shared" si="21"/>
        <v>574.04826802208015</v>
      </c>
      <c r="BK29" s="210">
        <f t="shared" si="21"/>
        <v>592.56595408730857</v>
      </c>
      <c r="BL29" s="210">
        <f t="shared" si="21"/>
        <v>611.08364015253687</v>
      </c>
      <c r="BM29" s="210">
        <f t="shared" si="21"/>
        <v>629.60132621776529</v>
      </c>
      <c r="BN29" s="210">
        <f t="shared" si="22"/>
        <v>648.11901228299371</v>
      </c>
      <c r="BO29" s="210">
        <f t="shared" si="22"/>
        <v>666.63669834822213</v>
      </c>
      <c r="BP29" s="210">
        <f t="shared" si="22"/>
        <v>685.15438441345054</v>
      </c>
      <c r="BQ29" s="210">
        <f t="shared" si="22"/>
        <v>703.67207047867885</v>
      </c>
      <c r="BR29" s="210">
        <f t="shared" si="22"/>
        <v>722.18975654390738</v>
      </c>
      <c r="BS29" s="210">
        <f t="shared" si="22"/>
        <v>740.70744260913568</v>
      </c>
      <c r="BT29" s="210">
        <f t="shared" si="22"/>
        <v>938.22942730490513</v>
      </c>
      <c r="BU29" s="210">
        <f t="shared" si="22"/>
        <v>1135.7514120006747</v>
      </c>
      <c r="BV29" s="210">
        <f t="shared" si="22"/>
        <v>1333.2733966964443</v>
      </c>
      <c r="BW29" s="210">
        <f t="shared" si="22"/>
        <v>1530.7953813922136</v>
      </c>
      <c r="BX29" s="210">
        <f t="shared" si="23"/>
        <v>1728.3173660879831</v>
      </c>
      <c r="BY29" s="210">
        <f t="shared" si="23"/>
        <v>1925.8393507837527</v>
      </c>
      <c r="BZ29" s="210">
        <f t="shared" si="23"/>
        <v>2123.361335479522</v>
      </c>
      <c r="CA29" s="210">
        <f t="shared" si="23"/>
        <v>2320.8833201752918</v>
      </c>
      <c r="CB29" s="210">
        <f t="shared" si="23"/>
        <v>2518.4053048710612</v>
      </c>
      <c r="CC29" s="210">
        <f t="shared" si="23"/>
        <v>2715.9272895668305</v>
      </c>
      <c r="CD29" s="210">
        <f t="shared" si="23"/>
        <v>2913.4492742626003</v>
      </c>
      <c r="CE29" s="210">
        <f t="shared" si="23"/>
        <v>3110.9712589583701</v>
      </c>
      <c r="CF29" s="210">
        <f t="shared" si="23"/>
        <v>3308.4932436541394</v>
      </c>
      <c r="CG29" s="210">
        <f t="shared" si="23"/>
        <v>3506.0152283499087</v>
      </c>
      <c r="CH29" s="210">
        <f t="shared" si="24"/>
        <v>3703.5372130456785</v>
      </c>
      <c r="CI29" s="210">
        <f t="shared" si="24"/>
        <v>3901.0591977414479</v>
      </c>
      <c r="CJ29" s="210">
        <f t="shared" si="24"/>
        <v>4098.5811824372167</v>
      </c>
      <c r="CK29" s="210">
        <f t="shared" si="24"/>
        <v>4296.1031671329865</v>
      </c>
      <c r="CL29" s="210">
        <f t="shared" si="24"/>
        <v>4493.6251518287563</v>
      </c>
      <c r="CM29" s="210">
        <f t="shared" si="24"/>
        <v>4691.1471365245252</v>
      </c>
      <c r="CN29" s="210">
        <f t="shared" si="24"/>
        <v>4888.6691212202959</v>
      </c>
      <c r="CO29" s="210">
        <f t="shared" si="24"/>
        <v>5086.1911059160648</v>
      </c>
      <c r="CP29" s="210">
        <f t="shared" si="24"/>
        <v>5653.2438036468366</v>
      </c>
      <c r="CQ29" s="210">
        <f t="shared" si="24"/>
        <v>6589.8272144126104</v>
      </c>
      <c r="CR29" s="210">
        <f t="shared" si="25"/>
        <v>7526.4106251783851</v>
      </c>
      <c r="CS29" s="210">
        <f t="shared" si="25"/>
        <v>8462.9940359441589</v>
      </c>
      <c r="CT29" s="210">
        <f t="shared" si="25"/>
        <v>9399.5774467099327</v>
      </c>
      <c r="CU29" s="210">
        <f t="shared" si="25"/>
        <v>10336.160857475707</v>
      </c>
      <c r="CV29" s="210">
        <f t="shared" si="25"/>
        <v>11272.74426824148</v>
      </c>
      <c r="CW29" s="210">
        <f t="shared" si="25"/>
        <v>12209.327679007254</v>
      </c>
      <c r="CX29" s="210">
        <f t="shared" si="25"/>
        <v>13145.911089773028</v>
      </c>
      <c r="CY29" s="210">
        <f t="shared" si="25"/>
        <v>14082.494500538802</v>
      </c>
      <c r="CZ29" s="210">
        <f t="shared" si="25"/>
        <v>14550.78620592169</v>
      </c>
      <c r="DA29" s="210">
        <f t="shared" si="25"/>
        <v>14550.78620592169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146.66966986477667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7.3334834932388331</v>
      </c>
      <c r="CQ30" s="210">
        <f t="shared" si="24"/>
        <v>22.000450479716498</v>
      </c>
      <c r="CR30" s="210">
        <f t="shared" si="25"/>
        <v>36.667417466194166</v>
      </c>
      <c r="CS30" s="210">
        <f t="shared" si="25"/>
        <v>51.334384452671841</v>
      </c>
      <c r="CT30" s="210">
        <f t="shared" si="25"/>
        <v>66.001351439149488</v>
      </c>
      <c r="CU30" s="210">
        <f t="shared" si="25"/>
        <v>80.668318425627177</v>
      </c>
      <c r="CV30" s="210">
        <f t="shared" si="25"/>
        <v>95.335285412104824</v>
      </c>
      <c r="CW30" s="210">
        <f t="shared" si="25"/>
        <v>110.0022523985825</v>
      </c>
      <c r="CX30" s="210">
        <f t="shared" si="25"/>
        <v>124.66921938506016</v>
      </c>
      <c r="CY30" s="210">
        <f t="shared" si="25"/>
        <v>139.33618637153785</v>
      </c>
      <c r="CZ30" s="210">
        <f t="shared" si="25"/>
        <v>146.66966986477667</v>
      </c>
      <c r="DA30" s="210">
        <f t="shared" si="25"/>
        <v>146.66966986477667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2591.4414323271239</v>
      </c>
      <c r="D31" s="203">
        <f>Income!D78</f>
        <v>1114.0239936841401</v>
      </c>
      <c r="E31" s="203">
        <f>Income!E78</f>
        <v>0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64.786035808178099</v>
      </c>
      <c r="AG31" s="210">
        <f t="shared" si="18"/>
        <v>129.5720716163562</v>
      </c>
      <c r="AH31" s="210">
        <f t="shared" si="18"/>
        <v>194.3581074245343</v>
      </c>
      <c r="AI31" s="210">
        <f t="shared" si="18"/>
        <v>259.14414323271239</v>
      </c>
      <c r="AJ31" s="210">
        <f t="shared" si="19"/>
        <v>323.93017904089049</v>
      </c>
      <c r="AK31" s="210">
        <f t="shared" si="19"/>
        <v>388.71621484906859</v>
      </c>
      <c r="AL31" s="210">
        <f t="shared" si="19"/>
        <v>453.50225065724669</v>
      </c>
      <c r="AM31" s="210">
        <f t="shared" si="19"/>
        <v>518.28828646542479</v>
      </c>
      <c r="AN31" s="210">
        <f t="shared" si="19"/>
        <v>583.07432227360289</v>
      </c>
      <c r="AO31" s="210">
        <f t="shared" si="19"/>
        <v>647.86035808178099</v>
      </c>
      <c r="AP31" s="210">
        <f t="shared" si="19"/>
        <v>712.64639388995909</v>
      </c>
      <c r="AQ31" s="210">
        <f t="shared" si="19"/>
        <v>777.43242969813718</v>
      </c>
      <c r="AR31" s="210">
        <f t="shared" si="19"/>
        <v>842.21846550631528</v>
      </c>
      <c r="AS31" s="210">
        <f t="shared" si="19"/>
        <v>907.00450131449338</v>
      </c>
      <c r="AT31" s="210">
        <f t="shared" si="20"/>
        <v>971.79053712267137</v>
      </c>
      <c r="AU31" s="210">
        <f t="shared" si="20"/>
        <v>1036.5765729308496</v>
      </c>
      <c r="AV31" s="210">
        <f t="shared" si="20"/>
        <v>1101.3626087390278</v>
      </c>
      <c r="AW31" s="210">
        <f t="shared" si="20"/>
        <v>1166.1486445472058</v>
      </c>
      <c r="AX31" s="210">
        <f t="shared" si="20"/>
        <v>1230.934680355384</v>
      </c>
      <c r="AY31" s="210">
        <f t="shared" si="20"/>
        <v>1295.720716163562</v>
      </c>
      <c r="AZ31" s="210">
        <f t="shared" si="20"/>
        <v>1360.50675197174</v>
      </c>
      <c r="BA31" s="210">
        <f t="shared" si="20"/>
        <v>1425.2927877799182</v>
      </c>
      <c r="BB31" s="210">
        <f t="shared" si="20"/>
        <v>1490.0788235880962</v>
      </c>
      <c r="BC31" s="210">
        <f t="shared" si="20"/>
        <v>1554.8648593962744</v>
      </c>
      <c r="BD31" s="210">
        <f t="shared" si="21"/>
        <v>1619.6508952044526</v>
      </c>
      <c r="BE31" s="210">
        <f t="shared" si="21"/>
        <v>1684.4369310126306</v>
      </c>
      <c r="BF31" s="210">
        <f t="shared" si="21"/>
        <v>1749.2229668208086</v>
      </c>
      <c r="BG31" s="210">
        <f t="shared" si="21"/>
        <v>1814.0090026289868</v>
      </c>
      <c r="BH31" s="210">
        <f t="shared" si="21"/>
        <v>1878.7950384371647</v>
      </c>
      <c r="BI31" s="210">
        <f t="shared" si="21"/>
        <v>1943.5810742453427</v>
      </c>
      <c r="BJ31" s="210">
        <f t="shared" si="21"/>
        <v>2008.3671100535212</v>
      </c>
      <c r="BK31" s="210">
        <f t="shared" si="21"/>
        <v>2073.1531458616992</v>
      </c>
      <c r="BL31" s="210">
        <f t="shared" si="21"/>
        <v>2137.9391816698771</v>
      </c>
      <c r="BM31" s="210">
        <f t="shared" si="21"/>
        <v>2202.7252174780556</v>
      </c>
      <c r="BN31" s="210">
        <f t="shared" si="22"/>
        <v>2267.5112532862336</v>
      </c>
      <c r="BO31" s="210">
        <f t="shared" si="22"/>
        <v>2332.2972890944116</v>
      </c>
      <c r="BP31" s="210">
        <f t="shared" si="22"/>
        <v>2397.08332490259</v>
      </c>
      <c r="BQ31" s="210">
        <f t="shared" si="22"/>
        <v>2461.869360710768</v>
      </c>
      <c r="BR31" s="210">
        <f t="shared" si="22"/>
        <v>2526.655396518946</v>
      </c>
      <c r="BS31" s="210">
        <f t="shared" si="22"/>
        <v>2591.4414323271239</v>
      </c>
      <c r="BT31" s="210">
        <f t="shared" si="22"/>
        <v>2525.7784350541024</v>
      </c>
      <c r="BU31" s="210">
        <f t="shared" si="22"/>
        <v>2460.1154377810808</v>
      </c>
      <c r="BV31" s="210">
        <f t="shared" si="22"/>
        <v>2394.4524405080592</v>
      </c>
      <c r="BW31" s="210">
        <f t="shared" si="22"/>
        <v>2328.7894432350381</v>
      </c>
      <c r="BX31" s="210">
        <f t="shared" si="23"/>
        <v>2263.1264459620165</v>
      </c>
      <c r="BY31" s="210">
        <f t="shared" si="23"/>
        <v>2197.463448688995</v>
      </c>
      <c r="BZ31" s="210">
        <f t="shared" si="23"/>
        <v>2131.8004514159734</v>
      </c>
      <c r="CA31" s="210">
        <f t="shared" si="23"/>
        <v>2066.1374541429518</v>
      </c>
      <c r="CB31" s="210">
        <f t="shared" si="23"/>
        <v>2000.4744568699305</v>
      </c>
      <c r="CC31" s="210">
        <f t="shared" si="23"/>
        <v>1934.8114595969089</v>
      </c>
      <c r="CD31" s="210">
        <f t="shared" si="23"/>
        <v>1869.1484623238875</v>
      </c>
      <c r="CE31" s="210">
        <f t="shared" si="23"/>
        <v>1803.485465050866</v>
      </c>
      <c r="CF31" s="210">
        <f t="shared" si="23"/>
        <v>1737.8224677778444</v>
      </c>
      <c r="CG31" s="210">
        <f t="shared" si="23"/>
        <v>1672.1594705048228</v>
      </c>
      <c r="CH31" s="210">
        <f t="shared" si="24"/>
        <v>1606.4964732318012</v>
      </c>
      <c r="CI31" s="210">
        <f t="shared" si="24"/>
        <v>1540.8334759587799</v>
      </c>
      <c r="CJ31" s="210">
        <f t="shared" si="24"/>
        <v>1475.1704786857583</v>
      </c>
      <c r="CK31" s="210">
        <f t="shared" si="24"/>
        <v>1409.507481412737</v>
      </c>
      <c r="CL31" s="210">
        <f t="shared" si="24"/>
        <v>1343.8444841397154</v>
      </c>
      <c r="CM31" s="210">
        <f t="shared" si="24"/>
        <v>1278.1814868666938</v>
      </c>
      <c r="CN31" s="210">
        <f t="shared" si="24"/>
        <v>1212.5184895936723</v>
      </c>
      <c r="CO31" s="210">
        <f t="shared" si="24"/>
        <v>1146.8554923206509</v>
      </c>
      <c r="CP31" s="210">
        <f t="shared" si="24"/>
        <v>1058.3227939999331</v>
      </c>
      <c r="CQ31" s="210">
        <f t="shared" si="24"/>
        <v>946.92039463151912</v>
      </c>
      <c r="CR31" s="210">
        <f t="shared" si="25"/>
        <v>835.51799526310515</v>
      </c>
      <c r="CS31" s="210">
        <f t="shared" si="25"/>
        <v>724.11559589469107</v>
      </c>
      <c r="CT31" s="210">
        <f t="shared" si="25"/>
        <v>612.71319652627699</v>
      </c>
      <c r="CU31" s="210">
        <f t="shared" si="25"/>
        <v>501.31079715786302</v>
      </c>
      <c r="CV31" s="210">
        <f t="shared" si="25"/>
        <v>389.90839778944905</v>
      </c>
      <c r="CW31" s="210">
        <f t="shared" si="25"/>
        <v>278.50599842103497</v>
      </c>
      <c r="CX31" s="210">
        <f t="shared" si="25"/>
        <v>167.10359905262112</v>
      </c>
      <c r="CY31" s="210">
        <f t="shared" si="25"/>
        <v>55.70119968420704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45772.42792016633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0</v>
      </c>
      <c r="CL32" s="210">
        <f t="shared" si="24"/>
        <v>0</v>
      </c>
      <c r="CM32" s="210">
        <f t="shared" si="24"/>
        <v>0</v>
      </c>
      <c r="CN32" s="210">
        <f t="shared" si="24"/>
        <v>0</v>
      </c>
      <c r="CO32" s="210">
        <f t="shared" si="24"/>
        <v>0</v>
      </c>
      <c r="CP32" s="210">
        <f t="shared" si="24"/>
        <v>2288.6213960083164</v>
      </c>
      <c r="CQ32" s="210">
        <f t="shared" si="24"/>
        <v>6865.8641880249488</v>
      </c>
      <c r="CR32" s="210">
        <f t="shared" si="25"/>
        <v>11443.106980041583</v>
      </c>
      <c r="CS32" s="210">
        <f t="shared" si="25"/>
        <v>16020.349772058215</v>
      </c>
      <c r="CT32" s="210">
        <f t="shared" si="25"/>
        <v>20597.59256407485</v>
      </c>
      <c r="CU32" s="210">
        <f t="shared" si="25"/>
        <v>25174.83535609148</v>
      </c>
      <c r="CV32" s="210">
        <f t="shared" si="25"/>
        <v>29752.078148108114</v>
      </c>
      <c r="CW32" s="210">
        <f t="shared" si="25"/>
        <v>34329.320940124751</v>
      </c>
      <c r="CX32" s="210">
        <f t="shared" si="25"/>
        <v>38906.563732141381</v>
      </c>
      <c r="CY32" s="210">
        <f t="shared" si="25"/>
        <v>43483.806524158012</v>
      </c>
      <c r="CZ32" s="210">
        <f t="shared" si="25"/>
        <v>45772.42792016633</v>
      </c>
      <c r="DA32" s="210">
        <f t="shared" si="25"/>
        <v>45772.42792016633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635.52698575863838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28.245643811495039</v>
      </c>
      <c r="BU33" s="210">
        <f t="shared" si="22"/>
        <v>56.491287622990079</v>
      </c>
      <c r="BV33" s="210">
        <f t="shared" si="22"/>
        <v>84.736931434485115</v>
      </c>
      <c r="BW33" s="210">
        <f t="shared" si="22"/>
        <v>112.98257524598016</v>
      </c>
      <c r="BX33" s="210">
        <f t="shared" si="23"/>
        <v>141.22821905747517</v>
      </c>
      <c r="BY33" s="210">
        <f t="shared" si="23"/>
        <v>169.47386286897023</v>
      </c>
      <c r="BZ33" s="210">
        <f t="shared" si="23"/>
        <v>197.71950668046529</v>
      </c>
      <c r="CA33" s="210">
        <f t="shared" si="23"/>
        <v>225.96515049196032</v>
      </c>
      <c r="CB33" s="210">
        <f t="shared" si="23"/>
        <v>254.21079430345534</v>
      </c>
      <c r="CC33" s="210">
        <f t="shared" si="23"/>
        <v>282.45643811495034</v>
      </c>
      <c r="CD33" s="210">
        <f t="shared" si="23"/>
        <v>310.70208192644543</v>
      </c>
      <c r="CE33" s="210">
        <f t="shared" si="23"/>
        <v>338.94772573794046</v>
      </c>
      <c r="CF33" s="210">
        <f t="shared" si="23"/>
        <v>367.19336954943549</v>
      </c>
      <c r="CG33" s="210">
        <f t="shared" si="23"/>
        <v>395.43901336093057</v>
      </c>
      <c r="CH33" s="210">
        <f t="shared" si="24"/>
        <v>423.68465717242555</v>
      </c>
      <c r="CI33" s="210">
        <f t="shared" si="24"/>
        <v>451.93030098392063</v>
      </c>
      <c r="CJ33" s="210">
        <f t="shared" si="24"/>
        <v>480.17594479541572</v>
      </c>
      <c r="CK33" s="210">
        <f t="shared" si="24"/>
        <v>508.42158860691069</v>
      </c>
      <c r="CL33" s="210">
        <f t="shared" si="24"/>
        <v>536.66723241840577</v>
      </c>
      <c r="CM33" s="210">
        <f t="shared" si="24"/>
        <v>564.91287622990069</v>
      </c>
      <c r="CN33" s="210">
        <f t="shared" si="24"/>
        <v>593.15852004139583</v>
      </c>
      <c r="CO33" s="210">
        <f t="shared" si="24"/>
        <v>621.40416385289086</v>
      </c>
      <c r="CP33" s="210">
        <f t="shared" si="24"/>
        <v>603.75063647070647</v>
      </c>
      <c r="CQ33" s="210">
        <f t="shared" si="24"/>
        <v>540.19793789484265</v>
      </c>
      <c r="CR33" s="210">
        <f t="shared" si="25"/>
        <v>476.64523931897878</v>
      </c>
      <c r="CS33" s="210">
        <f t="shared" si="25"/>
        <v>413.09254074311491</v>
      </c>
      <c r="CT33" s="210">
        <f t="shared" si="25"/>
        <v>349.53984216725109</v>
      </c>
      <c r="CU33" s="210">
        <f t="shared" si="25"/>
        <v>285.98714359138728</v>
      </c>
      <c r="CV33" s="210">
        <f t="shared" si="25"/>
        <v>222.43444501552347</v>
      </c>
      <c r="CW33" s="210">
        <f t="shared" si="25"/>
        <v>158.88174643965965</v>
      </c>
      <c r="CX33" s="210">
        <f t="shared" si="25"/>
        <v>95.329047863795722</v>
      </c>
      <c r="CY33" s="210">
        <f t="shared" si="25"/>
        <v>31.776349287931907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3199.8561520714661</v>
      </c>
      <c r="E34" s="203">
        <f>Income!E82</f>
        <v>0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0</v>
      </c>
      <c r="BI34" s="210">
        <f t="shared" si="21"/>
        <v>0</v>
      </c>
      <c r="BJ34" s="210">
        <f t="shared" si="21"/>
        <v>0</v>
      </c>
      <c r="BK34" s="210">
        <f t="shared" si="21"/>
        <v>0</v>
      </c>
      <c r="BL34" s="210">
        <f t="shared" si="21"/>
        <v>0</v>
      </c>
      <c r="BM34" s="210">
        <f t="shared" si="21"/>
        <v>0</v>
      </c>
      <c r="BN34" s="210">
        <f t="shared" si="22"/>
        <v>0</v>
      </c>
      <c r="BO34" s="210">
        <f t="shared" si="22"/>
        <v>0</v>
      </c>
      <c r="BP34" s="210">
        <f t="shared" si="22"/>
        <v>0</v>
      </c>
      <c r="BQ34" s="210">
        <f t="shared" si="22"/>
        <v>0</v>
      </c>
      <c r="BR34" s="210">
        <f t="shared" si="22"/>
        <v>0</v>
      </c>
      <c r="BS34" s="210">
        <f t="shared" si="22"/>
        <v>0</v>
      </c>
      <c r="BT34" s="210">
        <f t="shared" si="22"/>
        <v>142.21582898095406</v>
      </c>
      <c r="BU34" s="210">
        <f t="shared" si="22"/>
        <v>284.43165796190812</v>
      </c>
      <c r="BV34" s="210">
        <f t="shared" si="22"/>
        <v>426.64748694286214</v>
      </c>
      <c r="BW34" s="210">
        <f t="shared" si="22"/>
        <v>568.86331592381623</v>
      </c>
      <c r="BX34" s="210">
        <f t="shared" si="23"/>
        <v>711.07914490477026</v>
      </c>
      <c r="BY34" s="210">
        <f t="shared" si="23"/>
        <v>853.29497388572429</v>
      </c>
      <c r="BZ34" s="210">
        <f t="shared" si="23"/>
        <v>995.51080286667843</v>
      </c>
      <c r="CA34" s="210">
        <f t="shared" si="23"/>
        <v>1137.7266318476325</v>
      </c>
      <c r="CB34" s="210">
        <f t="shared" si="23"/>
        <v>1279.9424608285865</v>
      </c>
      <c r="CC34" s="210">
        <f t="shared" si="23"/>
        <v>1422.1582898095405</v>
      </c>
      <c r="CD34" s="210">
        <f t="shared" si="23"/>
        <v>1564.3741187904945</v>
      </c>
      <c r="CE34" s="210">
        <f t="shared" si="23"/>
        <v>1706.5899477714486</v>
      </c>
      <c r="CF34" s="210">
        <f t="shared" si="23"/>
        <v>1848.8057767524026</v>
      </c>
      <c r="CG34" s="210">
        <f t="shared" si="23"/>
        <v>1991.0216057333569</v>
      </c>
      <c r="CH34" s="210">
        <f t="shared" si="24"/>
        <v>2133.2374347143109</v>
      </c>
      <c r="CI34" s="210">
        <f t="shared" si="24"/>
        <v>2275.4532636952649</v>
      </c>
      <c r="CJ34" s="210">
        <f t="shared" si="24"/>
        <v>2417.669092676219</v>
      </c>
      <c r="CK34" s="210">
        <f t="shared" si="24"/>
        <v>2559.884921657173</v>
      </c>
      <c r="CL34" s="210">
        <f t="shared" si="24"/>
        <v>2702.100750638127</v>
      </c>
      <c r="CM34" s="210">
        <f t="shared" si="24"/>
        <v>2844.316579619081</v>
      </c>
      <c r="CN34" s="210">
        <f t="shared" si="24"/>
        <v>2986.5324086000346</v>
      </c>
      <c r="CO34" s="210">
        <f t="shared" si="24"/>
        <v>3128.7482375809891</v>
      </c>
      <c r="CP34" s="210">
        <f t="shared" si="24"/>
        <v>3039.8633444678926</v>
      </c>
      <c r="CQ34" s="210">
        <f t="shared" si="24"/>
        <v>2719.877729260746</v>
      </c>
      <c r="CR34" s="210">
        <f t="shared" si="25"/>
        <v>2399.8921140535995</v>
      </c>
      <c r="CS34" s="210">
        <f t="shared" si="25"/>
        <v>2079.9064988464529</v>
      </c>
      <c r="CT34" s="210">
        <f t="shared" si="25"/>
        <v>1759.9208836393063</v>
      </c>
      <c r="CU34" s="210">
        <f t="shared" si="25"/>
        <v>1439.9352684321598</v>
      </c>
      <c r="CV34" s="210">
        <f t="shared" si="25"/>
        <v>1119.9496532250132</v>
      </c>
      <c r="CW34" s="210">
        <f t="shared" si="25"/>
        <v>799.96403801786664</v>
      </c>
      <c r="CX34" s="210">
        <f t="shared" si="25"/>
        <v>479.97842281072008</v>
      </c>
      <c r="CY34" s="210">
        <f t="shared" si="25"/>
        <v>159.99280760357306</v>
      </c>
      <c r="CZ34" s="210">
        <f t="shared" si="25"/>
        <v>0</v>
      </c>
      <c r="DA34" s="210">
        <f t="shared" si="25"/>
        <v>0</v>
      </c>
    </row>
    <row r="35" spans="1:105">
      <c r="A35" s="201" t="str">
        <f>Income!A83</f>
        <v>Food transfer - official</v>
      </c>
      <c r="B35" s="203">
        <f>Income!B83</f>
        <v>1491.5874480929031</v>
      </c>
      <c r="C35" s="203">
        <f>Income!C83</f>
        <v>1491.5874480929031</v>
      </c>
      <c r="D35" s="203">
        <f>Income!D83</f>
        <v>1491.5874480929031</v>
      </c>
      <c r="E35" s="203">
        <f>Income!E83</f>
        <v>1325.855509415914</v>
      </c>
      <c r="F35" s="210">
        <f t="shared" si="16"/>
        <v>1491.5874480929031</v>
      </c>
      <c r="G35" s="210">
        <f t="shared" si="16"/>
        <v>1491.5874480929031</v>
      </c>
      <c r="H35" s="210">
        <f t="shared" si="16"/>
        <v>1491.5874480929031</v>
      </c>
      <c r="I35" s="210">
        <f t="shared" si="16"/>
        <v>1491.5874480929031</v>
      </c>
      <c r="J35" s="210">
        <f t="shared" si="16"/>
        <v>1491.5874480929031</v>
      </c>
      <c r="K35" s="210">
        <f t="shared" si="16"/>
        <v>1491.5874480929031</v>
      </c>
      <c r="L35" s="210">
        <f t="shared" si="16"/>
        <v>1491.5874480929031</v>
      </c>
      <c r="M35" s="210">
        <f t="shared" si="16"/>
        <v>1491.5874480929031</v>
      </c>
      <c r="N35" s="210">
        <f t="shared" si="16"/>
        <v>1491.5874480929031</v>
      </c>
      <c r="O35" s="210">
        <f t="shared" si="16"/>
        <v>1491.5874480929031</v>
      </c>
      <c r="P35" s="210">
        <f t="shared" si="17"/>
        <v>1491.5874480929031</v>
      </c>
      <c r="Q35" s="210">
        <f t="shared" si="17"/>
        <v>1491.5874480929031</v>
      </c>
      <c r="R35" s="210">
        <f t="shared" si="17"/>
        <v>1491.5874480929031</v>
      </c>
      <c r="S35" s="210">
        <f t="shared" si="17"/>
        <v>1491.5874480929031</v>
      </c>
      <c r="T35" s="210">
        <f t="shared" si="17"/>
        <v>1491.5874480929031</v>
      </c>
      <c r="U35" s="210">
        <f t="shared" si="17"/>
        <v>1491.5874480929031</v>
      </c>
      <c r="V35" s="210">
        <f t="shared" si="17"/>
        <v>1491.5874480929031</v>
      </c>
      <c r="W35" s="210">
        <f t="shared" si="17"/>
        <v>1491.5874480929031</v>
      </c>
      <c r="X35" s="210">
        <f t="shared" si="17"/>
        <v>1491.5874480929031</v>
      </c>
      <c r="Y35" s="210">
        <f t="shared" si="17"/>
        <v>1491.5874480929031</v>
      </c>
      <c r="Z35" s="210">
        <f t="shared" si="18"/>
        <v>1491.5874480929031</v>
      </c>
      <c r="AA35" s="210">
        <f t="shared" si="18"/>
        <v>1491.5874480929031</v>
      </c>
      <c r="AB35" s="210">
        <f t="shared" si="18"/>
        <v>1491.5874480929031</v>
      </c>
      <c r="AC35" s="210">
        <f t="shared" si="18"/>
        <v>1491.5874480929031</v>
      </c>
      <c r="AD35" s="210">
        <f t="shared" si="18"/>
        <v>1491.5874480929031</v>
      </c>
      <c r="AE35" s="210">
        <f t="shared" si="18"/>
        <v>1491.5874480929031</v>
      </c>
      <c r="AF35" s="210">
        <f t="shared" si="18"/>
        <v>1491.5874480929031</v>
      </c>
      <c r="AG35" s="210">
        <f t="shared" si="18"/>
        <v>1491.5874480929031</v>
      </c>
      <c r="AH35" s="210">
        <f t="shared" si="18"/>
        <v>1491.5874480929031</v>
      </c>
      <c r="AI35" s="210">
        <f t="shared" si="18"/>
        <v>1491.5874480929031</v>
      </c>
      <c r="AJ35" s="210">
        <f t="shared" si="19"/>
        <v>1491.5874480929031</v>
      </c>
      <c r="AK35" s="210">
        <f t="shared" si="19"/>
        <v>1491.5874480929031</v>
      </c>
      <c r="AL35" s="210">
        <f t="shared" si="19"/>
        <v>1491.5874480929031</v>
      </c>
      <c r="AM35" s="210">
        <f t="shared" si="19"/>
        <v>1491.5874480929031</v>
      </c>
      <c r="AN35" s="210">
        <f t="shared" si="19"/>
        <v>1491.5874480929031</v>
      </c>
      <c r="AO35" s="210">
        <f t="shared" si="19"/>
        <v>1491.5874480929031</v>
      </c>
      <c r="AP35" s="210">
        <f t="shared" si="19"/>
        <v>1491.5874480929031</v>
      </c>
      <c r="AQ35" s="210">
        <f t="shared" si="19"/>
        <v>1491.5874480929031</v>
      </c>
      <c r="AR35" s="210">
        <f t="shared" si="19"/>
        <v>1491.5874480929031</v>
      </c>
      <c r="AS35" s="210">
        <f t="shared" si="19"/>
        <v>1491.5874480929031</v>
      </c>
      <c r="AT35" s="210">
        <f t="shared" si="20"/>
        <v>1491.5874480929031</v>
      </c>
      <c r="AU35" s="210">
        <f t="shared" si="20"/>
        <v>1491.5874480929031</v>
      </c>
      <c r="AV35" s="210">
        <f t="shared" si="20"/>
        <v>1491.5874480929031</v>
      </c>
      <c r="AW35" s="210">
        <f t="shared" si="20"/>
        <v>1491.5874480929031</v>
      </c>
      <c r="AX35" s="210">
        <f t="shared" si="20"/>
        <v>1491.5874480929031</v>
      </c>
      <c r="AY35" s="210">
        <f t="shared" si="20"/>
        <v>1491.5874480929031</v>
      </c>
      <c r="AZ35" s="210">
        <f t="shared" si="20"/>
        <v>1491.5874480929031</v>
      </c>
      <c r="BA35" s="210">
        <f t="shared" si="20"/>
        <v>1491.5874480929031</v>
      </c>
      <c r="BB35" s="210">
        <f t="shared" si="20"/>
        <v>1491.5874480929031</v>
      </c>
      <c r="BC35" s="210">
        <f t="shared" si="20"/>
        <v>1491.5874480929031</v>
      </c>
      <c r="BD35" s="210">
        <f t="shared" si="21"/>
        <v>1491.5874480929031</v>
      </c>
      <c r="BE35" s="210">
        <f t="shared" si="21"/>
        <v>1491.5874480929031</v>
      </c>
      <c r="BF35" s="210">
        <f t="shared" si="21"/>
        <v>1491.5874480929031</v>
      </c>
      <c r="BG35" s="210">
        <f t="shared" si="21"/>
        <v>1491.5874480929031</v>
      </c>
      <c r="BH35" s="210">
        <f t="shared" si="21"/>
        <v>1491.5874480929031</v>
      </c>
      <c r="BI35" s="210">
        <f t="shared" si="21"/>
        <v>1491.5874480929031</v>
      </c>
      <c r="BJ35" s="210">
        <f t="shared" si="21"/>
        <v>1491.5874480929031</v>
      </c>
      <c r="BK35" s="210">
        <f t="shared" si="21"/>
        <v>1491.5874480929031</v>
      </c>
      <c r="BL35" s="210">
        <f t="shared" si="21"/>
        <v>1491.5874480929031</v>
      </c>
      <c r="BM35" s="210">
        <f t="shared" si="21"/>
        <v>1491.5874480929031</v>
      </c>
      <c r="BN35" s="210">
        <f t="shared" si="22"/>
        <v>1491.5874480929031</v>
      </c>
      <c r="BO35" s="210">
        <f t="shared" si="22"/>
        <v>1491.5874480929031</v>
      </c>
      <c r="BP35" s="210">
        <f t="shared" si="22"/>
        <v>1491.5874480929031</v>
      </c>
      <c r="BQ35" s="210">
        <f t="shared" si="22"/>
        <v>1491.5874480929031</v>
      </c>
      <c r="BR35" s="210">
        <f t="shared" si="22"/>
        <v>1491.5874480929031</v>
      </c>
      <c r="BS35" s="210">
        <f t="shared" si="22"/>
        <v>1491.5874480929031</v>
      </c>
      <c r="BT35" s="210">
        <f t="shared" si="22"/>
        <v>1491.5874480929031</v>
      </c>
      <c r="BU35" s="210">
        <f t="shared" si="22"/>
        <v>1491.5874480929031</v>
      </c>
      <c r="BV35" s="210">
        <f t="shared" si="22"/>
        <v>1491.5874480929031</v>
      </c>
      <c r="BW35" s="210">
        <f t="shared" si="22"/>
        <v>1491.5874480929031</v>
      </c>
      <c r="BX35" s="210">
        <f t="shared" si="23"/>
        <v>1491.5874480929031</v>
      </c>
      <c r="BY35" s="210">
        <f t="shared" si="23"/>
        <v>1491.5874480929031</v>
      </c>
      <c r="BZ35" s="210">
        <f t="shared" si="23"/>
        <v>1491.5874480929031</v>
      </c>
      <c r="CA35" s="210">
        <f t="shared" si="23"/>
        <v>1491.5874480929031</v>
      </c>
      <c r="CB35" s="210">
        <f t="shared" si="23"/>
        <v>1491.5874480929031</v>
      </c>
      <c r="CC35" s="210">
        <f t="shared" si="23"/>
        <v>1491.5874480929031</v>
      </c>
      <c r="CD35" s="210">
        <f t="shared" si="23"/>
        <v>1491.5874480929031</v>
      </c>
      <c r="CE35" s="210">
        <f t="shared" si="23"/>
        <v>1491.5874480929031</v>
      </c>
      <c r="CF35" s="210">
        <f t="shared" si="23"/>
        <v>1491.5874480929031</v>
      </c>
      <c r="CG35" s="210">
        <f t="shared" si="23"/>
        <v>1491.5874480929031</v>
      </c>
      <c r="CH35" s="210">
        <f t="shared" si="24"/>
        <v>1491.5874480929031</v>
      </c>
      <c r="CI35" s="210">
        <f t="shared" si="24"/>
        <v>1491.5874480929031</v>
      </c>
      <c r="CJ35" s="210">
        <f t="shared" si="24"/>
        <v>1491.5874480929031</v>
      </c>
      <c r="CK35" s="210">
        <f t="shared" si="24"/>
        <v>1491.5874480929031</v>
      </c>
      <c r="CL35" s="210">
        <f t="shared" si="24"/>
        <v>1491.5874480929031</v>
      </c>
      <c r="CM35" s="210">
        <f t="shared" si="24"/>
        <v>1491.5874480929031</v>
      </c>
      <c r="CN35" s="210">
        <f t="shared" si="24"/>
        <v>1491.5874480929031</v>
      </c>
      <c r="CO35" s="210">
        <f t="shared" si="24"/>
        <v>1491.5874480929031</v>
      </c>
      <c r="CP35" s="210">
        <f t="shared" si="24"/>
        <v>1483.3008511590535</v>
      </c>
      <c r="CQ35" s="210">
        <f t="shared" si="24"/>
        <v>1466.7276572913547</v>
      </c>
      <c r="CR35" s="210">
        <f t="shared" si="25"/>
        <v>1450.1544634236557</v>
      </c>
      <c r="CS35" s="210">
        <f t="shared" si="25"/>
        <v>1433.5812695559569</v>
      </c>
      <c r="CT35" s="210">
        <f t="shared" si="25"/>
        <v>1417.008075688258</v>
      </c>
      <c r="CU35" s="210">
        <f t="shared" si="25"/>
        <v>1400.434881820559</v>
      </c>
      <c r="CV35" s="210">
        <f t="shared" si="25"/>
        <v>1383.8616879528602</v>
      </c>
      <c r="CW35" s="210">
        <f t="shared" si="25"/>
        <v>1367.2884940851613</v>
      </c>
      <c r="CX35" s="210">
        <f t="shared" si="25"/>
        <v>1350.7153002174623</v>
      </c>
      <c r="CY35" s="210">
        <f t="shared" si="25"/>
        <v>1334.1421063497635</v>
      </c>
      <c r="CZ35" s="210">
        <f t="shared" si="25"/>
        <v>1325.855509415914</v>
      </c>
      <c r="DA35" s="210">
        <f t="shared" si="25"/>
        <v>1325.855509415914</v>
      </c>
    </row>
    <row r="36" spans="1:105">
      <c r="A36" s="201" t="str">
        <f>Income!A85</f>
        <v>Cash transfer - official</v>
      </c>
      <c r="B36" s="203">
        <f>Income!B85</f>
        <v>32620.755772506334</v>
      </c>
      <c r="C36" s="203">
        <f>Income!C85</f>
        <v>32620.755772506334</v>
      </c>
      <c r="D36" s="203">
        <f>Income!D85</f>
        <v>32620.755772506334</v>
      </c>
      <c r="E36" s="203">
        <f>Income!E85</f>
        <v>8114.2031313022126</v>
      </c>
      <c r="F36" s="210">
        <f t="shared" si="16"/>
        <v>32620.755772506334</v>
      </c>
      <c r="G36" s="210">
        <f t="shared" si="16"/>
        <v>32620.755772506334</v>
      </c>
      <c r="H36" s="210">
        <f t="shared" si="16"/>
        <v>32620.755772506334</v>
      </c>
      <c r="I36" s="210">
        <f t="shared" si="16"/>
        <v>32620.755772506334</v>
      </c>
      <c r="J36" s="210">
        <f t="shared" si="16"/>
        <v>32620.755772506334</v>
      </c>
      <c r="K36" s="210">
        <f t="shared" si="16"/>
        <v>32620.755772506334</v>
      </c>
      <c r="L36" s="210">
        <f t="shared" si="16"/>
        <v>32620.755772506334</v>
      </c>
      <c r="M36" s="210">
        <f t="shared" si="16"/>
        <v>32620.755772506334</v>
      </c>
      <c r="N36" s="210">
        <f t="shared" si="16"/>
        <v>32620.755772506334</v>
      </c>
      <c r="O36" s="210">
        <f t="shared" si="16"/>
        <v>32620.755772506334</v>
      </c>
      <c r="P36" s="210">
        <f t="shared" si="16"/>
        <v>32620.755772506334</v>
      </c>
      <c r="Q36" s="210">
        <f t="shared" si="16"/>
        <v>32620.755772506334</v>
      </c>
      <c r="R36" s="210">
        <f t="shared" si="16"/>
        <v>32620.755772506334</v>
      </c>
      <c r="S36" s="210">
        <f t="shared" si="16"/>
        <v>32620.755772506334</v>
      </c>
      <c r="T36" s="210">
        <f t="shared" si="16"/>
        <v>32620.755772506334</v>
      </c>
      <c r="U36" s="210">
        <f t="shared" si="16"/>
        <v>32620.755772506334</v>
      </c>
      <c r="V36" s="210">
        <f t="shared" si="17"/>
        <v>32620.755772506334</v>
      </c>
      <c r="W36" s="210">
        <f t="shared" si="17"/>
        <v>32620.755772506334</v>
      </c>
      <c r="X36" s="210">
        <f t="shared" si="17"/>
        <v>32620.755772506334</v>
      </c>
      <c r="Y36" s="210">
        <f t="shared" si="17"/>
        <v>32620.755772506334</v>
      </c>
      <c r="Z36" s="210">
        <f t="shared" si="17"/>
        <v>32620.755772506334</v>
      </c>
      <c r="AA36" s="210">
        <f t="shared" si="17"/>
        <v>32620.755772506334</v>
      </c>
      <c r="AB36" s="210">
        <f t="shared" si="17"/>
        <v>32620.755772506334</v>
      </c>
      <c r="AC36" s="210">
        <f t="shared" si="17"/>
        <v>32620.755772506334</v>
      </c>
      <c r="AD36" s="210">
        <f t="shared" si="17"/>
        <v>32620.755772506334</v>
      </c>
      <c r="AE36" s="210">
        <f t="shared" si="17"/>
        <v>32620.755772506334</v>
      </c>
      <c r="AF36" s="210">
        <f t="shared" si="18"/>
        <v>32620.755772506334</v>
      </c>
      <c r="AG36" s="210">
        <f t="shared" si="18"/>
        <v>32620.755772506334</v>
      </c>
      <c r="AH36" s="210">
        <f t="shared" si="18"/>
        <v>32620.755772506334</v>
      </c>
      <c r="AI36" s="210">
        <f t="shared" si="18"/>
        <v>32620.755772506334</v>
      </c>
      <c r="AJ36" s="210">
        <f t="shared" si="18"/>
        <v>32620.755772506334</v>
      </c>
      <c r="AK36" s="210">
        <f t="shared" si="18"/>
        <v>32620.755772506334</v>
      </c>
      <c r="AL36" s="210">
        <f t="shared" si="18"/>
        <v>32620.755772506334</v>
      </c>
      <c r="AM36" s="210">
        <f t="shared" si="18"/>
        <v>32620.755772506334</v>
      </c>
      <c r="AN36" s="210">
        <f t="shared" si="18"/>
        <v>32620.755772506334</v>
      </c>
      <c r="AO36" s="210">
        <f t="shared" si="18"/>
        <v>32620.755772506334</v>
      </c>
      <c r="AP36" s="210">
        <f t="shared" si="19"/>
        <v>32620.755772506334</v>
      </c>
      <c r="AQ36" s="210">
        <f t="shared" si="19"/>
        <v>32620.755772506334</v>
      </c>
      <c r="AR36" s="210">
        <f t="shared" si="19"/>
        <v>32620.755772506334</v>
      </c>
      <c r="AS36" s="210">
        <f t="shared" si="19"/>
        <v>32620.755772506334</v>
      </c>
      <c r="AT36" s="210">
        <f t="shared" si="19"/>
        <v>32620.755772506334</v>
      </c>
      <c r="AU36" s="210">
        <f t="shared" si="19"/>
        <v>32620.755772506334</v>
      </c>
      <c r="AV36" s="210">
        <f t="shared" si="19"/>
        <v>32620.755772506334</v>
      </c>
      <c r="AW36" s="210">
        <f t="shared" si="19"/>
        <v>32620.755772506334</v>
      </c>
      <c r="AX36" s="210">
        <f t="shared" si="19"/>
        <v>32620.755772506334</v>
      </c>
      <c r="AY36" s="210">
        <f t="shared" si="19"/>
        <v>32620.755772506334</v>
      </c>
      <c r="AZ36" s="210">
        <f t="shared" si="20"/>
        <v>32620.755772506334</v>
      </c>
      <c r="BA36" s="210">
        <f t="shared" si="20"/>
        <v>32620.755772506334</v>
      </c>
      <c r="BB36" s="210">
        <f t="shared" si="20"/>
        <v>32620.755772506334</v>
      </c>
      <c r="BC36" s="210">
        <f t="shared" si="20"/>
        <v>32620.755772506334</v>
      </c>
      <c r="BD36" s="210">
        <f t="shared" si="20"/>
        <v>32620.755772506334</v>
      </c>
      <c r="BE36" s="210">
        <f t="shared" si="20"/>
        <v>32620.755772506334</v>
      </c>
      <c r="BF36" s="210">
        <f t="shared" si="20"/>
        <v>32620.755772506334</v>
      </c>
      <c r="BG36" s="210">
        <f t="shared" si="20"/>
        <v>32620.755772506334</v>
      </c>
      <c r="BH36" s="210">
        <f t="shared" si="20"/>
        <v>32620.755772506334</v>
      </c>
      <c r="BI36" s="210">
        <f t="shared" si="20"/>
        <v>32620.755772506334</v>
      </c>
      <c r="BJ36" s="210">
        <f t="shared" si="21"/>
        <v>32620.755772506334</v>
      </c>
      <c r="BK36" s="210">
        <f t="shared" si="21"/>
        <v>32620.755772506334</v>
      </c>
      <c r="BL36" s="210">
        <f t="shared" si="21"/>
        <v>32620.755772506334</v>
      </c>
      <c r="BM36" s="210">
        <f t="shared" si="21"/>
        <v>32620.755772506334</v>
      </c>
      <c r="BN36" s="210">
        <f t="shared" si="21"/>
        <v>32620.755772506334</v>
      </c>
      <c r="BO36" s="210">
        <f t="shared" si="21"/>
        <v>32620.755772506334</v>
      </c>
      <c r="BP36" s="210">
        <f t="shared" si="21"/>
        <v>32620.755772506334</v>
      </c>
      <c r="BQ36" s="210">
        <f t="shared" si="21"/>
        <v>32620.755772506334</v>
      </c>
      <c r="BR36" s="210">
        <f t="shared" si="21"/>
        <v>32620.755772506334</v>
      </c>
      <c r="BS36" s="210">
        <f t="shared" si="21"/>
        <v>32620.755772506334</v>
      </c>
      <c r="BT36" s="210">
        <f t="shared" si="22"/>
        <v>32620.755772506334</v>
      </c>
      <c r="BU36" s="210">
        <f t="shared" si="22"/>
        <v>32620.755772506334</v>
      </c>
      <c r="BV36" s="210">
        <f t="shared" si="22"/>
        <v>32620.755772506334</v>
      </c>
      <c r="BW36" s="210">
        <f t="shared" si="22"/>
        <v>32620.755772506334</v>
      </c>
      <c r="BX36" s="210">
        <f t="shared" si="22"/>
        <v>32620.755772506334</v>
      </c>
      <c r="BY36" s="210">
        <f t="shared" si="22"/>
        <v>32620.755772506334</v>
      </c>
      <c r="BZ36" s="210">
        <f t="shared" si="22"/>
        <v>32620.755772506334</v>
      </c>
      <c r="CA36" s="210">
        <f t="shared" si="22"/>
        <v>32620.755772506334</v>
      </c>
      <c r="CB36" s="210">
        <f t="shared" si="22"/>
        <v>32620.755772506334</v>
      </c>
      <c r="CC36" s="210">
        <f t="shared" si="22"/>
        <v>32620.755772506334</v>
      </c>
      <c r="CD36" s="210">
        <f t="shared" si="23"/>
        <v>32620.755772506334</v>
      </c>
      <c r="CE36" s="210">
        <f t="shared" si="23"/>
        <v>32620.755772506334</v>
      </c>
      <c r="CF36" s="210">
        <f t="shared" si="23"/>
        <v>32620.755772506334</v>
      </c>
      <c r="CG36" s="210">
        <f t="shared" si="23"/>
        <v>32620.755772506334</v>
      </c>
      <c r="CH36" s="210">
        <f t="shared" si="23"/>
        <v>32620.755772506334</v>
      </c>
      <c r="CI36" s="210">
        <f t="shared" si="23"/>
        <v>32620.755772506334</v>
      </c>
      <c r="CJ36" s="210">
        <f t="shared" si="23"/>
        <v>32620.755772506334</v>
      </c>
      <c r="CK36" s="210">
        <f t="shared" si="23"/>
        <v>32620.755772506334</v>
      </c>
      <c r="CL36" s="210">
        <f t="shared" si="23"/>
        <v>32620.755772506334</v>
      </c>
      <c r="CM36" s="210">
        <f t="shared" si="23"/>
        <v>32620.755772506334</v>
      </c>
      <c r="CN36" s="210">
        <f t="shared" si="24"/>
        <v>32620.755772506334</v>
      </c>
      <c r="CO36" s="210">
        <f t="shared" si="24"/>
        <v>32620.755772506334</v>
      </c>
      <c r="CP36" s="210">
        <f t="shared" si="24"/>
        <v>31395.428140446129</v>
      </c>
      <c r="CQ36" s="210">
        <f t="shared" si="24"/>
        <v>28944.772876325715</v>
      </c>
      <c r="CR36" s="210">
        <f t="shared" si="24"/>
        <v>26494.117612205304</v>
      </c>
      <c r="CS36" s="210">
        <f t="shared" si="24"/>
        <v>24043.46234808489</v>
      </c>
      <c r="CT36" s="210">
        <f t="shared" si="24"/>
        <v>21592.807083964479</v>
      </c>
      <c r="CU36" s="210">
        <f t="shared" si="24"/>
        <v>19142.151819844068</v>
      </c>
      <c r="CV36" s="210">
        <f t="shared" si="24"/>
        <v>16691.496555723657</v>
      </c>
      <c r="CW36" s="210">
        <f t="shared" si="24"/>
        <v>14240.841291603243</v>
      </c>
      <c r="CX36" s="210">
        <f t="shared" si="25"/>
        <v>11790.186027482832</v>
      </c>
      <c r="CY36" s="210">
        <f t="shared" si="25"/>
        <v>9339.5307633624179</v>
      </c>
      <c r="CZ36" s="210">
        <f t="shared" si="25"/>
        <v>8114.2031313022126</v>
      </c>
      <c r="DA36" s="210">
        <f t="shared" si="25"/>
        <v>8114.2031313022126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38348.619717625661</v>
      </c>
      <c r="C38" s="203">
        <f>Income!C88</f>
        <v>43496.650878333683</v>
      </c>
      <c r="D38" s="203">
        <f>Income!D88</f>
        <v>59884.557961247614</v>
      </c>
      <c r="E38" s="203">
        <f>Income!E88</f>
        <v>86612.133908328629</v>
      </c>
      <c r="F38" s="204">
        <f t="shared" ref="F38:AK38" si="26">SUM(F25:F37)</f>
        <v>38348.619717625661</v>
      </c>
      <c r="G38" s="204">
        <f t="shared" si="26"/>
        <v>38348.619717625661</v>
      </c>
      <c r="H38" s="204">
        <f t="shared" si="26"/>
        <v>38348.619717625661</v>
      </c>
      <c r="I38" s="204">
        <f t="shared" si="26"/>
        <v>38348.619717625661</v>
      </c>
      <c r="J38" s="204">
        <f t="shared" si="26"/>
        <v>38348.619717625661</v>
      </c>
      <c r="K38" s="204">
        <f t="shared" si="26"/>
        <v>38348.619717625661</v>
      </c>
      <c r="L38" s="204">
        <f t="shared" si="26"/>
        <v>38348.619717625661</v>
      </c>
      <c r="M38" s="204">
        <f t="shared" si="26"/>
        <v>38348.619717625661</v>
      </c>
      <c r="N38" s="204">
        <f t="shared" si="26"/>
        <v>38348.619717625661</v>
      </c>
      <c r="O38" s="204">
        <f t="shared" si="26"/>
        <v>38348.619717625661</v>
      </c>
      <c r="P38" s="204">
        <f t="shared" si="26"/>
        <v>38348.619717625661</v>
      </c>
      <c r="Q38" s="204">
        <f t="shared" si="26"/>
        <v>38348.619717625661</v>
      </c>
      <c r="R38" s="204">
        <f t="shared" si="26"/>
        <v>38348.619717625661</v>
      </c>
      <c r="S38" s="204">
        <f t="shared" si="26"/>
        <v>38348.619717625661</v>
      </c>
      <c r="T38" s="204">
        <f t="shared" si="26"/>
        <v>38348.619717625661</v>
      </c>
      <c r="U38" s="204">
        <f t="shared" si="26"/>
        <v>38348.619717625661</v>
      </c>
      <c r="V38" s="204">
        <f t="shared" si="26"/>
        <v>38348.619717625661</v>
      </c>
      <c r="W38" s="204">
        <f t="shared" si="26"/>
        <v>38348.619717625661</v>
      </c>
      <c r="X38" s="204">
        <f t="shared" si="26"/>
        <v>38348.619717625661</v>
      </c>
      <c r="Y38" s="204">
        <f t="shared" si="26"/>
        <v>38348.619717625661</v>
      </c>
      <c r="Z38" s="204">
        <f t="shared" si="26"/>
        <v>38348.619717625661</v>
      </c>
      <c r="AA38" s="204">
        <f t="shared" si="26"/>
        <v>38348.619717625661</v>
      </c>
      <c r="AB38" s="204">
        <f t="shared" si="26"/>
        <v>38348.619717625661</v>
      </c>
      <c r="AC38" s="204">
        <f t="shared" si="26"/>
        <v>38348.619717625661</v>
      </c>
      <c r="AD38" s="204">
        <f t="shared" si="26"/>
        <v>38348.619717625661</v>
      </c>
      <c r="AE38" s="204">
        <f t="shared" si="26"/>
        <v>38348.619717625661</v>
      </c>
      <c r="AF38" s="204">
        <f t="shared" si="26"/>
        <v>38477.320496643362</v>
      </c>
      <c r="AG38" s="204">
        <f t="shared" si="26"/>
        <v>38606.021275661056</v>
      </c>
      <c r="AH38" s="204">
        <f t="shared" si="26"/>
        <v>38734.722054678758</v>
      </c>
      <c r="AI38" s="204">
        <f t="shared" si="26"/>
        <v>38863.422833696459</v>
      </c>
      <c r="AJ38" s="204">
        <f t="shared" si="26"/>
        <v>38992.12361271416</v>
      </c>
      <c r="AK38" s="204">
        <f t="shared" si="26"/>
        <v>39120.824391731861</v>
      </c>
      <c r="AL38" s="204">
        <f t="shared" ref="AL38:BQ38" si="27">SUM(AL25:AL37)</f>
        <v>39249.525170749563</v>
      </c>
      <c r="AM38" s="204">
        <f t="shared" si="27"/>
        <v>39378.225949767264</v>
      </c>
      <c r="AN38" s="204">
        <f t="shared" si="27"/>
        <v>39506.926728784965</v>
      </c>
      <c r="AO38" s="204">
        <f t="shared" si="27"/>
        <v>39635.627507802667</v>
      </c>
      <c r="AP38" s="204">
        <f t="shared" si="27"/>
        <v>39764.328286820368</v>
      </c>
      <c r="AQ38" s="204">
        <f t="shared" si="27"/>
        <v>39893.029065838069</v>
      </c>
      <c r="AR38" s="204">
        <f t="shared" si="27"/>
        <v>40021.72984485577</v>
      </c>
      <c r="AS38" s="204">
        <f t="shared" si="27"/>
        <v>40150.430623873472</v>
      </c>
      <c r="AT38" s="204">
        <f t="shared" si="27"/>
        <v>40279.131402891166</v>
      </c>
      <c r="AU38" s="204">
        <f t="shared" si="27"/>
        <v>40407.832181908867</v>
      </c>
      <c r="AV38" s="204">
        <f t="shared" si="27"/>
        <v>40536.532960926568</v>
      </c>
      <c r="AW38" s="204">
        <f t="shared" si="27"/>
        <v>40665.233739944269</v>
      </c>
      <c r="AX38" s="204">
        <f t="shared" si="27"/>
        <v>40793.934518961971</v>
      </c>
      <c r="AY38" s="204">
        <f t="shared" si="27"/>
        <v>40922.635297979672</v>
      </c>
      <c r="AZ38" s="204">
        <f t="shared" si="27"/>
        <v>41051.336076997373</v>
      </c>
      <c r="BA38" s="204">
        <f t="shared" si="27"/>
        <v>41180.036856015075</v>
      </c>
      <c r="BB38" s="204">
        <f t="shared" si="27"/>
        <v>41308.737635032776</v>
      </c>
      <c r="BC38" s="204">
        <f t="shared" si="27"/>
        <v>41437.43841405047</v>
      </c>
      <c r="BD38" s="204">
        <f t="shared" si="27"/>
        <v>41566.139193068171</v>
      </c>
      <c r="BE38" s="204">
        <f t="shared" si="27"/>
        <v>41694.839972085872</v>
      </c>
      <c r="BF38" s="204">
        <f t="shared" si="27"/>
        <v>41823.540751103574</v>
      </c>
      <c r="BG38" s="204">
        <f t="shared" si="27"/>
        <v>41952.241530121275</v>
      </c>
      <c r="BH38" s="204">
        <f t="shared" si="27"/>
        <v>42080.942309138976</v>
      </c>
      <c r="BI38" s="204">
        <f t="shared" si="27"/>
        <v>42209.643088156678</v>
      </c>
      <c r="BJ38" s="204">
        <f t="shared" si="27"/>
        <v>42338.343867174379</v>
      </c>
      <c r="BK38" s="204">
        <f t="shared" si="27"/>
        <v>42467.04464619208</v>
      </c>
      <c r="BL38" s="204">
        <f t="shared" si="27"/>
        <v>42595.745425209781</v>
      </c>
      <c r="BM38" s="204">
        <f t="shared" si="27"/>
        <v>42724.446204227483</v>
      </c>
      <c r="BN38" s="204">
        <f t="shared" si="27"/>
        <v>42853.146983245184</v>
      </c>
      <c r="BO38" s="204">
        <f t="shared" si="27"/>
        <v>42981.847762262885</v>
      </c>
      <c r="BP38" s="204">
        <f t="shared" si="27"/>
        <v>43110.548541280587</v>
      </c>
      <c r="BQ38" s="204">
        <f t="shared" si="27"/>
        <v>43239.249320298288</v>
      </c>
      <c r="BR38" s="204">
        <f t="shared" ref="BR38:CW38" si="28">SUM(BR25:BR37)</f>
        <v>43367.950099315982</v>
      </c>
      <c r="BS38" s="204">
        <f t="shared" si="28"/>
        <v>43496.650878333683</v>
      </c>
      <c r="BT38" s="204">
        <f t="shared" si="28"/>
        <v>44072.5302278772</v>
      </c>
      <c r="BU38" s="204">
        <f t="shared" si="28"/>
        <v>44648.409577420716</v>
      </c>
      <c r="BV38" s="204">
        <f t="shared" si="28"/>
        <v>45224.288926964233</v>
      </c>
      <c r="BW38" s="204">
        <f t="shared" si="28"/>
        <v>45800.168276507749</v>
      </c>
      <c r="BX38" s="204">
        <f t="shared" si="28"/>
        <v>46376.047626051266</v>
      </c>
      <c r="BY38" s="204">
        <f t="shared" si="28"/>
        <v>46951.926975594783</v>
      </c>
      <c r="BZ38" s="204">
        <f t="shared" si="28"/>
        <v>47527.806325138299</v>
      </c>
      <c r="CA38" s="204">
        <f t="shared" si="28"/>
        <v>48103.685674681816</v>
      </c>
      <c r="CB38" s="204">
        <f t="shared" si="28"/>
        <v>48679.565024225332</v>
      </c>
      <c r="CC38" s="204">
        <f t="shared" si="28"/>
        <v>49255.444373768842</v>
      </c>
      <c r="CD38" s="204">
        <f t="shared" si="28"/>
        <v>49831.323723312365</v>
      </c>
      <c r="CE38" s="204">
        <f t="shared" si="28"/>
        <v>50407.203072855875</v>
      </c>
      <c r="CF38" s="204">
        <f t="shared" si="28"/>
        <v>50983.082422399391</v>
      </c>
      <c r="CG38" s="204">
        <f t="shared" si="28"/>
        <v>51558.961771942908</v>
      </c>
      <c r="CH38" s="204">
        <f t="shared" si="28"/>
        <v>52134.841121486425</v>
      </c>
      <c r="CI38" s="204">
        <f t="shared" si="28"/>
        <v>52710.720471029941</v>
      </c>
      <c r="CJ38" s="204">
        <f t="shared" si="28"/>
        <v>53286.599820573465</v>
      </c>
      <c r="CK38" s="204">
        <f t="shared" si="28"/>
        <v>53862.479170116974</v>
      </c>
      <c r="CL38" s="204">
        <f t="shared" si="28"/>
        <v>54438.358519660491</v>
      </c>
      <c r="CM38" s="204">
        <f t="shared" si="28"/>
        <v>55014.237869204007</v>
      </c>
      <c r="CN38" s="204">
        <f t="shared" si="28"/>
        <v>55590.117218747524</v>
      </c>
      <c r="CO38" s="204">
        <f t="shared" si="28"/>
        <v>56165.996568291041</v>
      </c>
      <c r="CP38" s="204">
        <f t="shared" si="28"/>
        <v>57912.28586340115</v>
      </c>
      <c r="CQ38" s="204">
        <f t="shared" si="28"/>
        <v>60828.985104077859</v>
      </c>
      <c r="CR38" s="204">
        <f t="shared" si="28"/>
        <v>63745.684344754569</v>
      </c>
      <c r="CS38" s="204">
        <f t="shared" si="28"/>
        <v>66662.383585431293</v>
      </c>
      <c r="CT38" s="204">
        <f t="shared" si="28"/>
        <v>69579.082826108002</v>
      </c>
      <c r="CU38" s="204">
        <f t="shared" si="28"/>
        <v>72495.782066784712</v>
      </c>
      <c r="CV38" s="204">
        <f t="shared" si="28"/>
        <v>75412.481307461421</v>
      </c>
      <c r="CW38" s="204">
        <f t="shared" si="28"/>
        <v>78329.180548138131</v>
      </c>
      <c r="CX38" s="204">
        <f>SUM(CX25:CX37)</f>
        <v>81245.879788814855</v>
      </c>
      <c r="CY38" s="204">
        <f>SUM(CY25:CY37)</f>
        <v>84162.579029491564</v>
      </c>
      <c r="CZ38" s="204">
        <f>SUM(CZ25:CZ37)</f>
        <v>85620.928649829919</v>
      </c>
      <c r="DA38" s="204">
        <f>SUM(DA25:DA37)</f>
        <v>85620.928649829919</v>
      </c>
    </row>
    <row r="39" spans="1:105">
      <c r="A39" s="201" t="str">
        <f>Income!A89</f>
        <v>Food Poverty line</v>
      </c>
      <c r="B39" s="203">
        <f>Income!B89</f>
        <v>29831.109022148565</v>
      </c>
      <c r="C39" s="203">
        <f>Income!C89</f>
        <v>29831.109022148565</v>
      </c>
      <c r="D39" s="203">
        <f>Income!D89</f>
        <v>29831.109022148565</v>
      </c>
      <c r="E39" s="203">
        <f>Income!E89</f>
        <v>29831.109022148568</v>
      </c>
      <c r="F39" s="204">
        <f t="shared" ref="F39:U39" si="29">IF(F$2&lt;=($B$2+$C$2+$D$2),IF(F$2&lt;=($B$2+$C$2),IF(F$2&lt;=$B$2,$B39,$C39),$D39),$E39)</f>
        <v>29831.109022148565</v>
      </c>
      <c r="G39" s="204">
        <f t="shared" si="29"/>
        <v>29831.109022148565</v>
      </c>
      <c r="H39" s="204">
        <f t="shared" si="29"/>
        <v>29831.109022148565</v>
      </c>
      <c r="I39" s="204">
        <f t="shared" si="29"/>
        <v>29831.109022148565</v>
      </c>
      <c r="J39" s="204">
        <f t="shared" si="29"/>
        <v>29831.109022148565</v>
      </c>
      <c r="K39" s="204">
        <f t="shared" si="29"/>
        <v>29831.109022148565</v>
      </c>
      <c r="L39" s="204">
        <f t="shared" si="29"/>
        <v>29831.109022148565</v>
      </c>
      <c r="M39" s="204">
        <f t="shared" si="29"/>
        <v>29831.109022148565</v>
      </c>
      <c r="N39" s="204">
        <f t="shared" si="29"/>
        <v>29831.109022148565</v>
      </c>
      <c r="O39" s="204">
        <f t="shared" si="29"/>
        <v>29831.109022148565</v>
      </c>
      <c r="P39" s="204">
        <f t="shared" si="29"/>
        <v>29831.109022148565</v>
      </c>
      <c r="Q39" s="204">
        <f t="shared" si="29"/>
        <v>29831.109022148565</v>
      </c>
      <c r="R39" s="204">
        <f t="shared" si="29"/>
        <v>29831.109022148565</v>
      </c>
      <c r="S39" s="204">
        <f t="shared" si="29"/>
        <v>29831.109022148565</v>
      </c>
      <c r="T39" s="204">
        <f t="shared" si="29"/>
        <v>29831.109022148565</v>
      </c>
      <c r="U39" s="204">
        <f t="shared" si="29"/>
        <v>29831.109022148565</v>
      </c>
      <c r="V39" s="204">
        <f t="shared" ref="V39:AK40" si="30">IF(V$2&lt;=($B$2+$C$2+$D$2),IF(V$2&lt;=($B$2+$C$2),IF(V$2&lt;=$B$2,$B39,$C39),$D39),$E39)</f>
        <v>29831.109022148565</v>
      </c>
      <c r="W39" s="204">
        <f t="shared" si="30"/>
        <v>29831.109022148565</v>
      </c>
      <c r="X39" s="204">
        <f t="shared" si="30"/>
        <v>29831.109022148565</v>
      </c>
      <c r="Y39" s="204">
        <f t="shared" si="30"/>
        <v>29831.109022148565</v>
      </c>
      <c r="Z39" s="204">
        <f t="shared" si="30"/>
        <v>29831.109022148565</v>
      </c>
      <c r="AA39" s="204">
        <f t="shared" si="30"/>
        <v>29831.109022148565</v>
      </c>
      <c r="AB39" s="204">
        <f t="shared" si="30"/>
        <v>29831.109022148565</v>
      </c>
      <c r="AC39" s="204">
        <f t="shared" si="30"/>
        <v>29831.109022148565</v>
      </c>
      <c r="AD39" s="204">
        <f t="shared" si="30"/>
        <v>29831.109022148565</v>
      </c>
      <c r="AE39" s="204">
        <f t="shared" si="30"/>
        <v>29831.109022148565</v>
      </c>
      <c r="AF39" s="204">
        <f t="shared" si="30"/>
        <v>29831.109022148565</v>
      </c>
      <c r="AG39" s="204">
        <f t="shared" si="30"/>
        <v>29831.109022148565</v>
      </c>
      <c r="AH39" s="204">
        <f t="shared" si="30"/>
        <v>29831.109022148565</v>
      </c>
      <c r="AI39" s="204">
        <f t="shared" si="30"/>
        <v>29831.109022148565</v>
      </c>
      <c r="AJ39" s="204">
        <f t="shared" si="30"/>
        <v>29831.109022148565</v>
      </c>
      <c r="AK39" s="204">
        <f t="shared" si="30"/>
        <v>29831.109022148565</v>
      </c>
      <c r="AL39" s="204">
        <f t="shared" ref="AL39:BA40" si="31">IF(AL$2&lt;=($B$2+$C$2+$D$2),IF(AL$2&lt;=($B$2+$C$2),IF(AL$2&lt;=$B$2,$B39,$C39),$D39),$E39)</f>
        <v>29831.109022148565</v>
      </c>
      <c r="AM39" s="204">
        <f t="shared" si="31"/>
        <v>29831.109022148565</v>
      </c>
      <c r="AN39" s="204">
        <f t="shared" si="31"/>
        <v>29831.109022148565</v>
      </c>
      <c r="AO39" s="204">
        <f t="shared" si="31"/>
        <v>29831.109022148565</v>
      </c>
      <c r="AP39" s="204">
        <f t="shared" si="31"/>
        <v>29831.109022148565</v>
      </c>
      <c r="AQ39" s="204">
        <f t="shared" si="31"/>
        <v>29831.109022148565</v>
      </c>
      <c r="AR39" s="204">
        <f t="shared" si="31"/>
        <v>29831.109022148565</v>
      </c>
      <c r="AS39" s="204">
        <f t="shared" si="31"/>
        <v>29831.109022148565</v>
      </c>
      <c r="AT39" s="204">
        <f t="shared" si="31"/>
        <v>29831.109022148565</v>
      </c>
      <c r="AU39" s="204">
        <f t="shared" si="31"/>
        <v>29831.109022148565</v>
      </c>
      <c r="AV39" s="204">
        <f t="shared" si="31"/>
        <v>29831.109022148565</v>
      </c>
      <c r="AW39" s="204">
        <f t="shared" si="31"/>
        <v>29831.109022148565</v>
      </c>
      <c r="AX39" s="204">
        <f t="shared" si="31"/>
        <v>29831.109022148565</v>
      </c>
      <c r="AY39" s="204">
        <f t="shared" si="31"/>
        <v>29831.109022148565</v>
      </c>
      <c r="AZ39" s="204">
        <f t="shared" si="31"/>
        <v>29831.109022148565</v>
      </c>
      <c r="BA39" s="204">
        <f t="shared" si="31"/>
        <v>29831.109022148565</v>
      </c>
      <c r="BB39" s="204">
        <f t="shared" ref="BB39:CD40" si="32">IF(BB$2&lt;=($B$2+$C$2+$D$2),IF(BB$2&lt;=($B$2+$C$2),IF(BB$2&lt;=$B$2,$B39,$C39),$D39),$E39)</f>
        <v>29831.109022148565</v>
      </c>
      <c r="BC39" s="204">
        <f t="shared" si="32"/>
        <v>29831.109022148565</v>
      </c>
      <c r="BD39" s="204">
        <f t="shared" si="32"/>
        <v>29831.109022148565</v>
      </c>
      <c r="BE39" s="204">
        <f t="shared" si="32"/>
        <v>29831.109022148565</v>
      </c>
      <c r="BF39" s="204">
        <f t="shared" si="32"/>
        <v>29831.109022148565</v>
      </c>
      <c r="BG39" s="204">
        <f t="shared" si="32"/>
        <v>29831.109022148565</v>
      </c>
      <c r="BH39" s="204">
        <f t="shared" si="32"/>
        <v>29831.109022148565</v>
      </c>
      <c r="BI39" s="204">
        <f t="shared" si="32"/>
        <v>29831.109022148565</v>
      </c>
      <c r="BJ39" s="204">
        <f t="shared" si="32"/>
        <v>29831.109022148565</v>
      </c>
      <c r="BK39" s="204">
        <f t="shared" si="32"/>
        <v>29831.109022148565</v>
      </c>
      <c r="BL39" s="204">
        <f t="shared" si="32"/>
        <v>29831.109022148565</v>
      </c>
      <c r="BM39" s="204">
        <f t="shared" si="32"/>
        <v>29831.109022148565</v>
      </c>
      <c r="BN39" s="204">
        <f t="shared" si="32"/>
        <v>29831.109022148565</v>
      </c>
      <c r="BO39" s="204">
        <f t="shared" si="32"/>
        <v>29831.109022148565</v>
      </c>
      <c r="BP39" s="204">
        <f t="shared" si="32"/>
        <v>29831.109022148565</v>
      </c>
      <c r="BQ39" s="204">
        <f t="shared" si="32"/>
        <v>29831.109022148565</v>
      </c>
      <c r="BR39" s="204">
        <f t="shared" si="32"/>
        <v>29831.109022148565</v>
      </c>
      <c r="BS39" s="204">
        <f t="shared" si="32"/>
        <v>29831.109022148565</v>
      </c>
      <c r="BT39" s="204">
        <f t="shared" si="32"/>
        <v>29831.109022148565</v>
      </c>
      <c r="BU39" s="204">
        <f t="shared" si="32"/>
        <v>29831.109022148565</v>
      </c>
      <c r="BV39" s="204">
        <f t="shared" si="32"/>
        <v>29831.109022148565</v>
      </c>
      <c r="BW39" s="204">
        <f t="shared" si="32"/>
        <v>29831.109022148565</v>
      </c>
      <c r="BX39" s="204">
        <f t="shared" si="32"/>
        <v>29831.109022148565</v>
      </c>
      <c r="BY39" s="204">
        <f t="shared" si="32"/>
        <v>29831.109022148565</v>
      </c>
      <c r="BZ39" s="204">
        <f t="shared" si="32"/>
        <v>29831.109022148565</v>
      </c>
      <c r="CA39" s="204">
        <f t="shared" si="32"/>
        <v>29831.109022148565</v>
      </c>
      <c r="CB39" s="204">
        <f t="shared" si="32"/>
        <v>29831.109022148565</v>
      </c>
      <c r="CC39" s="204">
        <f t="shared" si="32"/>
        <v>29831.109022148565</v>
      </c>
      <c r="CD39" s="204">
        <f t="shared" si="32"/>
        <v>29831.109022148565</v>
      </c>
      <c r="CE39" s="204">
        <f t="shared" ref="CE39:CR40" si="33">IF(CE$2&lt;=($B$2+$C$2+$D$2),IF(CE$2&lt;=($B$2+$C$2),IF(CE$2&lt;=$B$2,$B39,$C39),$D39),$E39)</f>
        <v>29831.109022148565</v>
      </c>
      <c r="CF39" s="204">
        <f t="shared" si="33"/>
        <v>29831.109022148565</v>
      </c>
      <c r="CG39" s="204">
        <f t="shared" si="33"/>
        <v>29831.109022148565</v>
      </c>
      <c r="CH39" s="204">
        <f t="shared" si="33"/>
        <v>29831.109022148565</v>
      </c>
      <c r="CI39" s="204">
        <f t="shared" si="33"/>
        <v>29831.109022148565</v>
      </c>
      <c r="CJ39" s="204">
        <f t="shared" si="33"/>
        <v>29831.109022148565</v>
      </c>
      <c r="CK39" s="204">
        <f t="shared" si="33"/>
        <v>29831.109022148565</v>
      </c>
      <c r="CL39" s="204">
        <f t="shared" si="33"/>
        <v>29831.109022148565</v>
      </c>
      <c r="CM39" s="204">
        <f t="shared" si="33"/>
        <v>29831.109022148565</v>
      </c>
      <c r="CN39" s="204">
        <f t="shared" si="33"/>
        <v>29831.109022148565</v>
      </c>
      <c r="CO39" s="204">
        <f t="shared" si="33"/>
        <v>29831.109022148565</v>
      </c>
      <c r="CP39" s="204">
        <f t="shared" si="33"/>
        <v>29831.109022148565</v>
      </c>
      <c r="CQ39" s="204">
        <f t="shared" si="33"/>
        <v>29831.109022148565</v>
      </c>
      <c r="CR39" s="204">
        <f t="shared" si="33"/>
        <v>29831.109022148565</v>
      </c>
      <c r="CS39" s="204">
        <f t="shared" ref="CS39:DA40" si="34">IF(CS$2&lt;=($B$2+$C$2+$D$2),IF(CS$2&lt;=($B$2+$C$2),IF(CS$2&lt;=$B$2,$B39,$C39),$D39),$E39)</f>
        <v>29831.109022148565</v>
      </c>
      <c r="CT39" s="204">
        <f t="shared" si="34"/>
        <v>29831.109022148565</v>
      </c>
      <c r="CU39" s="204">
        <f t="shared" si="34"/>
        <v>29831.109022148565</v>
      </c>
      <c r="CV39" s="204">
        <f t="shared" si="34"/>
        <v>29831.109022148565</v>
      </c>
      <c r="CW39" s="204">
        <f t="shared" si="34"/>
        <v>29831.109022148568</v>
      </c>
      <c r="CX39" s="204">
        <f t="shared" si="34"/>
        <v>29831.109022148568</v>
      </c>
      <c r="CY39" s="204">
        <f t="shared" si="34"/>
        <v>29831.109022148568</v>
      </c>
      <c r="CZ39" s="204">
        <f t="shared" si="34"/>
        <v>29831.109022148568</v>
      </c>
      <c r="DA39" s="204">
        <f t="shared" si="34"/>
        <v>29831.109022148568</v>
      </c>
    </row>
    <row r="40" spans="1:105">
      <c r="A40" s="201" t="str">
        <f>Income!A90</f>
        <v>Lower Bound Poverty line</v>
      </c>
      <c r="B40" s="203">
        <f>Income!B90</f>
        <v>46325.935688815232</v>
      </c>
      <c r="C40" s="203">
        <f>Income!C90</f>
        <v>46325.935688815232</v>
      </c>
      <c r="D40" s="203">
        <f>Income!D90</f>
        <v>46325.935688815232</v>
      </c>
      <c r="E40" s="203">
        <f>Income!E90</f>
        <v>46325.935688815232</v>
      </c>
      <c r="F40" s="204">
        <f t="shared" ref="F40:U40" si="35">IF(F$2&lt;=($B$2+$C$2+$D$2),IF(F$2&lt;=($B$2+$C$2),IF(F$2&lt;=$B$2,$B40,$C40),$D40),$E40)</f>
        <v>46325.935688815232</v>
      </c>
      <c r="G40" s="204">
        <f t="shared" si="35"/>
        <v>46325.935688815232</v>
      </c>
      <c r="H40" s="204">
        <f t="shared" si="35"/>
        <v>46325.935688815232</v>
      </c>
      <c r="I40" s="204">
        <f t="shared" si="35"/>
        <v>46325.935688815232</v>
      </c>
      <c r="J40" s="204">
        <f t="shared" si="35"/>
        <v>46325.935688815232</v>
      </c>
      <c r="K40" s="204">
        <f t="shared" si="35"/>
        <v>46325.935688815232</v>
      </c>
      <c r="L40" s="204">
        <f t="shared" si="35"/>
        <v>46325.935688815232</v>
      </c>
      <c r="M40" s="204">
        <f t="shared" si="35"/>
        <v>46325.935688815232</v>
      </c>
      <c r="N40" s="204">
        <f t="shared" si="35"/>
        <v>46325.935688815232</v>
      </c>
      <c r="O40" s="204">
        <f t="shared" si="35"/>
        <v>46325.935688815232</v>
      </c>
      <c r="P40" s="204">
        <f t="shared" si="35"/>
        <v>46325.935688815232</v>
      </c>
      <c r="Q40" s="204">
        <f t="shared" si="35"/>
        <v>46325.935688815232</v>
      </c>
      <c r="R40" s="204">
        <f t="shared" si="35"/>
        <v>46325.935688815232</v>
      </c>
      <c r="S40" s="204">
        <f t="shared" si="35"/>
        <v>46325.935688815232</v>
      </c>
      <c r="T40" s="204">
        <f t="shared" si="35"/>
        <v>46325.935688815232</v>
      </c>
      <c r="U40" s="204">
        <f t="shared" si="35"/>
        <v>46325.935688815232</v>
      </c>
      <c r="V40" s="204">
        <f t="shared" si="30"/>
        <v>46325.935688815232</v>
      </c>
      <c r="W40" s="204">
        <f t="shared" si="30"/>
        <v>46325.935688815232</v>
      </c>
      <c r="X40" s="204">
        <f t="shared" si="30"/>
        <v>46325.935688815232</v>
      </c>
      <c r="Y40" s="204">
        <f t="shared" si="30"/>
        <v>46325.935688815232</v>
      </c>
      <c r="Z40" s="204">
        <f t="shared" si="30"/>
        <v>46325.935688815232</v>
      </c>
      <c r="AA40" s="204">
        <f t="shared" si="30"/>
        <v>46325.935688815232</v>
      </c>
      <c r="AB40" s="204">
        <f t="shared" si="30"/>
        <v>46325.935688815232</v>
      </c>
      <c r="AC40" s="204">
        <f t="shared" si="30"/>
        <v>46325.935688815232</v>
      </c>
      <c r="AD40" s="204">
        <f t="shared" si="30"/>
        <v>46325.935688815232</v>
      </c>
      <c r="AE40" s="204">
        <f t="shared" si="30"/>
        <v>46325.935688815232</v>
      </c>
      <c r="AF40" s="204">
        <f t="shared" si="30"/>
        <v>46325.935688815232</v>
      </c>
      <c r="AG40" s="204">
        <f t="shared" si="30"/>
        <v>46325.935688815232</v>
      </c>
      <c r="AH40" s="204">
        <f t="shared" si="30"/>
        <v>46325.935688815232</v>
      </c>
      <c r="AI40" s="204">
        <f t="shared" si="30"/>
        <v>46325.935688815232</v>
      </c>
      <c r="AJ40" s="204">
        <f t="shared" si="30"/>
        <v>46325.935688815232</v>
      </c>
      <c r="AK40" s="204">
        <f t="shared" si="30"/>
        <v>46325.935688815232</v>
      </c>
      <c r="AL40" s="204">
        <f t="shared" si="31"/>
        <v>46325.935688815232</v>
      </c>
      <c r="AM40" s="204">
        <f t="shared" si="31"/>
        <v>46325.935688815232</v>
      </c>
      <c r="AN40" s="204">
        <f t="shared" si="31"/>
        <v>46325.935688815232</v>
      </c>
      <c r="AO40" s="204">
        <f t="shared" si="31"/>
        <v>46325.935688815232</v>
      </c>
      <c r="AP40" s="204">
        <f t="shared" si="31"/>
        <v>46325.935688815232</v>
      </c>
      <c r="AQ40" s="204">
        <f t="shared" si="31"/>
        <v>46325.935688815232</v>
      </c>
      <c r="AR40" s="204">
        <f t="shared" si="31"/>
        <v>46325.935688815232</v>
      </c>
      <c r="AS40" s="204">
        <f t="shared" si="31"/>
        <v>46325.935688815232</v>
      </c>
      <c r="AT40" s="204">
        <f t="shared" si="31"/>
        <v>46325.935688815232</v>
      </c>
      <c r="AU40" s="204">
        <f t="shared" si="31"/>
        <v>46325.935688815232</v>
      </c>
      <c r="AV40" s="204">
        <f t="shared" si="31"/>
        <v>46325.935688815232</v>
      </c>
      <c r="AW40" s="204">
        <f t="shared" si="31"/>
        <v>46325.935688815232</v>
      </c>
      <c r="AX40" s="204">
        <f t="shared" si="31"/>
        <v>46325.935688815232</v>
      </c>
      <c r="AY40" s="204">
        <f t="shared" si="31"/>
        <v>46325.935688815232</v>
      </c>
      <c r="AZ40" s="204">
        <f t="shared" si="31"/>
        <v>46325.935688815232</v>
      </c>
      <c r="BA40" s="204">
        <f t="shared" si="31"/>
        <v>46325.935688815232</v>
      </c>
      <c r="BB40" s="204">
        <f t="shared" si="32"/>
        <v>46325.935688815232</v>
      </c>
      <c r="BC40" s="204">
        <f t="shared" si="32"/>
        <v>46325.935688815232</v>
      </c>
      <c r="BD40" s="204">
        <f t="shared" si="32"/>
        <v>46325.935688815232</v>
      </c>
      <c r="BE40" s="204">
        <f t="shared" si="32"/>
        <v>46325.935688815232</v>
      </c>
      <c r="BF40" s="204">
        <f t="shared" si="32"/>
        <v>46325.935688815232</v>
      </c>
      <c r="BG40" s="204">
        <f t="shared" si="32"/>
        <v>46325.935688815232</v>
      </c>
      <c r="BH40" s="204">
        <f t="shared" si="32"/>
        <v>46325.935688815232</v>
      </c>
      <c r="BI40" s="204">
        <f t="shared" si="32"/>
        <v>46325.935688815232</v>
      </c>
      <c r="BJ40" s="204">
        <f t="shared" si="32"/>
        <v>46325.935688815232</v>
      </c>
      <c r="BK40" s="204">
        <f t="shared" si="32"/>
        <v>46325.935688815232</v>
      </c>
      <c r="BL40" s="204">
        <f t="shared" si="32"/>
        <v>46325.935688815232</v>
      </c>
      <c r="BM40" s="204">
        <f t="shared" si="32"/>
        <v>46325.935688815232</v>
      </c>
      <c r="BN40" s="204">
        <f t="shared" si="32"/>
        <v>46325.935688815232</v>
      </c>
      <c r="BO40" s="204">
        <f t="shared" si="32"/>
        <v>46325.935688815232</v>
      </c>
      <c r="BP40" s="204">
        <f t="shared" si="32"/>
        <v>46325.935688815232</v>
      </c>
      <c r="BQ40" s="204">
        <f t="shared" si="32"/>
        <v>46325.935688815232</v>
      </c>
      <c r="BR40" s="204">
        <f t="shared" si="32"/>
        <v>46325.935688815232</v>
      </c>
      <c r="BS40" s="204">
        <f t="shared" si="32"/>
        <v>46325.935688815232</v>
      </c>
      <c r="BT40" s="204">
        <f t="shared" si="32"/>
        <v>46325.935688815232</v>
      </c>
      <c r="BU40" s="204">
        <f t="shared" si="32"/>
        <v>46325.935688815232</v>
      </c>
      <c r="BV40" s="204">
        <f t="shared" si="32"/>
        <v>46325.935688815232</v>
      </c>
      <c r="BW40" s="204">
        <f t="shared" si="32"/>
        <v>46325.935688815232</v>
      </c>
      <c r="BX40" s="204">
        <f t="shared" si="32"/>
        <v>46325.935688815232</v>
      </c>
      <c r="BY40" s="204">
        <f t="shared" si="32"/>
        <v>46325.935688815232</v>
      </c>
      <c r="BZ40" s="204">
        <f t="shared" si="32"/>
        <v>46325.935688815232</v>
      </c>
      <c r="CA40" s="204">
        <f t="shared" si="32"/>
        <v>46325.935688815232</v>
      </c>
      <c r="CB40" s="204">
        <f t="shared" si="32"/>
        <v>46325.935688815232</v>
      </c>
      <c r="CC40" s="204">
        <f t="shared" si="32"/>
        <v>46325.935688815232</v>
      </c>
      <c r="CD40" s="204">
        <f t="shared" si="32"/>
        <v>46325.935688815232</v>
      </c>
      <c r="CE40" s="204">
        <f t="shared" si="33"/>
        <v>46325.935688815232</v>
      </c>
      <c r="CF40" s="204">
        <f t="shared" si="33"/>
        <v>46325.935688815232</v>
      </c>
      <c r="CG40" s="204">
        <f t="shared" si="33"/>
        <v>46325.935688815232</v>
      </c>
      <c r="CH40" s="204">
        <f t="shared" si="33"/>
        <v>46325.935688815232</v>
      </c>
      <c r="CI40" s="204">
        <f t="shared" si="33"/>
        <v>46325.935688815232</v>
      </c>
      <c r="CJ40" s="204">
        <f t="shared" si="33"/>
        <v>46325.935688815232</v>
      </c>
      <c r="CK40" s="204">
        <f t="shared" si="33"/>
        <v>46325.935688815232</v>
      </c>
      <c r="CL40" s="204">
        <f t="shared" si="33"/>
        <v>46325.935688815232</v>
      </c>
      <c r="CM40" s="204">
        <f t="shared" si="33"/>
        <v>46325.935688815232</v>
      </c>
      <c r="CN40" s="204">
        <f t="shared" si="33"/>
        <v>46325.935688815232</v>
      </c>
      <c r="CO40" s="204">
        <f t="shared" si="33"/>
        <v>46325.935688815232</v>
      </c>
      <c r="CP40" s="204">
        <f t="shared" si="33"/>
        <v>46325.935688815232</v>
      </c>
      <c r="CQ40" s="204">
        <f t="shared" si="33"/>
        <v>46325.935688815232</v>
      </c>
      <c r="CR40" s="204">
        <f t="shared" si="33"/>
        <v>46325.935688815232</v>
      </c>
      <c r="CS40" s="204">
        <f t="shared" si="34"/>
        <v>46325.935688815232</v>
      </c>
      <c r="CT40" s="204">
        <f t="shared" si="34"/>
        <v>46325.935688815232</v>
      </c>
      <c r="CU40" s="204">
        <f t="shared" si="34"/>
        <v>46325.935688815232</v>
      </c>
      <c r="CV40" s="204">
        <f t="shared" si="34"/>
        <v>46325.935688815232</v>
      </c>
      <c r="CW40" s="204">
        <f t="shared" si="34"/>
        <v>46325.935688815232</v>
      </c>
      <c r="CX40" s="204">
        <f t="shared" si="34"/>
        <v>46325.935688815232</v>
      </c>
      <c r="CY40" s="204">
        <f t="shared" si="34"/>
        <v>46325.935688815232</v>
      </c>
      <c r="CZ40" s="204">
        <f t="shared" si="34"/>
        <v>46325.935688815232</v>
      </c>
      <c r="DA40" s="204">
        <f t="shared" si="34"/>
        <v>46325.935688815232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10.619621396108119</v>
      </c>
      <c r="AG42" s="210">
        <f t="shared" si="36"/>
        <v>10.619621396108119</v>
      </c>
      <c r="AH42" s="210">
        <f t="shared" si="36"/>
        <v>10.619621396108119</v>
      </c>
      <c r="AI42" s="210">
        <f t="shared" si="36"/>
        <v>10.619621396108119</v>
      </c>
      <c r="AJ42" s="210">
        <f t="shared" si="36"/>
        <v>10.619621396108119</v>
      </c>
      <c r="AK42" s="210">
        <f t="shared" si="36"/>
        <v>10.619621396108119</v>
      </c>
      <c r="AL42" s="210">
        <f t="shared" ref="AL42:BQ42" si="37">IF(AL$22&lt;=$E$24,IF(AL$22&lt;=$D$24,IF(AL$22&lt;=$C$24,IF(AL$22&lt;=$B$24,$B108,($C25-$B25)/($C$24-$B$24)),($D25-$C25)/($D$24-$C$24)),($E25-$D25)/($E$24-$D$24)),$F108)</f>
        <v>10.619621396108119</v>
      </c>
      <c r="AM42" s="210">
        <f t="shared" si="37"/>
        <v>10.619621396108119</v>
      </c>
      <c r="AN42" s="210">
        <f t="shared" si="37"/>
        <v>10.619621396108119</v>
      </c>
      <c r="AO42" s="210">
        <f t="shared" si="37"/>
        <v>10.619621396108119</v>
      </c>
      <c r="AP42" s="210">
        <f t="shared" si="37"/>
        <v>10.619621396108119</v>
      </c>
      <c r="AQ42" s="210">
        <f t="shared" si="37"/>
        <v>10.619621396108119</v>
      </c>
      <c r="AR42" s="210">
        <f t="shared" si="37"/>
        <v>10.619621396108119</v>
      </c>
      <c r="AS42" s="210">
        <f t="shared" si="37"/>
        <v>10.619621396108119</v>
      </c>
      <c r="AT42" s="210">
        <f t="shared" si="37"/>
        <v>10.619621396108119</v>
      </c>
      <c r="AU42" s="210">
        <f t="shared" si="37"/>
        <v>10.619621396108119</v>
      </c>
      <c r="AV42" s="210">
        <f t="shared" si="37"/>
        <v>10.619621396108119</v>
      </c>
      <c r="AW42" s="210">
        <f t="shared" si="37"/>
        <v>10.619621396108119</v>
      </c>
      <c r="AX42" s="210">
        <f t="shared" si="37"/>
        <v>10.619621396108119</v>
      </c>
      <c r="AY42" s="210">
        <f t="shared" si="37"/>
        <v>10.619621396108119</v>
      </c>
      <c r="AZ42" s="210">
        <f t="shared" si="37"/>
        <v>10.619621396108119</v>
      </c>
      <c r="BA42" s="210">
        <f t="shared" si="37"/>
        <v>10.619621396108119</v>
      </c>
      <c r="BB42" s="210">
        <f t="shared" si="37"/>
        <v>10.619621396108119</v>
      </c>
      <c r="BC42" s="210">
        <f t="shared" si="37"/>
        <v>10.619621396108119</v>
      </c>
      <c r="BD42" s="210">
        <f t="shared" si="37"/>
        <v>10.619621396108119</v>
      </c>
      <c r="BE42" s="210">
        <f t="shared" si="37"/>
        <v>10.619621396108119</v>
      </c>
      <c r="BF42" s="210">
        <f t="shared" si="37"/>
        <v>10.619621396108119</v>
      </c>
      <c r="BG42" s="210">
        <f t="shared" si="37"/>
        <v>10.619621396108119</v>
      </c>
      <c r="BH42" s="210">
        <f t="shared" si="37"/>
        <v>10.619621396108119</v>
      </c>
      <c r="BI42" s="210">
        <f t="shared" si="37"/>
        <v>10.619621396108119</v>
      </c>
      <c r="BJ42" s="210">
        <f t="shared" si="37"/>
        <v>10.619621396108119</v>
      </c>
      <c r="BK42" s="210">
        <f t="shared" si="37"/>
        <v>10.619621396108119</v>
      </c>
      <c r="BL42" s="210">
        <f t="shared" si="37"/>
        <v>10.619621396108119</v>
      </c>
      <c r="BM42" s="210">
        <f t="shared" si="37"/>
        <v>10.619621396108119</v>
      </c>
      <c r="BN42" s="210">
        <f t="shared" si="37"/>
        <v>10.619621396108119</v>
      </c>
      <c r="BO42" s="210">
        <f t="shared" si="37"/>
        <v>10.619621396108119</v>
      </c>
      <c r="BP42" s="210">
        <f t="shared" si="37"/>
        <v>10.619621396108119</v>
      </c>
      <c r="BQ42" s="210">
        <f t="shared" si="37"/>
        <v>10.619621396108119</v>
      </c>
      <c r="BR42" s="210">
        <f t="shared" ref="BR42:DA42" si="38">IF(BR$22&lt;=$E$24,IF(BR$22&lt;=$D$24,IF(BR$22&lt;=$C$24,IF(BR$22&lt;=$B$24,$B108,($C25-$B25)/($C$24-$B$24)),($D25-$C25)/($D$24-$C$24)),($E25-$D25)/($E$24-$D$24)),$F108)</f>
        <v>10.619621396108119</v>
      </c>
      <c r="BS42" s="210">
        <f t="shared" si="38"/>
        <v>10.619621396108119</v>
      </c>
      <c r="BT42" s="210">
        <f t="shared" si="38"/>
        <v>76.294281613346101</v>
      </c>
      <c r="BU42" s="210">
        <f t="shared" si="38"/>
        <v>76.294281613346101</v>
      </c>
      <c r="BV42" s="210">
        <f t="shared" si="38"/>
        <v>76.294281613346101</v>
      </c>
      <c r="BW42" s="210">
        <f t="shared" si="38"/>
        <v>76.294281613346101</v>
      </c>
      <c r="BX42" s="210">
        <f t="shared" si="38"/>
        <v>76.294281613346101</v>
      </c>
      <c r="BY42" s="210">
        <f t="shared" si="38"/>
        <v>76.294281613346101</v>
      </c>
      <c r="BZ42" s="210">
        <f t="shared" si="38"/>
        <v>76.294281613346101</v>
      </c>
      <c r="CA42" s="210">
        <f t="shared" si="38"/>
        <v>76.294281613346101</v>
      </c>
      <c r="CB42" s="210">
        <f t="shared" si="38"/>
        <v>76.294281613346101</v>
      </c>
      <c r="CC42" s="210">
        <f t="shared" si="38"/>
        <v>76.294281613346101</v>
      </c>
      <c r="CD42" s="210">
        <f t="shared" si="38"/>
        <v>76.294281613346101</v>
      </c>
      <c r="CE42" s="210">
        <f t="shared" si="38"/>
        <v>76.294281613346101</v>
      </c>
      <c r="CF42" s="210">
        <f t="shared" si="38"/>
        <v>76.294281613346101</v>
      </c>
      <c r="CG42" s="210">
        <f t="shared" si="38"/>
        <v>76.294281613346101</v>
      </c>
      <c r="CH42" s="210">
        <f t="shared" si="38"/>
        <v>76.294281613346101</v>
      </c>
      <c r="CI42" s="210">
        <f t="shared" si="38"/>
        <v>76.294281613346101</v>
      </c>
      <c r="CJ42" s="210">
        <f t="shared" si="38"/>
        <v>76.294281613346101</v>
      </c>
      <c r="CK42" s="210">
        <f t="shared" si="38"/>
        <v>76.294281613346101</v>
      </c>
      <c r="CL42" s="210">
        <f t="shared" si="38"/>
        <v>76.294281613346101</v>
      </c>
      <c r="CM42" s="210">
        <f t="shared" si="38"/>
        <v>76.294281613346101</v>
      </c>
      <c r="CN42" s="210">
        <f t="shared" si="38"/>
        <v>76.294281613346101</v>
      </c>
      <c r="CO42" s="210">
        <f t="shared" si="38"/>
        <v>76.294281613346101</v>
      </c>
      <c r="CP42" s="210">
        <f t="shared" si="38"/>
        <v>6.8980461217762237</v>
      </c>
      <c r="CQ42" s="210">
        <f t="shared" si="38"/>
        <v>6.8980461217762237</v>
      </c>
      <c r="CR42" s="210">
        <f t="shared" si="38"/>
        <v>6.8980461217762237</v>
      </c>
      <c r="CS42" s="210">
        <f t="shared" si="38"/>
        <v>6.8980461217762237</v>
      </c>
      <c r="CT42" s="210">
        <f t="shared" si="38"/>
        <v>6.8980461217762237</v>
      </c>
      <c r="CU42" s="210">
        <f t="shared" si="38"/>
        <v>6.8980461217762237</v>
      </c>
      <c r="CV42" s="210">
        <f t="shared" si="38"/>
        <v>6.8980461217762237</v>
      </c>
      <c r="CW42" s="210">
        <f t="shared" si="38"/>
        <v>6.8980461217762237</v>
      </c>
      <c r="CX42" s="210">
        <f t="shared" si="38"/>
        <v>6.8980461217762237</v>
      </c>
      <c r="CY42" s="210">
        <f t="shared" si="38"/>
        <v>6.8980461217762237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340.26</v>
      </c>
      <c r="Z43" s="210">
        <f t="shared" si="39"/>
        <v>340.26</v>
      </c>
      <c r="AA43" s="210">
        <f t="shared" si="39"/>
        <v>340.26</v>
      </c>
      <c r="AB43" s="210">
        <f t="shared" si="39"/>
        <v>340.26</v>
      </c>
      <c r="AC43" s="210">
        <f t="shared" si="39"/>
        <v>340.26</v>
      </c>
      <c r="AD43" s="210">
        <f t="shared" si="39"/>
        <v>340.26</v>
      </c>
      <c r="AE43" s="210">
        <f t="shared" si="39"/>
        <v>340.26</v>
      </c>
      <c r="AF43" s="210">
        <f t="shared" si="39"/>
        <v>30.961571101061871</v>
      </c>
      <c r="AG43" s="210">
        <f t="shared" si="39"/>
        <v>30.961571101061871</v>
      </c>
      <c r="AH43" s="210">
        <f t="shared" si="39"/>
        <v>30.961571101061871</v>
      </c>
      <c r="AI43" s="210">
        <f t="shared" si="39"/>
        <v>30.961571101061871</v>
      </c>
      <c r="AJ43" s="210">
        <f t="shared" si="39"/>
        <v>30.961571101061871</v>
      </c>
      <c r="AK43" s="210">
        <f t="shared" si="39"/>
        <v>30.961571101061871</v>
      </c>
      <c r="AL43" s="210">
        <f t="shared" ref="AL43:BQ43" si="40">IF(AL$22&lt;=$E$24,IF(AL$22&lt;=$D$24,IF(AL$22&lt;=$C$24,IF(AL$22&lt;=$B$24,$B109,($C26-$B26)/($C$24-$B$24)),($D26-$C26)/($D$24-$C$24)),($E26-$D26)/($E$24-$D$24)),$F109)</f>
        <v>30.961571101061871</v>
      </c>
      <c r="AM43" s="210">
        <f t="shared" si="40"/>
        <v>30.961571101061871</v>
      </c>
      <c r="AN43" s="210">
        <f t="shared" si="40"/>
        <v>30.961571101061871</v>
      </c>
      <c r="AO43" s="210">
        <f t="shared" si="40"/>
        <v>30.961571101061871</v>
      </c>
      <c r="AP43" s="210">
        <f t="shared" si="40"/>
        <v>30.961571101061871</v>
      </c>
      <c r="AQ43" s="210">
        <f t="shared" si="40"/>
        <v>30.961571101061871</v>
      </c>
      <c r="AR43" s="210">
        <f t="shared" si="40"/>
        <v>30.961571101061871</v>
      </c>
      <c r="AS43" s="210">
        <f t="shared" si="40"/>
        <v>30.961571101061871</v>
      </c>
      <c r="AT43" s="210">
        <f t="shared" si="40"/>
        <v>30.961571101061871</v>
      </c>
      <c r="AU43" s="210">
        <f t="shared" si="40"/>
        <v>30.961571101061871</v>
      </c>
      <c r="AV43" s="210">
        <f t="shared" si="40"/>
        <v>30.961571101061871</v>
      </c>
      <c r="AW43" s="210">
        <f t="shared" si="40"/>
        <v>30.961571101061871</v>
      </c>
      <c r="AX43" s="210">
        <f t="shared" si="40"/>
        <v>30.961571101061871</v>
      </c>
      <c r="AY43" s="210">
        <f t="shared" si="40"/>
        <v>30.961571101061871</v>
      </c>
      <c r="AZ43" s="210">
        <f t="shared" si="40"/>
        <v>30.961571101061871</v>
      </c>
      <c r="BA43" s="210">
        <f t="shared" si="40"/>
        <v>30.961571101061871</v>
      </c>
      <c r="BB43" s="210">
        <f t="shared" si="40"/>
        <v>30.961571101061871</v>
      </c>
      <c r="BC43" s="210">
        <f t="shared" si="40"/>
        <v>30.961571101061871</v>
      </c>
      <c r="BD43" s="210">
        <f t="shared" si="40"/>
        <v>30.961571101061871</v>
      </c>
      <c r="BE43" s="210">
        <f t="shared" si="40"/>
        <v>30.961571101061871</v>
      </c>
      <c r="BF43" s="210">
        <f t="shared" si="40"/>
        <v>30.961571101061871</v>
      </c>
      <c r="BG43" s="210">
        <f t="shared" si="40"/>
        <v>30.961571101061871</v>
      </c>
      <c r="BH43" s="210">
        <f t="shared" si="40"/>
        <v>30.961571101061871</v>
      </c>
      <c r="BI43" s="210">
        <f t="shared" si="40"/>
        <v>30.961571101061871</v>
      </c>
      <c r="BJ43" s="210">
        <f t="shared" si="40"/>
        <v>30.961571101061871</v>
      </c>
      <c r="BK43" s="210">
        <f t="shared" si="40"/>
        <v>30.961571101061871</v>
      </c>
      <c r="BL43" s="210">
        <f t="shared" si="40"/>
        <v>30.961571101061871</v>
      </c>
      <c r="BM43" s="210">
        <f t="shared" si="40"/>
        <v>30.961571101061871</v>
      </c>
      <c r="BN43" s="210">
        <f t="shared" si="40"/>
        <v>30.961571101061871</v>
      </c>
      <c r="BO43" s="210">
        <f t="shared" si="40"/>
        <v>30.961571101061871</v>
      </c>
      <c r="BP43" s="210">
        <f t="shared" si="40"/>
        <v>30.961571101061871</v>
      </c>
      <c r="BQ43" s="210">
        <f t="shared" si="40"/>
        <v>30.961571101061871</v>
      </c>
      <c r="BR43" s="210">
        <f t="shared" ref="BR43:DA43" si="41">IF(BR$22&lt;=$E$24,IF(BR$22&lt;=$D$24,IF(BR$22&lt;=$C$24,IF(BR$22&lt;=$B$24,$B109,($C26-$B26)/($C$24-$B$24)),($D26-$C26)/($D$24-$C$24)),($E26-$D26)/($E$24-$D$24)),$F109)</f>
        <v>30.961571101061871</v>
      </c>
      <c r="BS43" s="210">
        <f t="shared" si="41"/>
        <v>30.961571101061871</v>
      </c>
      <c r="BT43" s="210">
        <f t="shared" si="41"/>
        <v>183.36624245923937</v>
      </c>
      <c r="BU43" s="210">
        <f t="shared" si="41"/>
        <v>183.36624245923937</v>
      </c>
      <c r="BV43" s="210">
        <f t="shared" si="41"/>
        <v>183.36624245923937</v>
      </c>
      <c r="BW43" s="210">
        <f t="shared" si="41"/>
        <v>183.36624245923937</v>
      </c>
      <c r="BX43" s="210">
        <f t="shared" si="41"/>
        <v>183.36624245923937</v>
      </c>
      <c r="BY43" s="210">
        <f t="shared" si="41"/>
        <v>183.36624245923937</v>
      </c>
      <c r="BZ43" s="210">
        <f t="shared" si="41"/>
        <v>183.36624245923937</v>
      </c>
      <c r="CA43" s="210">
        <f t="shared" si="41"/>
        <v>183.36624245923937</v>
      </c>
      <c r="CB43" s="210">
        <f t="shared" si="41"/>
        <v>183.36624245923937</v>
      </c>
      <c r="CC43" s="210">
        <f t="shared" si="41"/>
        <v>183.36624245923937</v>
      </c>
      <c r="CD43" s="210">
        <f t="shared" si="41"/>
        <v>183.36624245923937</v>
      </c>
      <c r="CE43" s="210">
        <f t="shared" si="41"/>
        <v>183.36624245923937</v>
      </c>
      <c r="CF43" s="210">
        <f t="shared" si="41"/>
        <v>183.36624245923937</v>
      </c>
      <c r="CG43" s="210">
        <f t="shared" si="41"/>
        <v>183.36624245923937</v>
      </c>
      <c r="CH43" s="210">
        <f t="shared" si="41"/>
        <v>183.36624245923937</v>
      </c>
      <c r="CI43" s="210">
        <f t="shared" si="41"/>
        <v>183.36624245923937</v>
      </c>
      <c r="CJ43" s="210">
        <f t="shared" si="41"/>
        <v>183.36624245923937</v>
      </c>
      <c r="CK43" s="210">
        <f t="shared" si="41"/>
        <v>183.36624245923937</v>
      </c>
      <c r="CL43" s="210">
        <f t="shared" si="41"/>
        <v>183.36624245923937</v>
      </c>
      <c r="CM43" s="210">
        <f t="shared" si="41"/>
        <v>183.36624245923937</v>
      </c>
      <c r="CN43" s="210">
        <f t="shared" si="41"/>
        <v>183.36624245923937</v>
      </c>
      <c r="CO43" s="210">
        <f t="shared" si="41"/>
        <v>183.36624245923937</v>
      </c>
      <c r="CP43" s="210">
        <f t="shared" si="41"/>
        <v>223.90762981804602</v>
      </c>
      <c r="CQ43" s="210">
        <f t="shared" si="41"/>
        <v>223.90762981804602</v>
      </c>
      <c r="CR43" s="210">
        <f t="shared" si="41"/>
        <v>223.90762981804602</v>
      </c>
      <c r="CS43" s="210">
        <f t="shared" si="41"/>
        <v>223.90762981804602</v>
      </c>
      <c r="CT43" s="210">
        <f t="shared" si="41"/>
        <v>223.90762981804602</v>
      </c>
      <c r="CU43" s="210">
        <f t="shared" si="41"/>
        <v>223.90762981804602</v>
      </c>
      <c r="CV43" s="210">
        <f t="shared" si="41"/>
        <v>223.90762981804602</v>
      </c>
      <c r="CW43" s="210">
        <f t="shared" si="41"/>
        <v>223.90762981804602</v>
      </c>
      <c r="CX43" s="210">
        <f t="shared" si="41"/>
        <v>223.90762981804602</v>
      </c>
      <c r="CY43" s="210">
        <f t="shared" si="41"/>
        <v>223.90762981804602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3.8158646471241768</v>
      </c>
      <c r="AG44" s="210">
        <f t="shared" si="42"/>
        <v>3.8158646471241768</v>
      </c>
      <c r="AH44" s="210">
        <f t="shared" si="42"/>
        <v>3.8158646471241768</v>
      </c>
      <c r="AI44" s="210">
        <f t="shared" si="42"/>
        <v>3.8158646471241768</v>
      </c>
      <c r="AJ44" s="210">
        <f t="shared" si="42"/>
        <v>3.8158646471241768</v>
      </c>
      <c r="AK44" s="210">
        <f t="shared" si="42"/>
        <v>3.8158646471241768</v>
      </c>
      <c r="AL44" s="210">
        <f t="shared" ref="AL44:BQ44" si="43">IF(AL$22&lt;=$E$24,IF(AL$22&lt;=$D$24,IF(AL$22&lt;=$C$24,IF(AL$22&lt;=$B$24,$B110,($C27-$B27)/($C$24-$B$24)),($D27-$C27)/($D$24-$C$24)),($E27-$D27)/($E$24-$D$24)),$F110)</f>
        <v>3.8158646471241768</v>
      </c>
      <c r="AM44" s="210">
        <f t="shared" si="43"/>
        <v>3.8158646471241768</v>
      </c>
      <c r="AN44" s="210">
        <f t="shared" si="43"/>
        <v>3.8158646471241768</v>
      </c>
      <c r="AO44" s="210">
        <f t="shared" si="43"/>
        <v>3.8158646471241768</v>
      </c>
      <c r="AP44" s="210">
        <f t="shared" si="43"/>
        <v>3.8158646471241768</v>
      </c>
      <c r="AQ44" s="210">
        <f t="shared" si="43"/>
        <v>3.8158646471241768</v>
      </c>
      <c r="AR44" s="210">
        <f t="shared" si="43"/>
        <v>3.8158646471241768</v>
      </c>
      <c r="AS44" s="210">
        <f t="shared" si="43"/>
        <v>3.8158646471241768</v>
      </c>
      <c r="AT44" s="210">
        <f t="shared" si="43"/>
        <v>3.8158646471241768</v>
      </c>
      <c r="AU44" s="210">
        <f t="shared" si="43"/>
        <v>3.8158646471241768</v>
      </c>
      <c r="AV44" s="210">
        <f t="shared" si="43"/>
        <v>3.8158646471241768</v>
      </c>
      <c r="AW44" s="210">
        <f t="shared" si="43"/>
        <v>3.8158646471241768</v>
      </c>
      <c r="AX44" s="210">
        <f t="shared" si="43"/>
        <v>3.8158646471241768</v>
      </c>
      <c r="AY44" s="210">
        <f t="shared" si="43"/>
        <v>3.8158646471241768</v>
      </c>
      <c r="AZ44" s="210">
        <f t="shared" si="43"/>
        <v>3.8158646471241768</v>
      </c>
      <c r="BA44" s="210">
        <f t="shared" si="43"/>
        <v>3.8158646471241768</v>
      </c>
      <c r="BB44" s="210">
        <f t="shared" si="43"/>
        <v>3.8158646471241768</v>
      </c>
      <c r="BC44" s="210">
        <f t="shared" si="43"/>
        <v>3.8158646471241768</v>
      </c>
      <c r="BD44" s="210">
        <f t="shared" si="43"/>
        <v>3.8158646471241768</v>
      </c>
      <c r="BE44" s="210">
        <f t="shared" si="43"/>
        <v>3.8158646471241768</v>
      </c>
      <c r="BF44" s="210">
        <f t="shared" si="43"/>
        <v>3.8158646471241768</v>
      </c>
      <c r="BG44" s="210">
        <f t="shared" si="43"/>
        <v>3.8158646471241768</v>
      </c>
      <c r="BH44" s="210">
        <f t="shared" si="43"/>
        <v>3.8158646471241768</v>
      </c>
      <c r="BI44" s="210">
        <f t="shared" si="43"/>
        <v>3.8158646471241768</v>
      </c>
      <c r="BJ44" s="210">
        <f t="shared" si="43"/>
        <v>3.8158646471241768</v>
      </c>
      <c r="BK44" s="210">
        <f t="shared" si="43"/>
        <v>3.8158646471241768</v>
      </c>
      <c r="BL44" s="210">
        <f t="shared" si="43"/>
        <v>3.8158646471241768</v>
      </c>
      <c r="BM44" s="210">
        <f t="shared" si="43"/>
        <v>3.8158646471241768</v>
      </c>
      <c r="BN44" s="210">
        <f t="shared" si="43"/>
        <v>3.8158646471241768</v>
      </c>
      <c r="BO44" s="210">
        <f t="shared" si="43"/>
        <v>3.8158646471241768</v>
      </c>
      <c r="BP44" s="210">
        <f t="shared" si="43"/>
        <v>3.8158646471241768</v>
      </c>
      <c r="BQ44" s="210">
        <f t="shared" si="43"/>
        <v>3.8158646471241768</v>
      </c>
      <c r="BR44" s="210">
        <f t="shared" ref="BR44:DA44" si="44">IF(BR$22&lt;=$E$24,IF(BR$22&lt;=$D$24,IF(BR$22&lt;=$C$24,IF(BR$22&lt;=$B$24,$B110,($C27-$B27)/($C$24-$B$24)),($D27-$C27)/($D$24-$C$24)),($E27-$D27)/($E$24-$D$24)),$F110)</f>
        <v>3.8158646471241768</v>
      </c>
      <c r="BS44" s="210">
        <f t="shared" si="44"/>
        <v>3.8158646471241768</v>
      </c>
      <c r="BT44" s="210">
        <f t="shared" si="44"/>
        <v>13.898365255733488</v>
      </c>
      <c r="BU44" s="210">
        <f t="shared" si="44"/>
        <v>13.898365255733488</v>
      </c>
      <c r="BV44" s="210">
        <f t="shared" si="44"/>
        <v>13.898365255733488</v>
      </c>
      <c r="BW44" s="210">
        <f t="shared" si="44"/>
        <v>13.898365255733488</v>
      </c>
      <c r="BX44" s="210">
        <f t="shared" si="44"/>
        <v>13.898365255733488</v>
      </c>
      <c r="BY44" s="210">
        <f t="shared" si="44"/>
        <v>13.898365255733488</v>
      </c>
      <c r="BZ44" s="210">
        <f t="shared" si="44"/>
        <v>13.898365255733488</v>
      </c>
      <c r="CA44" s="210">
        <f t="shared" si="44"/>
        <v>13.898365255733488</v>
      </c>
      <c r="CB44" s="210">
        <f t="shared" si="44"/>
        <v>13.898365255733488</v>
      </c>
      <c r="CC44" s="210">
        <f t="shared" si="44"/>
        <v>13.898365255733488</v>
      </c>
      <c r="CD44" s="210">
        <f t="shared" si="44"/>
        <v>13.898365255733488</v>
      </c>
      <c r="CE44" s="210">
        <f t="shared" si="44"/>
        <v>13.898365255733488</v>
      </c>
      <c r="CF44" s="210">
        <f t="shared" si="44"/>
        <v>13.898365255733488</v>
      </c>
      <c r="CG44" s="210">
        <f t="shared" si="44"/>
        <v>13.898365255733488</v>
      </c>
      <c r="CH44" s="210">
        <f t="shared" si="44"/>
        <v>13.898365255733488</v>
      </c>
      <c r="CI44" s="210">
        <f t="shared" si="44"/>
        <v>13.898365255733488</v>
      </c>
      <c r="CJ44" s="210">
        <f t="shared" si="44"/>
        <v>13.898365255733488</v>
      </c>
      <c r="CK44" s="210">
        <f t="shared" si="44"/>
        <v>13.898365255733488</v>
      </c>
      <c r="CL44" s="210">
        <f t="shared" si="44"/>
        <v>13.898365255733488</v>
      </c>
      <c r="CM44" s="210">
        <f t="shared" si="44"/>
        <v>13.898365255733488</v>
      </c>
      <c r="CN44" s="210">
        <f t="shared" si="44"/>
        <v>13.898365255733488</v>
      </c>
      <c r="CO44" s="210">
        <f t="shared" si="44"/>
        <v>13.898365255733488</v>
      </c>
      <c r="CP44" s="210">
        <f t="shared" si="44"/>
        <v>119.56956610754109</v>
      </c>
      <c r="CQ44" s="210">
        <f t="shared" si="44"/>
        <v>119.56956610754109</v>
      </c>
      <c r="CR44" s="210">
        <f t="shared" si="44"/>
        <v>119.56956610754109</v>
      </c>
      <c r="CS44" s="210">
        <f t="shared" si="44"/>
        <v>119.56956610754109</v>
      </c>
      <c r="CT44" s="210">
        <f t="shared" si="44"/>
        <v>119.56956610754109</v>
      </c>
      <c r="CU44" s="210">
        <f t="shared" si="44"/>
        <v>119.56956610754109</v>
      </c>
      <c r="CV44" s="210">
        <f t="shared" si="44"/>
        <v>119.56956610754109</v>
      </c>
      <c r="CW44" s="210">
        <f t="shared" si="44"/>
        <v>119.56956610754109</v>
      </c>
      <c r="CX44" s="210">
        <f t="shared" si="44"/>
        <v>119.56956610754109</v>
      </c>
      <c r="CY44" s="210">
        <f t="shared" si="44"/>
        <v>119.56956610754109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18.517686065228393</v>
      </c>
      <c r="AG46" s="210">
        <f t="shared" si="48"/>
        <v>18.517686065228393</v>
      </c>
      <c r="AH46" s="210">
        <f t="shared" si="48"/>
        <v>18.517686065228393</v>
      </c>
      <c r="AI46" s="210">
        <f t="shared" si="48"/>
        <v>18.517686065228393</v>
      </c>
      <c r="AJ46" s="210">
        <f t="shared" si="48"/>
        <v>18.517686065228393</v>
      </c>
      <c r="AK46" s="210">
        <f t="shared" si="48"/>
        <v>18.517686065228393</v>
      </c>
      <c r="AL46" s="210">
        <f t="shared" ref="AL46:BQ46" si="49">IF(AL$22&lt;=$E$24,IF(AL$22&lt;=$D$24,IF(AL$22&lt;=$C$24,IF(AL$22&lt;=$B$24,$B112,($C29-$B29)/($C$24-$B$24)),($D29-$C29)/($D$24-$C$24)),($E29-$D29)/($E$24-$D$24)),$F112)</f>
        <v>18.517686065228393</v>
      </c>
      <c r="AM46" s="210">
        <f t="shared" si="49"/>
        <v>18.517686065228393</v>
      </c>
      <c r="AN46" s="210">
        <f t="shared" si="49"/>
        <v>18.517686065228393</v>
      </c>
      <c r="AO46" s="210">
        <f t="shared" si="49"/>
        <v>18.517686065228393</v>
      </c>
      <c r="AP46" s="210">
        <f t="shared" si="49"/>
        <v>18.517686065228393</v>
      </c>
      <c r="AQ46" s="210">
        <f t="shared" si="49"/>
        <v>18.517686065228393</v>
      </c>
      <c r="AR46" s="210">
        <f t="shared" si="49"/>
        <v>18.517686065228393</v>
      </c>
      <c r="AS46" s="210">
        <f t="shared" si="49"/>
        <v>18.517686065228393</v>
      </c>
      <c r="AT46" s="210">
        <f t="shared" si="49"/>
        <v>18.517686065228393</v>
      </c>
      <c r="AU46" s="210">
        <f t="shared" si="49"/>
        <v>18.517686065228393</v>
      </c>
      <c r="AV46" s="210">
        <f t="shared" si="49"/>
        <v>18.517686065228393</v>
      </c>
      <c r="AW46" s="210">
        <f t="shared" si="49"/>
        <v>18.517686065228393</v>
      </c>
      <c r="AX46" s="210">
        <f t="shared" si="49"/>
        <v>18.517686065228393</v>
      </c>
      <c r="AY46" s="210">
        <f t="shared" si="49"/>
        <v>18.517686065228393</v>
      </c>
      <c r="AZ46" s="210">
        <f t="shared" si="49"/>
        <v>18.517686065228393</v>
      </c>
      <c r="BA46" s="210">
        <f t="shared" si="49"/>
        <v>18.517686065228393</v>
      </c>
      <c r="BB46" s="210">
        <f t="shared" si="49"/>
        <v>18.517686065228393</v>
      </c>
      <c r="BC46" s="210">
        <f t="shared" si="49"/>
        <v>18.517686065228393</v>
      </c>
      <c r="BD46" s="210">
        <f t="shared" si="49"/>
        <v>18.517686065228393</v>
      </c>
      <c r="BE46" s="210">
        <f t="shared" si="49"/>
        <v>18.517686065228393</v>
      </c>
      <c r="BF46" s="210">
        <f t="shared" si="49"/>
        <v>18.517686065228393</v>
      </c>
      <c r="BG46" s="210">
        <f t="shared" si="49"/>
        <v>18.517686065228393</v>
      </c>
      <c r="BH46" s="210">
        <f t="shared" si="49"/>
        <v>18.517686065228393</v>
      </c>
      <c r="BI46" s="210">
        <f t="shared" si="49"/>
        <v>18.517686065228393</v>
      </c>
      <c r="BJ46" s="210">
        <f t="shared" si="49"/>
        <v>18.517686065228393</v>
      </c>
      <c r="BK46" s="210">
        <f t="shared" si="49"/>
        <v>18.517686065228393</v>
      </c>
      <c r="BL46" s="210">
        <f t="shared" si="49"/>
        <v>18.517686065228393</v>
      </c>
      <c r="BM46" s="210">
        <f t="shared" si="49"/>
        <v>18.517686065228393</v>
      </c>
      <c r="BN46" s="210">
        <f t="shared" si="49"/>
        <v>18.517686065228393</v>
      </c>
      <c r="BO46" s="210">
        <f t="shared" si="49"/>
        <v>18.517686065228393</v>
      </c>
      <c r="BP46" s="210">
        <f t="shared" si="49"/>
        <v>18.517686065228393</v>
      </c>
      <c r="BQ46" s="210">
        <f t="shared" si="49"/>
        <v>18.517686065228393</v>
      </c>
      <c r="BR46" s="210">
        <f t="shared" ref="BR46:DA46" si="50">IF(BR$22&lt;=$E$24,IF(BR$22&lt;=$D$24,IF(BR$22&lt;=$C$24,IF(BR$22&lt;=$B$24,$B112,($C29-$B29)/($C$24-$B$24)),($D29-$C29)/($D$24-$C$24)),($E29-$D29)/($E$24-$D$24)),$F112)</f>
        <v>18.517686065228393</v>
      </c>
      <c r="BS46" s="210">
        <f t="shared" si="50"/>
        <v>18.517686065228393</v>
      </c>
      <c r="BT46" s="210">
        <f t="shared" si="50"/>
        <v>197.5219846957695</v>
      </c>
      <c r="BU46" s="210">
        <f t="shared" si="50"/>
        <v>197.5219846957695</v>
      </c>
      <c r="BV46" s="210">
        <f t="shared" si="50"/>
        <v>197.5219846957695</v>
      </c>
      <c r="BW46" s="210">
        <f t="shared" si="50"/>
        <v>197.5219846957695</v>
      </c>
      <c r="BX46" s="210">
        <f t="shared" si="50"/>
        <v>197.5219846957695</v>
      </c>
      <c r="BY46" s="210">
        <f t="shared" si="50"/>
        <v>197.5219846957695</v>
      </c>
      <c r="BZ46" s="210">
        <f t="shared" si="50"/>
        <v>197.5219846957695</v>
      </c>
      <c r="CA46" s="210">
        <f t="shared" si="50"/>
        <v>197.5219846957695</v>
      </c>
      <c r="CB46" s="210">
        <f t="shared" si="50"/>
        <v>197.5219846957695</v>
      </c>
      <c r="CC46" s="210">
        <f t="shared" si="50"/>
        <v>197.5219846957695</v>
      </c>
      <c r="CD46" s="210">
        <f t="shared" si="50"/>
        <v>197.5219846957695</v>
      </c>
      <c r="CE46" s="210">
        <f t="shared" si="50"/>
        <v>197.5219846957695</v>
      </c>
      <c r="CF46" s="210">
        <f t="shared" si="50"/>
        <v>197.5219846957695</v>
      </c>
      <c r="CG46" s="210">
        <f t="shared" si="50"/>
        <v>197.5219846957695</v>
      </c>
      <c r="CH46" s="210">
        <f t="shared" si="50"/>
        <v>197.5219846957695</v>
      </c>
      <c r="CI46" s="210">
        <f t="shared" si="50"/>
        <v>197.5219846957695</v>
      </c>
      <c r="CJ46" s="210">
        <f t="shared" si="50"/>
        <v>197.5219846957695</v>
      </c>
      <c r="CK46" s="210">
        <f t="shared" si="50"/>
        <v>197.5219846957695</v>
      </c>
      <c r="CL46" s="210">
        <f t="shared" si="50"/>
        <v>197.5219846957695</v>
      </c>
      <c r="CM46" s="210">
        <f t="shared" si="50"/>
        <v>197.5219846957695</v>
      </c>
      <c r="CN46" s="210">
        <f t="shared" si="50"/>
        <v>197.5219846957695</v>
      </c>
      <c r="CO46" s="210">
        <f t="shared" si="50"/>
        <v>197.5219846957695</v>
      </c>
      <c r="CP46" s="210">
        <f t="shared" si="50"/>
        <v>936.58341076577403</v>
      </c>
      <c r="CQ46" s="210">
        <f t="shared" si="50"/>
        <v>936.58341076577403</v>
      </c>
      <c r="CR46" s="210">
        <f t="shared" si="50"/>
        <v>936.58341076577403</v>
      </c>
      <c r="CS46" s="210">
        <f t="shared" si="50"/>
        <v>936.58341076577403</v>
      </c>
      <c r="CT46" s="210">
        <f t="shared" si="50"/>
        <v>936.58341076577403</v>
      </c>
      <c r="CU46" s="210">
        <f t="shared" si="50"/>
        <v>936.58341076577403</v>
      </c>
      <c r="CV46" s="210">
        <f t="shared" si="50"/>
        <v>936.58341076577403</v>
      </c>
      <c r="CW46" s="210">
        <f t="shared" si="50"/>
        <v>936.58341076577403</v>
      </c>
      <c r="CX46" s="210">
        <f t="shared" si="50"/>
        <v>936.58341076577403</v>
      </c>
      <c r="CY46" s="210">
        <f t="shared" si="50"/>
        <v>936.58341076577403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14.666966986477666</v>
      </c>
      <c r="CQ47" s="210">
        <f t="shared" si="53"/>
        <v>14.666966986477666</v>
      </c>
      <c r="CR47" s="210">
        <f t="shared" si="53"/>
        <v>14.666966986477666</v>
      </c>
      <c r="CS47" s="210">
        <f t="shared" si="53"/>
        <v>14.666966986477666</v>
      </c>
      <c r="CT47" s="210">
        <f t="shared" si="53"/>
        <v>14.666966986477666</v>
      </c>
      <c r="CU47" s="210">
        <f t="shared" si="53"/>
        <v>14.666966986477666</v>
      </c>
      <c r="CV47" s="210">
        <f t="shared" si="53"/>
        <v>14.666966986477666</v>
      </c>
      <c r="CW47" s="210">
        <f t="shared" si="53"/>
        <v>14.666966986477666</v>
      </c>
      <c r="CX47" s="210">
        <f t="shared" si="53"/>
        <v>14.666966986477666</v>
      </c>
      <c r="CY47" s="210">
        <f t="shared" si="53"/>
        <v>14.666966986477666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64.786035808178099</v>
      </c>
      <c r="AG48" s="210">
        <f t="shared" si="54"/>
        <v>64.786035808178099</v>
      </c>
      <c r="AH48" s="210">
        <f t="shared" si="54"/>
        <v>64.786035808178099</v>
      </c>
      <c r="AI48" s="210">
        <f t="shared" si="54"/>
        <v>64.786035808178099</v>
      </c>
      <c r="AJ48" s="210">
        <f t="shared" si="54"/>
        <v>64.786035808178099</v>
      </c>
      <c r="AK48" s="210">
        <f t="shared" si="54"/>
        <v>64.786035808178099</v>
      </c>
      <c r="AL48" s="210">
        <f t="shared" ref="AL48:BQ48" si="55">IF(AL$22&lt;=$E$24,IF(AL$22&lt;=$D$24,IF(AL$22&lt;=$C$24,IF(AL$22&lt;=$B$24,$B114,($C31-$B31)/($C$24-$B$24)),($D31-$C31)/($D$24-$C$24)),($E31-$D31)/($E$24-$D$24)),$F114)</f>
        <v>64.786035808178099</v>
      </c>
      <c r="AM48" s="210">
        <f t="shared" si="55"/>
        <v>64.786035808178099</v>
      </c>
      <c r="AN48" s="210">
        <f t="shared" si="55"/>
        <v>64.786035808178099</v>
      </c>
      <c r="AO48" s="210">
        <f t="shared" si="55"/>
        <v>64.786035808178099</v>
      </c>
      <c r="AP48" s="210">
        <f t="shared" si="55"/>
        <v>64.786035808178099</v>
      </c>
      <c r="AQ48" s="210">
        <f t="shared" si="55"/>
        <v>64.786035808178099</v>
      </c>
      <c r="AR48" s="210">
        <f t="shared" si="55"/>
        <v>64.786035808178099</v>
      </c>
      <c r="AS48" s="210">
        <f t="shared" si="55"/>
        <v>64.786035808178099</v>
      </c>
      <c r="AT48" s="210">
        <f t="shared" si="55"/>
        <v>64.786035808178099</v>
      </c>
      <c r="AU48" s="210">
        <f t="shared" si="55"/>
        <v>64.786035808178099</v>
      </c>
      <c r="AV48" s="210">
        <f t="shared" si="55"/>
        <v>64.786035808178099</v>
      </c>
      <c r="AW48" s="210">
        <f t="shared" si="55"/>
        <v>64.786035808178099</v>
      </c>
      <c r="AX48" s="210">
        <f t="shared" si="55"/>
        <v>64.786035808178099</v>
      </c>
      <c r="AY48" s="210">
        <f t="shared" si="55"/>
        <v>64.786035808178099</v>
      </c>
      <c r="AZ48" s="210">
        <f t="shared" si="55"/>
        <v>64.786035808178099</v>
      </c>
      <c r="BA48" s="210">
        <f t="shared" si="55"/>
        <v>64.786035808178099</v>
      </c>
      <c r="BB48" s="210">
        <f t="shared" si="55"/>
        <v>64.786035808178099</v>
      </c>
      <c r="BC48" s="210">
        <f t="shared" si="55"/>
        <v>64.786035808178099</v>
      </c>
      <c r="BD48" s="210">
        <f t="shared" si="55"/>
        <v>64.786035808178099</v>
      </c>
      <c r="BE48" s="210">
        <f t="shared" si="55"/>
        <v>64.786035808178099</v>
      </c>
      <c r="BF48" s="210">
        <f t="shared" si="55"/>
        <v>64.786035808178099</v>
      </c>
      <c r="BG48" s="210">
        <f t="shared" si="55"/>
        <v>64.786035808178099</v>
      </c>
      <c r="BH48" s="210">
        <f t="shared" si="55"/>
        <v>64.786035808178099</v>
      </c>
      <c r="BI48" s="210">
        <f t="shared" si="55"/>
        <v>64.786035808178099</v>
      </c>
      <c r="BJ48" s="210">
        <f t="shared" si="55"/>
        <v>64.786035808178099</v>
      </c>
      <c r="BK48" s="210">
        <f t="shared" si="55"/>
        <v>64.786035808178099</v>
      </c>
      <c r="BL48" s="210">
        <f t="shared" si="55"/>
        <v>64.786035808178099</v>
      </c>
      <c r="BM48" s="210">
        <f t="shared" si="55"/>
        <v>64.786035808178099</v>
      </c>
      <c r="BN48" s="210">
        <f t="shared" si="55"/>
        <v>64.786035808178099</v>
      </c>
      <c r="BO48" s="210">
        <f t="shared" si="55"/>
        <v>64.786035808178099</v>
      </c>
      <c r="BP48" s="210">
        <f t="shared" si="55"/>
        <v>64.786035808178099</v>
      </c>
      <c r="BQ48" s="210">
        <f t="shared" si="55"/>
        <v>64.786035808178099</v>
      </c>
      <c r="BR48" s="210">
        <f t="shared" ref="BR48:DA48" si="56">IF(BR$22&lt;=$E$24,IF(BR$22&lt;=$D$24,IF(BR$22&lt;=$C$24,IF(BR$22&lt;=$B$24,$B114,($C31-$B31)/($C$24-$B$24)),($D31-$C31)/($D$24-$C$24)),($E31-$D31)/($E$24-$D$24)),$F114)</f>
        <v>64.786035808178099</v>
      </c>
      <c r="BS48" s="210">
        <f t="shared" si="56"/>
        <v>64.786035808178099</v>
      </c>
      <c r="BT48" s="210">
        <f t="shared" si="56"/>
        <v>-65.662997273021503</v>
      </c>
      <c r="BU48" s="210">
        <f t="shared" si="56"/>
        <v>-65.662997273021503</v>
      </c>
      <c r="BV48" s="210">
        <f t="shared" si="56"/>
        <v>-65.662997273021503</v>
      </c>
      <c r="BW48" s="210">
        <f t="shared" si="56"/>
        <v>-65.662997273021503</v>
      </c>
      <c r="BX48" s="210">
        <f t="shared" si="56"/>
        <v>-65.662997273021503</v>
      </c>
      <c r="BY48" s="210">
        <f t="shared" si="56"/>
        <v>-65.662997273021503</v>
      </c>
      <c r="BZ48" s="210">
        <f t="shared" si="56"/>
        <v>-65.662997273021503</v>
      </c>
      <c r="CA48" s="210">
        <f t="shared" si="56"/>
        <v>-65.662997273021503</v>
      </c>
      <c r="CB48" s="210">
        <f t="shared" si="56"/>
        <v>-65.662997273021503</v>
      </c>
      <c r="CC48" s="210">
        <f t="shared" si="56"/>
        <v>-65.662997273021503</v>
      </c>
      <c r="CD48" s="210">
        <f t="shared" si="56"/>
        <v>-65.662997273021503</v>
      </c>
      <c r="CE48" s="210">
        <f t="shared" si="56"/>
        <v>-65.662997273021503</v>
      </c>
      <c r="CF48" s="210">
        <f t="shared" si="56"/>
        <v>-65.662997273021503</v>
      </c>
      <c r="CG48" s="210">
        <f t="shared" si="56"/>
        <v>-65.662997273021503</v>
      </c>
      <c r="CH48" s="210">
        <f t="shared" si="56"/>
        <v>-65.662997273021503</v>
      </c>
      <c r="CI48" s="210">
        <f t="shared" si="56"/>
        <v>-65.662997273021503</v>
      </c>
      <c r="CJ48" s="210">
        <f t="shared" si="56"/>
        <v>-65.662997273021503</v>
      </c>
      <c r="CK48" s="210">
        <f t="shared" si="56"/>
        <v>-65.662997273021503</v>
      </c>
      <c r="CL48" s="210">
        <f t="shared" si="56"/>
        <v>-65.662997273021503</v>
      </c>
      <c r="CM48" s="210">
        <f t="shared" si="56"/>
        <v>-65.662997273021503</v>
      </c>
      <c r="CN48" s="210">
        <f t="shared" si="56"/>
        <v>-65.662997273021503</v>
      </c>
      <c r="CO48" s="210">
        <f t="shared" si="56"/>
        <v>-65.662997273021503</v>
      </c>
      <c r="CP48" s="210">
        <f t="shared" si="56"/>
        <v>-111.40239936841401</v>
      </c>
      <c r="CQ48" s="210">
        <f t="shared" si="56"/>
        <v>-111.40239936841401</v>
      </c>
      <c r="CR48" s="210">
        <f t="shared" si="56"/>
        <v>-111.40239936841401</v>
      </c>
      <c r="CS48" s="210">
        <f t="shared" si="56"/>
        <v>-111.40239936841401</v>
      </c>
      <c r="CT48" s="210">
        <f t="shared" si="56"/>
        <v>-111.40239936841401</v>
      </c>
      <c r="CU48" s="210">
        <f t="shared" si="56"/>
        <v>-111.40239936841401</v>
      </c>
      <c r="CV48" s="210">
        <f t="shared" si="56"/>
        <v>-111.40239936841401</v>
      </c>
      <c r="CW48" s="210">
        <f t="shared" si="56"/>
        <v>-111.40239936841401</v>
      </c>
      <c r="CX48" s="210">
        <f t="shared" si="56"/>
        <v>-111.40239936841401</v>
      </c>
      <c r="CY48" s="210">
        <f t="shared" si="56"/>
        <v>-111.40239936841401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0</v>
      </c>
      <c r="CL49" s="210">
        <f t="shared" si="59"/>
        <v>0</v>
      </c>
      <c r="CM49" s="210">
        <f t="shared" si="59"/>
        <v>0</v>
      </c>
      <c r="CN49" s="210">
        <f t="shared" si="59"/>
        <v>0</v>
      </c>
      <c r="CO49" s="210">
        <f t="shared" si="59"/>
        <v>0</v>
      </c>
      <c r="CP49" s="210">
        <f t="shared" si="59"/>
        <v>4577.2427920166328</v>
      </c>
      <c r="CQ49" s="210">
        <f t="shared" si="59"/>
        <v>4577.2427920166328</v>
      </c>
      <c r="CR49" s="210">
        <f t="shared" si="59"/>
        <v>4577.2427920166328</v>
      </c>
      <c r="CS49" s="210">
        <f t="shared" si="59"/>
        <v>4577.2427920166328</v>
      </c>
      <c r="CT49" s="210">
        <f t="shared" si="59"/>
        <v>4577.2427920166328</v>
      </c>
      <c r="CU49" s="210">
        <f t="shared" si="59"/>
        <v>4577.2427920166328</v>
      </c>
      <c r="CV49" s="210">
        <f t="shared" si="59"/>
        <v>4577.2427920166328</v>
      </c>
      <c r="CW49" s="210">
        <f t="shared" si="59"/>
        <v>4577.2427920166328</v>
      </c>
      <c r="CX49" s="210">
        <f t="shared" si="59"/>
        <v>4577.2427920166328</v>
      </c>
      <c r="CY49" s="210">
        <f t="shared" si="59"/>
        <v>4577.2427920166328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28.245643811495039</v>
      </c>
      <c r="BU50" s="210">
        <f t="shared" si="62"/>
        <v>28.245643811495039</v>
      </c>
      <c r="BV50" s="210">
        <f t="shared" si="62"/>
        <v>28.245643811495039</v>
      </c>
      <c r="BW50" s="210">
        <f t="shared" si="62"/>
        <v>28.245643811495039</v>
      </c>
      <c r="BX50" s="210">
        <f t="shared" si="62"/>
        <v>28.245643811495039</v>
      </c>
      <c r="BY50" s="210">
        <f t="shared" si="62"/>
        <v>28.245643811495039</v>
      </c>
      <c r="BZ50" s="210">
        <f t="shared" si="62"/>
        <v>28.245643811495039</v>
      </c>
      <c r="CA50" s="210">
        <f t="shared" si="62"/>
        <v>28.245643811495039</v>
      </c>
      <c r="CB50" s="210">
        <f t="shared" si="62"/>
        <v>28.245643811495039</v>
      </c>
      <c r="CC50" s="210">
        <f t="shared" si="62"/>
        <v>28.245643811495039</v>
      </c>
      <c r="CD50" s="210">
        <f t="shared" si="62"/>
        <v>28.245643811495039</v>
      </c>
      <c r="CE50" s="210">
        <f t="shared" si="62"/>
        <v>28.245643811495039</v>
      </c>
      <c r="CF50" s="210">
        <f t="shared" si="62"/>
        <v>28.245643811495039</v>
      </c>
      <c r="CG50" s="210">
        <f t="shared" si="62"/>
        <v>28.245643811495039</v>
      </c>
      <c r="CH50" s="210">
        <f t="shared" si="62"/>
        <v>28.245643811495039</v>
      </c>
      <c r="CI50" s="210">
        <f t="shared" si="62"/>
        <v>28.245643811495039</v>
      </c>
      <c r="CJ50" s="210">
        <f t="shared" si="62"/>
        <v>28.245643811495039</v>
      </c>
      <c r="CK50" s="210">
        <f t="shared" si="62"/>
        <v>28.245643811495039</v>
      </c>
      <c r="CL50" s="210">
        <f t="shared" si="62"/>
        <v>28.245643811495039</v>
      </c>
      <c r="CM50" s="210">
        <f t="shared" si="62"/>
        <v>28.245643811495039</v>
      </c>
      <c r="CN50" s="210">
        <f t="shared" si="62"/>
        <v>28.245643811495039</v>
      </c>
      <c r="CO50" s="210">
        <f t="shared" si="62"/>
        <v>28.245643811495039</v>
      </c>
      <c r="CP50" s="210">
        <f t="shared" si="62"/>
        <v>-63.552698575863836</v>
      </c>
      <c r="CQ50" s="210">
        <f t="shared" si="62"/>
        <v>-63.552698575863836</v>
      </c>
      <c r="CR50" s="210">
        <f t="shared" si="62"/>
        <v>-63.552698575863836</v>
      </c>
      <c r="CS50" s="210">
        <f t="shared" si="62"/>
        <v>-63.552698575863836</v>
      </c>
      <c r="CT50" s="210">
        <f t="shared" si="62"/>
        <v>-63.552698575863836</v>
      </c>
      <c r="CU50" s="210">
        <f t="shared" si="62"/>
        <v>-63.552698575863836</v>
      </c>
      <c r="CV50" s="210">
        <f t="shared" si="62"/>
        <v>-63.552698575863836</v>
      </c>
      <c r="CW50" s="210">
        <f t="shared" si="62"/>
        <v>-63.552698575863836</v>
      </c>
      <c r="CX50" s="210">
        <f t="shared" si="62"/>
        <v>-63.552698575863836</v>
      </c>
      <c r="CY50" s="210">
        <f t="shared" si="62"/>
        <v>-63.552698575863836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0</v>
      </c>
      <c r="BI51" s="210">
        <f t="shared" si="64"/>
        <v>0</v>
      </c>
      <c r="BJ51" s="210">
        <f t="shared" si="64"/>
        <v>0</v>
      </c>
      <c r="BK51" s="210">
        <f t="shared" si="64"/>
        <v>0</v>
      </c>
      <c r="BL51" s="210">
        <f t="shared" si="64"/>
        <v>0</v>
      </c>
      <c r="BM51" s="210">
        <f t="shared" si="64"/>
        <v>0</v>
      </c>
      <c r="BN51" s="210">
        <f t="shared" si="64"/>
        <v>0</v>
      </c>
      <c r="BO51" s="210">
        <f t="shared" si="64"/>
        <v>0</v>
      </c>
      <c r="BP51" s="210">
        <f t="shared" si="64"/>
        <v>0</v>
      </c>
      <c r="BQ51" s="210">
        <f t="shared" si="64"/>
        <v>0</v>
      </c>
      <c r="BR51" s="210">
        <f t="shared" ref="BR51:DA51" si="65">IF(BR$22&lt;=$E$24,IF(BR$22&lt;=$D$24,IF(BR$22&lt;=$C$24,IF(BR$22&lt;=$B$24,$B117,($C34-$B34)/($C$24-$B$24)),($D34-$C34)/($D$24-$C$24)),($E34-$D34)/($E$24-$D$24)),$F117)</f>
        <v>0</v>
      </c>
      <c r="BS51" s="210">
        <f t="shared" si="65"/>
        <v>0</v>
      </c>
      <c r="BT51" s="210">
        <f t="shared" si="65"/>
        <v>142.21582898095406</v>
      </c>
      <c r="BU51" s="210">
        <f t="shared" si="65"/>
        <v>142.21582898095406</v>
      </c>
      <c r="BV51" s="210">
        <f t="shared" si="65"/>
        <v>142.21582898095406</v>
      </c>
      <c r="BW51" s="210">
        <f t="shared" si="65"/>
        <v>142.21582898095406</v>
      </c>
      <c r="BX51" s="210">
        <f t="shared" si="65"/>
        <v>142.21582898095406</v>
      </c>
      <c r="BY51" s="210">
        <f t="shared" si="65"/>
        <v>142.21582898095406</v>
      </c>
      <c r="BZ51" s="210">
        <f t="shared" si="65"/>
        <v>142.21582898095406</v>
      </c>
      <c r="CA51" s="210">
        <f t="shared" si="65"/>
        <v>142.21582898095406</v>
      </c>
      <c r="CB51" s="210">
        <f t="shared" si="65"/>
        <v>142.21582898095406</v>
      </c>
      <c r="CC51" s="210">
        <f t="shared" si="65"/>
        <v>142.21582898095406</v>
      </c>
      <c r="CD51" s="210">
        <f t="shared" si="65"/>
        <v>142.21582898095406</v>
      </c>
      <c r="CE51" s="210">
        <f t="shared" si="65"/>
        <v>142.21582898095406</v>
      </c>
      <c r="CF51" s="210">
        <f t="shared" si="65"/>
        <v>142.21582898095406</v>
      </c>
      <c r="CG51" s="210">
        <f t="shared" si="65"/>
        <v>142.21582898095406</v>
      </c>
      <c r="CH51" s="210">
        <f t="shared" si="65"/>
        <v>142.21582898095406</v>
      </c>
      <c r="CI51" s="210">
        <f t="shared" si="65"/>
        <v>142.21582898095406</v>
      </c>
      <c r="CJ51" s="210">
        <f t="shared" si="65"/>
        <v>142.21582898095406</v>
      </c>
      <c r="CK51" s="210">
        <f t="shared" si="65"/>
        <v>142.21582898095406</v>
      </c>
      <c r="CL51" s="210">
        <f t="shared" si="65"/>
        <v>142.21582898095406</v>
      </c>
      <c r="CM51" s="210">
        <f t="shared" si="65"/>
        <v>142.21582898095406</v>
      </c>
      <c r="CN51" s="210">
        <f t="shared" si="65"/>
        <v>142.21582898095406</v>
      </c>
      <c r="CO51" s="210">
        <f t="shared" si="65"/>
        <v>142.21582898095406</v>
      </c>
      <c r="CP51" s="210">
        <f t="shared" si="65"/>
        <v>-319.98561520714662</v>
      </c>
      <c r="CQ51" s="210">
        <f t="shared" si="65"/>
        <v>-319.98561520714662</v>
      </c>
      <c r="CR51" s="210">
        <f t="shared" si="65"/>
        <v>-319.98561520714662</v>
      </c>
      <c r="CS51" s="210">
        <f t="shared" si="65"/>
        <v>-319.98561520714662</v>
      </c>
      <c r="CT51" s="210">
        <f t="shared" si="65"/>
        <v>-319.98561520714662</v>
      </c>
      <c r="CU51" s="210">
        <f t="shared" si="65"/>
        <v>-319.98561520714662</v>
      </c>
      <c r="CV51" s="210">
        <f t="shared" si="65"/>
        <v>-319.98561520714662</v>
      </c>
      <c r="CW51" s="210">
        <f t="shared" si="65"/>
        <v>-319.98561520714662</v>
      </c>
      <c r="CX51" s="210">
        <f t="shared" si="65"/>
        <v>-319.98561520714662</v>
      </c>
      <c r="CY51" s="210">
        <f t="shared" si="65"/>
        <v>-319.98561520714662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0</v>
      </c>
      <c r="AI52" s="210">
        <f t="shared" si="66"/>
        <v>0</v>
      </c>
      <c r="AJ52" s="210">
        <f t="shared" si="66"/>
        <v>0</v>
      </c>
      <c r="AK52" s="210">
        <f t="shared" si="66"/>
        <v>0</v>
      </c>
      <c r="AL52" s="210">
        <f t="shared" ref="AL52:BQ52" si="67">IF(AL$22&lt;=$E$24,IF(AL$22&lt;=$D$24,IF(AL$22&lt;=$C$24,IF(AL$22&lt;=$B$24,$B118,($C35-$B35)/($C$24-$B$24)),($D35-$C35)/($D$24-$C$24)),($E35-$D35)/($E$24-$D$24)),$F118)</f>
        <v>0</v>
      </c>
      <c r="AM52" s="210">
        <f t="shared" si="67"/>
        <v>0</v>
      </c>
      <c r="AN52" s="210">
        <f t="shared" si="67"/>
        <v>0</v>
      </c>
      <c r="AO52" s="210">
        <f t="shared" si="67"/>
        <v>0</v>
      </c>
      <c r="AP52" s="210">
        <f t="shared" si="67"/>
        <v>0</v>
      </c>
      <c r="AQ52" s="210">
        <f t="shared" si="67"/>
        <v>0</v>
      </c>
      <c r="AR52" s="210">
        <f t="shared" si="67"/>
        <v>0</v>
      </c>
      <c r="AS52" s="210">
        <f t="shared" si="67"/>
        <v>0</v>
      </c>
      <c r="AT52" s="210">
        <f t="shared" si="67"/>
        <v>0</v>
      </c>
      <c r="AU52" s="210">
        <f t="shared" si="67"/>
        <v>0</v>
      </c>
      <c r="AV52" s="210">
        <f t="shared" si="67"/>
        <v>0</v>
      </c>
      <c r="AW52" s="210">
        <f t="shared" si="67"/>
        <v>0</v>
      </c>
      <c r="AX52" s="210">
        <f t="shared" si="67"/>
        <v>0</v>
      </c>
      <c r="AY52" s="210">
        <f t="shared" si="67"/>
        <v>0</v>
      </c>
      <c r="AZ52" s="210">
        <f t="shared" si="67"/>
        <v>0</v>
      </c>
      <c r="BA52" s="210">
        <f t="shared" si="67"/>
        <v>0</v>
      </c>
      <c r="BB52" s="210">
        <f t="shared" si="67"/>
        <v>0</v>
      </c>
      <c r="BC52" s="210">
        <f t="shared" si="67"/>
        <v>0</v>
      </c>
      <c r="BD52" s="210">
        <f t="shared" si="67"/>
        <v>0</v>
      </c>
      <c r="BE52" s="210">
        <f t="shared" si="67"/>
        <v>0</v>
      </c>
      <c r="BF52" s="210">
        <f t="shared" si="67"/>
        <v>0</v>
      </c>
      <c r="BG52" s="210">
        <f t="shared" si="67"/>
        <v>0</v>
      </c>
      <c r="BH52" s="210">
        <f t="shared" si="67"/>
        <v>0</v>
      </c>
      <c r="BI52" s="210">
        <f t="shared" si="67"/>
        <v>0</v>
      </c>
      <c r="BJ52" s="210">
        <f t="shared" si="67"/>
        <v>0</v>
      </c>
      <c r="BK52" s="210">
        <f t="shared" si="67"/>
        <v>0</v>
      </c>
      <c r="BL52" s="210">
        <f t="shared" si="67"/>
        <v>0</v>
      </c>
      <c r="BM52" s="210">
        <f t="shared" si="67"/>
        <v>0</v>
      </c>
      <c r="BN52" s="210">
        <f t="shared" si="67"/>
        <v>0</v>
      </c>
      <c r="BO52" s="210">
        <f t="shared" si="67"/>
        <v>0</v>
      </c>
      <c r="BP52" s="210">
        <f t="shared" si="67"/>
        <v>0</v>
      </c>
      <c r="BQ52" s="210">
        <f t="shared" si="67"/>
        <v>0</v>
      </c>
      <c r="BR52" s="210">
        <f t="shared" ref="BR52:DA52" si="68">IF(BR$22&lt;=$E$24,IF(BR$22&lt;=$D$24,IF(BR$22&lt;=$C$24,IF(BR$22&lt;=$B$24,$B118,($C35-$B35)/($C$24-$B$24)),($D35-$C35)/($D$24-$C$24)),($E35-$D35)/($E$24-$D$24)),$F118)</f>
        <v>0</v>
      </c>
      <c r="BS52" s="210">
        <f t="shared" si="68"/>
        <v>0</v>
      </c>
      <c r="BT52" s="210">
        <f t="shared" si="68"/>
        <v>0</v>
      </c>
      <c r="BU52" s="210">
        <f t="shared" si="68"/>
        <v>0</v>
      </c>
      <c r="BV52" s="210">
        <f t="shared" si="68"/>
        <v>0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0</v>
      </c>
      <c r="CB52" s="210">
        <f t="shared" si="68"/>
        <v>0</v>
      </c>
      <c r="CC52" s="210">
        <f t="shared" si="68"/>
        <v>0</v>
      </c>
      <c r="CD52" s="210">
        <f t="shared" si="68"/>
        <v>0</v>
      </c>
      <c r="CE52" s="210">
        <f t="shared" si="68"/>
        <v>0</v>
      </c>
      <c r="CF52" s="210">
        <f t="shared" si="68"/>
        <v>0</v>
      </c>
      <c r="CG52" s="210">
        <f t="shared" si="68"/>
        <v>0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-16.573193867698912</v>
      </c>
      <c r="CQ52" s="210">
        <f t="shared" si="68"/>
        <v>-16.573193867698912</v>
      </c>
      <c r="CR52" s="210">
        <f t="shared" si="68"/>
        <v>-16.573193867698912</v>
      </c>
      <c r="CS52" s="210">
        <f t="shared" si="68"/>
        <v>-16.573193867698912</v>
      </c>
      <c r="CT52" s="210">
        <f t="shared" si="68"/>
        <v>-16.573193867698912</v>
      </c>
      <c r="CU52" s="210">
        <f t="shared" si="68"/>
        <v>-16.573193867698912</v>
      </c>
      <c r="CV52" s="210">
        <f t="shared" si="68"/>
        <v>-16.573193867698912</v>
      </c>
      <c r="CW52" s="210">
        <f t="shared" si="68"/>
        <v>-16.573193867698912</v>
      </c>
      <c r="CX52" s="210">
        <f t="shared" si="68"/>
        <v>-16.573193867698912</v>
      </c>
      <c r="CY52" s="210">
        <f t="shared" si="68"/>
        <v>-16.573193867698912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0</v>
      </c>
      <c r="BI53" s="210">
        <f t="shared" si="70"/>
        <v>0</v>
      </c>
      <c r="BJ53" s="210">
        <f t="shared" si="70"/>
        <v>0</v>
      </c>
      <c r="BK53" s="210">
        <f t="shared" si="70"/>
        <v>0</v>
      </c>
      <c r="BL53" s="210">
        <f t="shared" si="70"/>
        <v>0</v>
      </c>
      <c r="BM53" s="210">
        <f t="shared" si="70"/>
        <v>0</v>
      </c>
      <c r="BN53" s="210">
        <f t="shared" si="70"/>
        <v>0</v>
      </c>
      <c r="BO53" s="210">
        <f t="shared" si="70"/>
        <v>0</v>
      </c>
      <c r="BP53" s="210">
        <f t="shared" si="70"/>
        <v>0</v>
      </c>
      <c r="BQ53" s="210">
        <f t="shared" si="70"/>
        <v>0</v>
      </c>
      <c r="BR53" s="210">
        <f t="shared" ref="BR53:DA53" si="71">IF(BR$22&lt;=$E$24,IF(BR$22&lt;=$D$24,IF(BR$22&lt;=$C$24,IF(BR$22&lt;=$B$24,$B119,($C36-$B36)/($C$24-$B$24)),($D36-$C36)/($D$24-$C$24)),($E36-$D36)/($E$24-$D$24)),$F119)</f>
        <v>0</v>
      </c>
      <c r="BS53" s="210">
        <f t="shared" si="71"/>
        <v>0</v>
      </c>
      <c r="BT53" s="210">
        <f t="shared" si="71"/>
        <v>0</v>
      </c>
      <c r="BU53" s="210">
        <f t="shared" si="71"/>
        <v>0</v>
      </c>
      <c r="BV53" s="210">
        <f t="shared" si="71"/>
        <v>0</v>
      </c>
      <c r="BW53" s="210">
        <f t="shared" si="71"/>
        <v>0</v>
      </c>
      <c r="BX53" s="210">
        <f t="shared" si="71"/>
        <v>0</v>
      </c>
      <c r="BY53" s="210">
        <f t="shared" si="71"/>
        <v>0</v>
      </c>
      <c r="BZ53" s="210">
        <f t="shared" si="71"/>
        <v>0</v>
      </c>
      <c r="CA53" s="210">
        <f t="shared" si="71"/>
        <v>0</v>
      </c>
      <c r="CB53" s="210">
        <f t="shared" si="71"/>
        <v>0</v>
      </c>
      <c r="CC53" s="210">
        <f t="shared" si="71"/>
        <v>0</v>
      </c>
      <c r="CD53" s="210">
        <f t="shared" si="71"/>
        <v>0</v>
      </c>
      <c r="CE53" s="210">
        <f t="shared" si="71"/>
        <v>0</v>
      </c>
      <c r="CF53" s="210">
        <f t="shared" si="71"/>
        <v>0</v>
      </c>
      <c r="CG53" s="210">
        <f t="shared" si="71"/>
        <v>0</v>
      </c>
      <c r="CH53" s="210">
        <f t="shared" si="71"/>
        <v>0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-2450.6552641204121</v>
      </c>
      <c r="CQ53" s="210">
        <f t="shared" si="71"/>
        <v>-2450.6552641204121</v>
      </c>
      <c r="CR53" s="210">
        <f t="shared" si="71"/>
        <v>-2450.6552641204121</v>
      </c>
      <c r="CS53" s="210">
        <f t="shared" si="71"/>
        <v>-2450.6552641204121</v>
      </c>
      <c r="CT53" s="210">
        <f t="shared" si="71"/>
        <v>-2450.6552641204121</v>
      </c>
      <c r="CU53" s="210">
        <f t="shared" si="71"/>
        <v>-2450.6552641204121</v>
      </c>
      <c r="CV53" s="210">
        <f t="shared" si="71"/>
        <v>-2450.6552641204121</v>
      </c>
      <c r="CW53" s="210">
        <f t="shared" si="71"/>
        <v>-2450.6552641204121</v>
      </c>
      <c r="CX53" s="210">
        <f t="shared" si="71"/>
        <v>-2450.6552641204121</v>
      </c>
      <c r="CY53" s="210">
        <f t="shared" si="71"/>
        <v>-2450.6552641204121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0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3956.4575360895724</v>
      </c>
      <c r="G59" s="204">
        <f t="shared" si="75"/>
        <v>3956.4575360895724</v>
      </c>
      <c r="H59" s="204">
        <f t="shared" si="75"/>
        <v>3956.4575360895724</v>
      </c>
      <c r="I59" s="204">
        <f t="shared" si="75"/>
        <v>3956.4575360895724</v>
      </c>
      <c r="J59" s="204">
        <f t="shared" si="75"/>
        <v>3956.4575360895724</v>
      </c>
      <c r="K59" s="204">
        <f t="shared" si="75"/>
        <v>3956.4575360895724</v>
      </c>
      <c r="L59" s="204">
        <f t="shared" si="75"/>
        <v>3956.4575360895724</v>
      </c>
      <c r="M59" s="204">
        <f t="shared" si="75"/>
        <v>3956.4575360895724</v>
      </c>
      <c r="N59" s="204">
        <f t="shared" si="75"/>
        <v>3956.4575360895724</v>
      </c>
      <c r="O59" s="204">
        <f t="shared" si="75"/>
        <v>3956.4575360895724</v>
      </c>
      <c r="P59" s="204">
        <f t="shared" si="75"/>
        <v>3956.4575360895724</v>
      </c>
      <c r="Q59" s="204">
        <f t="shared" si="75"/>
        <v>3956.4575360895724</v>
      </c>
      <c r="R59" s="204">
        <f t="shared" si="75"/>
        <v>3956.4575360895724</v>
      </c>
      <c r="S59" s="204">
        <f t="shared" si="75"/>
        <v>3956.4575360895724</v>
      </c>
      <c r="T59" s="204">
        <f t="shared" si="75"/>
        <v>3956.4575360895724</v>
      </c>
      <c r="U59" s="204">
        <f t="shared" si="75"/>
        <v>3956.4575360895724</v>
      </c>
      <c r="V59" s="204">
        <f t="shared" si="75"/>
        <v>3956.4575360895724</v>
      </c>
      <c r="W59" s="204">
        <f t="shared" si="75"/>
        <v>3956.4575360895724</v>
      </c>
      <c r="X59" s="204">
        <f t="shared" si="75"/>
        <v>3956.4575360895724</v>
      </c>
      <c r="Y59" s="204">
        <f t="shared" si="75"/>
        <v>3956.4575360895724</v>
      </c>
      <c r="Z59" s="204">
        <f t="shared" si="75"/>
        <v>3956.4575360895724</v>
      </c>
      <c r="AA59" s="204">
        <f t="shared" si="75"/>
        <v>3956.4575360895724</v>
      </c>
      <c r="AB59" s="204">
        <f t="shared" si="75"/>
        <v>3956.4575360895724</v>
      </c>
      <c r="AC59" s="204">
        <f t="shared" si="75"/>
        <v>3956.4575360895724</v>
      </c>
      <c r="AD59" s="204">
        <f t="shared" si="75"/>
        <v>3956.4575360895724</v>
      </c>
      <c r="AE59" s="204">
        <f t="shared" si="75"/>
        <v>3956.4575360895724</v>
      </c>
      <c r="AF59" s="204">
        <f t="shared" si="75"/>
        <v>3967.0771574856803</v>
      </c>
      <c r="AG59" s="204">
        <f t="shared" si="75"/>
        <v>3977.6967788817888</v>
      </c>
      <c r="AH59" s="204">
        <f t="shared" si="75"/>
        <v>3988.3164002778967</v>
      </c>
      <c r="AI59" s="204">
        <f t="shared" si="75"/>
        <v>3998.9360216740047</v>
      </c>
      <c r="AJ59" s="204">
        <f t="shared" si="75"/>
        <v>4009.5556430701131</v>
      </c>
      <c r="AK59" s="204">
        <f t="shared" si="75"/>
        <v>4020.1752644662211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4030.794885862329</v>
      </c>
      <c r="AM59" s="204">
        <f t="shared" si="76"/>
        <v>4041.4145072584374</v>
      </c>
      <c r="AN59" s="204">
        <f t="shared" si="76"/>
        <v>4052.0341286545454</v>
      </c>
      <c r="AO59" s="204">
        <f t="shared" si="76"/>
        <v>4062.6537500506538</v>
      </c>
      <c r="AP59" s="204">
        <f t="shared" si="76"/>
        <v>4073.2733714467618</v>
      </c>
      <c r="AQ59" s="204">
        <f t="shared" si="76"/>
        <v>4083.8929928428697</v>
      </c>
      <c r="AR59" s="204">
        <f t="shared" si="76"/>
        <v>4094.5126142389781</v>
      </c>
      <c r="AS59" s="204">
        <f t="shared" si="76"/>
        <v>4105.1322356350856</v>
      </c>
      <c r="AT59" s="204">
        <f t="shared" si="76"/>
        <v>4115.751857031194</v>
      </c>
      <c r="AU59" s="204">
        <f t="shared" si="76"/>
        <v>4126.3714784273025</v>
      </c>
      <c r="AV59" s="204">
        <f t="shared" si="76"/>
        <v>4136.99109982341</v>
      </c>
      <c r="AW59" s="204">
        <f t="shared" si="76"/>
        <v>4147.6107212195184</v>
      </c>
      <c r="AX59" s="204">
        <f t="shared" si="76"/>
        <v>4158.2303426156268</v>
      </c>
      <c r="AY59" s="204">
        <f t="shared" si="76"/>
        <v>4168.8499640117352</v>
      </c>
      <c r="AZ59" s="204">
        <f t="shared" si="76"/>
        <v>4179.4695854078427</v>
      </c>
      <c r="BA59" s="204">
        <f t="shared" si="76"/>
        <v>4190.0892068039511</v>
      </c>
      <c r="BB59" s="204">
        <f t="shared" si="76"/>
        <v>4200.7088282000595</v>
      </c>
      <c r="BC59" s="204">
        <f t="shared" si="76"/>
        <v>4211.328449596167</v>
      </c>
      <c r="BD59" s="204">
        <f t="shared" si="76"/>
        <v>4221.9480709922755</v>
      </c>
      <c r="BE59" s="204">
        <f t="shared" si="76"/>
        <v>4232.5676923883839</v>
      </c>
      <c r="BF59" s="204">
        <f t="shared" si="76"/>
        <v>4243.1873137844914</v>
      </c>
      <c r="BG59" s="204">
        <f t="shared" si="76"/>
        <v>4253.8069351805998</v>
      </c>
      <c r="BH59" s="204">
        <f t="shared" si="76"/>
        <v>4264.4265565767082</v>
      </c>
      <c r="BI59" s="204">
        <f t="shared" si="76"/>
        <v>4275.0461779728157</v>
      </c>
      <c r="BJ59" s="204">
        <f t="shared" si="76"/>
        <v>4285.6657993689241</v>
      </c>
      <c r="BK59" s="204">
        <f t="shared" si="76"/>
        <v>4296.2854207650325</v>
      </c>
      <c r="BL59" s="204">
        <f t="shared" si="76"/>
        <v>4306.90504216114</v>
      </c>
      <c r="BM59" s="204">
        <f t="shared" si="76"/>
        <v>4317.5246635572485</v>
      </c>
      <c r="BN59" s="204">
        <f t="shared" si="76"/>
        <v>4328.1442849533569</v>
      </c>
      <c r="BO59" s="204">
        <f t="shared" si="76"/>
        <v>4338.7639063494644</v>
      </c>
      <c r="BP59" s="204">
        <f t="shared" si="76"/>
        <v>4349.3835277455728</v>
      </c>
      <c r="BQ59" s="204">
        <f t="shared" si="76"/>
        <v>4360.0031491416812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4370.6227705377887</v>
      </c>
      <c r="BS59" s="204">
        <f t="shared" si="77"/>
        <v>4381.2423919338971</v>
      </c>
      <c r="BT59" s="204">
        <f t="shared" si="77"/>
        <v>4457.5366735472435</v>
      </c>
      <c r="BU59" s="204">
        <f t="shared" si="77"/>
        <v>4533.8309551605889</v>
      </c>
      <c r="BV59" s="204">
        <f t="shared" si="77"/>
        <v>4610.1252367739353</v>
      </c>
      <c r="BW59" s="204">
        <f t="shared" si="77"/>
        <v>4686.4195183872816</v>
      </c>
      <c r="BX59" s="204">
        <f t="shared" si="77"/>
        <v>4762.713800000628</v>
      </c>
      <c r="BY59" s="204">
        <f t="shared" si="77"/>
        <v>4839.0080816139734</v>
      </c>
      <c r="BZ59" s="204">
        <f t="shared" si="77"/>
        <v>4915.3023632273198</v>
      </c>
      <c r="CA59" s="204">
        <f t="shared" si="77"/>
        <v>4991.5966448406662</v>
      </c>
      <c r="CB59" s="204">
        <f t="shared" si="77"/>
        <v>5067.8909264540125</v>
      </c>
      <c r="CC59" s="204">
        <f t="shared" si="77"/>
        <v>5144.185208067358</v>
      </c>
      <c r="CD59" s="204">
        <f t="shared" si="77"/>
        <v>5220.4794896807043</v>
      </c>
      <c r="CE59" s="204">
        <f t="shared" si="77"/>
        <v>5296.7737712940507</v>
      </c>
      <c r="CF59" s="204">
        <f t="shared" si="77"/>
        <v>5373.0680529073961</v>
      </c>
      <c r="CG59" s="204">
        <f t="shared" si="77"/>
        <v>5449.3623345207425</v>
      </c>
      <c r="CH59" s="204">
        <f t="shared" si="77"/>
        <v>5525.6566161340888</v>
      </c>
      <c r="CI59" s="204">
        <f t="shared" si="77"/>
        <v>5601.9508977474343</v>
      </c>
      <c r="CJ59" s="204">
        <f t="shared" si="77"/>
        <v>5678.2451793607806</v>
      </c>
      <c r="CK59" s="204">
        <f t="shared" si="77"/>
        <v>5754.539460974127</v>
      </c>
      <c r="CL59" s="204">
        <f t="shared" si="77"/>
        <v>5830.8337425874734</v>
      </c>
      <c r="CM59" s="204">
        <f t="shared" si="77"/>
        <v>5907.1280242008197</v>
      </c>
      <c r="CN59" s="204">
        <f t="shared" si="77"/>
        <v>5983.4223058141652</v>
      </c>
      <c r="CO59" s="204">
        <f t="shared" si="77"/>
        <v>6059.7165874275115</v>
      </c>
      <c r="CP59" s="204">
        <f t="shared" si="77"/>
        <v>6101.3127512950723</v>
      </c>
      <c r="CQ59" s="204">
        <f t="shared" si="77"/>
        <v>6108.2107974168484</v>
      </c>
      <c r="CR59" s="204">
        <f t="shared" si="77"/>
        <v>6115.1088435386246</v>
      </c>
      <c r="CS59" s="204">
        <f t="shared" si="77"/>
        <v>6122.0068896604007</v>
      </c>
      <c r="CT59" s="204">
        <f t="shared" si="77"/>
        <v>6128.9049357821768</v>
      </c>
      <c r="CU59" s="204">
        <f t="shared" si="77"/>
        <v>6135.8029819039539</v>
      </c>
      <c r="CV59" s="204">
        <f t="shared" si="77"/>
        <v>6142.70102802573</v>
      </c>
      <c r="CW59" s="204">
        <f t="shared" si="77"/>
        <v>6149.5990741475061</v>
      </c>
      <c r="CX59" s="204">
        <f t="shared" si="77"/>
        <v>6156.4971202692823</v>
      </c>
      <c r="CY59" s="204">
        <f t="shared" si="77"/>
        <v>6163.3951663910584</v>
      </c>
      <c r="CZ59" s="204">
        <f t="shared" si="77"/>
        <v>6220.0241894519468</v>
      </c>
      <c r="DA59" s="204">
        <f t="shared" si="77"/>
        <v>6326.3841894519464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30.961571101061871</v>
      </c>
      <c r="AG60" s="204">
        <f t="shared" si="78"/>
        <v>61.923142202123742</v>
      </c>
      <c r="AH60" s="204">
        <f t="shared" si="78"/>
        <v>92.884713303185606</v>
      </c>
      <c r="AI60" s="204">
        <f t="shared" si="78"/>
        <v>123.84628440424748</v>
      </c>
      <c r="AJ60" s="204">
        <f t="shared" si="78"/>
        <v>154.80785550530936</v>
      </c>
      <c r="AK60" s="204">
        <f t="shared" si="78"/>
        <v>185.76942660637121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216.73099770743309</v>
      </c>
      <c r="AM60" s="204">
        <f t="shared" si="79"/>
        <v>247.69256880849497</v>
      </c>
      <c r="AN60" s="204">
        <f t="shared" si="79"/>
        <v>278.65413990955682</v>
      </c>
      <c r="AO60" s="204">
        <f t="shared" si="79"/>
        <v>309.61571101061872</v>
      </c>
      <c r="AP60" s="204">
        <f t="shared" si="79"/>
        <v>340.57728211168057</v>
      </c>
      <c r="AQ60" s="204">
        <f t="shared" si="79"/>
        <v>371.53885321274242</v>
      </c>
      <c r="AR60" s="204">
        <f t="shared" si="79"/>
        <v>402.50042431380433</v>
      </c>
      <c r="AS60" s="204">
        <f t="shared" si="79"/>
        <v>433.46199541486618</v>
      </c>
      <c r="AT60" s="204">
        <f t="shared" si="79"/>
        <v>464.42356651592809</v>
      </c>
      <c r="AU60" s="204">
        <f t="shared" si="79"/>
        <v>495.38513761698994</v>
      </c>
      <c r="AV60" s="204">
        <f t="shared" si="79"/>
        <v>526.34670871805179</v>
      </c>
      <c r="AW60" s="204">
        <f t="shared" si="79"/>
        <v>557.30827981911364</v>
      </c>
      <c r="AX60" s="204">
        <f t="shared" si="79"/>
        <v>588.2698509201756</v>
      </c>
      <c r="AY60" s="204">
        <f t="shared" si="79"/>
        <v>619.23142202123745</v>
      </c>
      <c r="AZ60" s="204">
        <f t="shared" si="79"/>
        <v>650.1929931222993</v>
      </c>
      <c r="BA60" s="204">
        <f t="shared" si="79"/>
        <v>681.15456422336115</v>
      </c>
      <c r="BB60" s="204">
        <f t="shared" si="79"/>
        <v>712.116135324423</v>
      </c>
      <c r="BC60" s="204">
        <f t="shared" si="79"/>
        <v>743.07770642548485</v>
      </c>
      <c r="BD60" s="204">
        <f t="shared" si="79"/>
        <v>774.03927752654681</v>
      </c>
      <c r="BE60" s="204">
        <f t="shared" si="79"/>
        <v>805.00084862760866</v>
      </c>
      <c r="BF60" s="204">
        <f t="shared" si="79"/>
        <v>835.96241972867051</v>
      </c>
      <c r="BG60" s="204">
        <f t="shared" si="79"/>
        <v>866.92399082973236</v>
      </c>
      <c r="BH60" s="204">
        <f t="shared" si="79"/>
        <v>897.88556193079421</v>
      </c>
      <c r="BI60" s="204">
        <f t="shared" si="79"/>
        <v>928.84713303185617</v>
      </c>
      <c r="BJ60" s="204">
        <f t="shared" si="79"/>
        <v>959.80870413291802</v>
      </c>
      <c r="BK60" s="204">
        <f t="shared" si="79"/>
        <v>990.77027523397987</v>
      </c>
      <c r="BL60" s="204">
        <f t="shared" si="79"/>
        <v>1021.7318463350417</v>
      </c>
      <c r="BM60" s="204">
        <f t="shared" si="79"/>
        <v>1052.6934174361036</v>
      </c>
      <c r="BN60" s="204">
        <f t="shared" si="79"/>
        <v>1083.6549885371655</v>
      </c>
      <c r="BO60" s="204">
        <f t="shared" si="79"/>
        <v>1114.6165596382273</v>
      </c>
      <c r="BP60" s="204">
        <f t="shared" si="79"/>
        <v>1145.5781307392892</v>
      </c>
      <c r="BQ60" s="204">
        <f t="shared" si="79"/>
        <v>1176.5397018403512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1207.5012729414129</v>
      </c>
      <c r="BS60" s="204">
        <f t="shared" si="80"/>
        <v>1238.4628440424749</v>
      </c>
      <c r="BT60" s="204">
        <f t="shared" si="80"/>
        <v>1421.8290865017143</v>
      </c>
      <c r="BU60" s="204">
        <f t="shared" si="80"/>
        <v>1605.1953289609537</v>
      </c>
      <c r="BV60" s="204">
        <f t="shared" si="80"/>
        <v>1788.5615714201931</v>
      </c>
      <c r="BW60" s="204">
        <f t="shared" si="80"/>
        <v>1971.9278138794325</v>
      </c>
      <c r="BX60" s="204">
        <f t="shared" si="80"/>
        <v>2155.2940563386719</v>
      </c>
      <c r="BY60" s="204">
        <f t="shared" si="80"/>
        <v>2338.6602987979113</v>
      </c>
      <c r="BZ60" s="204">
        <f t="shared" si="80"/>
        <v>2522.0265412571507</v>
      </c>
      <c r="CA60" s="204">
        <f t="shared" si="80"/>
        <v>2705.3927837163901</v>
      </c>
      <c r="CB60" s="204">
        <f t="shared" si="80"/>
        <v>2888.7590261756295</v>
      </c>
      <c r="CC60" s="204">
        <f t="shared" si="80"/>
        <v>3072.1252686348689</v>
      </c>
      <c r="CD60" s="204">
        <f t="shared" si="80"/>
        <v>3255.4915110941083</v>
      </c>
      <c r="CE60" s="204">
        <f t="shared" si="80"/>
        <v>3438.8577535533473</v>
      </c>
      <c r="CF60" s="204">
        <f t="shared" si="80"/>
        <v>3622.2239960125867</v>
      </c>
      <c r="CG60" s="204">
        <f t="shared" si="80"/>
        <v>3805.5902384718261</v>
      </c>
      <c r="CH60" s="204">
        <f t="shared" si="80"/>
        <v>3988.9564809310655</v>
      </c>
      <c r="CI60" s="204">
        <f t="shared" si="80"/>
        <v>4172.3227233903053</v>
      </c>
      <c r="CJ60" s="204">
        <f t="shared" si="80"/>
        <v>4355.6889658495438</v>
      </c>
      <c r="CK60" s="204">
        <f t="shared" si="80"/>
        <v>4539.0552083087841</v>
      </c>
      <c r="CL60" s="204">
        <f t="shared" si="80"/>
        <v>4722.4214507680226</v>
      </c>
      <c r="CM60" s="204">
        <f t="shared" si="80"/>
        <v>4905.7876932272629</v>
      </c>
      <c r="CN60" s="204">
        <f t="shared" si="80"/>
        <v>5089.1539356865014</v>
      </c>
      <c r="CO60" s="204">
        <f t="shared" si="80"/>
        <v>5272.5201781457417</v>
      </c>
      <c r="CP60" s="204">
        <f t="shared" si="80"/>
        <v>5476.1571142843841</v>
      </c>
      <c r="CQ60" s="204">
        <f t="shared" si="80"/>
        <v>5700.0647441024303</v>
      </c>
      <c r="CR60" s="204">
        <f t="shared" si="80"/>
        <v>5923.9723739204765</v>
      </c>
      <c r="CS60" s="204">
        <f t="shared" si="80"/>
        <v>6147.8800037385217</v>
      </c>
      <c r="CT60" s="204">
        <f t="shared" si="80"/>
        <v>6371.7876335565679</v>
      </c>
      <c r="CU60" s="204">
        <f t="shared" si="80"/>
        <v>6595.6952633746141</v>
      </c>
      <c r="CV60" s="204">
        <f t="shared" si="80"/>
        <v>6819.6028931926603</v>
      </c>
      <c r="CW60" s="204">
        <f t="shared" si="80"/>
        <v>7043.5105230107056</v>
      </c>
      <c r="CX60" s="204">
        <f t="shared" si="80"/>
        <v>7267.4181528287518</v>
      </c>
      <c r="CY60" s="204">
        <f t="shared" si="80"/>
        <v>7491.325782646798</v>
      </c>
      <c r="CZ60" s="204">
        <f t="shared" si="80"/>
        <v>7965.7095975558213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8690.569597555821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279.81896093684895</v>
      </c>
      <c r="G61" s="204">
        <f t="shared" si="81"/>
        <v>279.81896093684895</v>
      </c>
      <c r="H61" s="204">
        <f t="shared" si="81"/>
        <v>279.81896093684895</v>
      </c>
      <c r="I61" s="204">
        <f t="shared" si="81"/>
        <v>279.81896093684895</v>
      </c>
      <c r="J61" s="204">
        <f t="shared" si="81"/>
        <v>279.81896093684895</v>
      </c>
      <c r="K61" s="204">
        <f t="shared" si="81"/>
        <v>279.81896093684895</v>
      </c>
      <c r="L61" s="204">
        <f t="shared" si="81"/>
        <v>279.81896093684895</v>
      </c>
      <c r="M61" s="204">
        <f t="shared" si="81"/>
        <v>279.81896093684895</v>
      </c>
      <c r="N61" s="204">
        <f t="shared" si="81"/>
        <v>279.81896093684895</v>
      </c>
      <c r="O61" s="204">
        <f t="shared" si="81"/>
        <v>279.81896093684895</v>
      </c>
      <c r="P61" s="204">
        <f t="shared" si="81"/>
        <v>279.81896093684895</v>
      </c>
      <c r="Q61" s="204">
        <f t="shared" si="81"/>
        <v>279.81896093684895</v>
      </c>
      <c r="R61" s="204">
        <f t="shared" si="81"/>
        <v>279.81896093684895</v>
      </c>
      <c r="S61" s="204">
        <f t="shared" si="81"/>
        <v>279.81896093684895</v>
      </c>
      <c r="T61" s="204">
        <f t="shared" si="81"/>
        <v>279.81896093684895</v>
      </c>
      <c r="U61" s="204">
        <f t="shared" si="81"/>
        <v>279.81896093684895</v>
      </c>
      <c r="V61" s="204">
        <f t="shared" si="81"/>
        <v>279.81896093684895</v>
      </c>
      <c r="W61" s="204">
        <f t="shared" si="81"/>
        <v>279.81896093684895</v>
      </c>
      <c r="X61" s="204">
        <f t="shared" si="81"/>
        <v>279.81896093684895</v>
      </c>
      <c r="Y61" s="204">
        <f t="shared" si="81"/>
        <v>279.81896093684895</v>
      </c>
      <c r="Z61" s="204">
        <f t="shared" si="81"/>
        <v>279.81896093684895</v>
      </c>
      <c r="AA61" s="204">
        <f t="shared" si="81"/>
        <v>279.81896093684895</v>
      </c>
      <c r="AB61" s="204">
        <f t="shared" si="81"/>
        <v>279.81896093684895</v>
      </c>
      <c r="AC61" s="204">
        <f t="shared" si="81"/>
        <v>279.81896093684895</v>
      </c>
      <c r="AD61" s="204">
        <f t="shared" si="81"/>
        <v>279.81896093684895</v>
      </c>
      <c r="AE61" s="204">
        <f t="shared" si="81"/>
        <v>279.81896093684895</v>
      </c>
      <c r="AF61" s="204">
        <f t="shared" si="81"/>
        <v>283.63482558397311</v>
      </c>
      <c r="AG61" s="204">
        <f t="shared" si="81"/>
        <v>287.45069023109733</v>
      </c>
      <c r="AH61" s="204">
        <f t="shared" si="81"/>
        <v>291.26655487822148</v>
      </c>
      <c r="AI61" s="204">
        <f t="shared" si="81"/>
        <v>295.08241952534564</v>
      </c>
      <c r="AJ61" s="204">
        <f t="shared" si="81"/>
        <v>298.89828417246986</v>
      </c>
      <c r="AK61" s="204">
        <f t="shared" si="81"/>
        <v>302.71414881959402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306.53001346671817</v>
      </c>
      <c r="AM61" s="204">
        <f t="shared" si="82"/>
        <v>310.34587811384239</v>
      </c>
      <c r="AN61" s="204">
        <f t="shared" si="82"/>
        <v>314.16174276096655</v>
      </c>
      <c r="AO61" s="204">
        <f t="shared" si="82"/>
        <v>317.97760740809071</v>
      </c>
      <c r="AP61" s="204">
        <f t="shared" si="82"/>
        <v>321.79347205521492</v>
      </c>
      <c r="AQ61" s="204">
        <f t="shared" si="82"/>
        <v>325.60933670233908</v>
      </c>
      <c r="AR61" s="204">
        <f t="shared" si="82"/>
        <v>329.42520134946324</v>
      </c>
      <c r="AS61" s="204">
        <f t="shared" si="82"/>
        <v>333.24106599658745</v>
      </c>
      <c r="AT61" s="204">
        <f t="shared" si="82"/>
        <v>337.05693064371161</v>
      </c>
      <c r="AU61" s="204">
        <f t="shared" si="82"/>
        <v>340.87279529083577</v>
      </c>
      <c r="AV61" s="204">
        <f t="shared" si="82"/>
        <v>344.68865993795998</v>
      </c>
      <c r="AW61" s="204">
        <f t="shared" si="82"/>
        <v>348.50452458508414</v>
      </c>
      <c r="AX61" s="204">
        <f t="shared" si="82"/>
        <v>352.3203892322083</v>
      </c>
      <c r="AY61" s="204">
        <f t="shared" si="82"/>
        <v>356.13625387933246</v>
      </c>
      <c r="AZ61" s="204">
        <f t="shared" si="82"/>
        <v>359.95211852645667</v>
      </c>
      <c r="BA61" s="204">
        <f t="shared" si="82"/>
        <v>363.76798317358083</v>
      </c>
      <c r="BB61" s="204">
        <f t="shared" si="82"/>
        <v>367.58384782070505</v>
      </c>
      <c r="BC61" s="204">
        <f t="shared" si="82"/>
        <v>371.3997124678292</v>
      </c>
      <c r="BD61" s="204">
        <f t="shared" si="82"/>
        <v>375.21557711495336</v>
      </c>
      <c r="BE61" s="204">
        <f t="shared" si="82"/>
        <v>379.03144176207752</v>
      </c>
      <c r="BF61" s="204">
        <f t="shared" si="82"/>
        <v>382.84730640920174</v>
      </c>
      <c r="BG61" s="204">
        <f t="shared" si="82"/>
        <v>386.66317105632589</v>
      </c>
      <c r="BH61" s="204">
        <f t="shared" si="82"/>
        <v>390.47903570345011</v>
      </c>
      <c r="BI61" s="204">
        <f t="shared" si="82"/>
        <v>394.29490035057427</v>
      </c>
      <c r="BJ61" s="204">
        <f t="shared" si="82"/>
        <v>398.11076499769842</v>
      </c>
      <c r="BK61" s="204">
        <f t="shared" si="82"/>
        <v>401.92662964482258</v>
      </c>
      <c r="BL61" s="204">
        <f t="shared" si="82"/>
        <v>405.7424942919468</v>
      </c>
      <c r="BM61" s="204">
        <f t="shared" si="82"/>
        <v>409.55835893907096</v>
      </c>
      <c r="BN61" s="204">
        <f t="shared" si="82"/>
        <v>413.37422358619517</v>
      </c>
      <c r="BO61" s="204">
        <f t="shared" si="82"/>
        <v>417.19008823331933</v>
      </c>
      <c r="BP61" s="204">
        <f t="shared" si="82"/>
        <v>421.00595288044349</v>
      </c>
      <c r="BQ61" s="204">
        <f t="shared" si="82"/>
        <v>424.82181752756765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428.63768217469186</v>
      </c>
      <c r="BS61" s="204">
        <f t="shared" si="83"/>
        <v>432.45354682181602</v>
      </c>
      <c r="BT61" s="204">
        <f t="shared" si="83"/>
        <v>446.35191207754951</v>
      </c>
      <c r="BU61" s="204">
        <f t="shared" si="83"/>
        <v>460.25027733328301</v>
      </c>
      <c r="BV61" s="204">
        <f t="shared" si="83"/>
        <v>474.1486425890165</v>
      </c>
      <c r="BW61" s="204">
        <f t="shared" si="83"/>
        <v>488.04700784474994</v>
      </c>
      <c r="BX61" s="204">
        <f t="shared" si="83"/>
        <v>501.94537310048349</v>
      </c>
      <c r="BY61" s="204">
        <f t="shared" si="83"/>
        <v>515.84373835621693</v>
      </c>
      <c r="BZ61" s="204">
        <f t="shared" si="83"/>
        <v>529.74210361195037</v>
      </c>
      <c r="CA61" s="204">
        <f t="shared" si="83"/>
        <v>543.64046886768392</v>
      </c>
      <c r="CB61" s="204">
        <f t="shared" si="83"/>
        <v>557.53883412341747</v>
      </c>
      <c r="CC61" s="204">
        <f t="shared" si="83"/>
        <v>571.43719937915091</v>
      </c>
      <c r="CD61" s="204">
        <f t="shared" si="83"/>
        <v>585.33556463488435</v>
      </c>
      <c r="CE61" s="204">
        <f t="shared" si="83"/>
        <v>599.2339298906179</v>
      </c>
      <c r="CF61" s="204">
        <f t="shared" si="83"/>
        <v>613.13229514635134</v>
      </c>
      <c r="CG61" s="204">
        <f t="shared" si="83"/>
        <v>627.03066040208478</v>
      </c>
      <c r="CH61" s="204">
        <f t="shared" si="83"/>
        <v>640.92902565781833</v>
      </c>
      <c r="CI61" s="204">
        <f t="shared" si="83"/>
        <v>654.82739091355188</v>
      </c>
      <c r="CJ61" s="204">
        <f t="shared" si="83"/>
        <v>668.72575616928532</v>
      </c>
      <c r="CK61" s="204">
        <f t="shared" si="83"/>
        <v>682.62412142501876</v>
      </c>
      <c r="CL61" s="204">
        <f t="shared" si="83"/>
        <v>696.52248668075231</v>
      </c>
      <c r="CM61" s="204">
        <f t="shared" si="83"/>
        <v>710.42085193648586</v>
      </c>
      <c r="CN61" s="204">
        <f t="shared" si="83"/>
        <v>724.31921719221918</v>
      </c>
      <c r="CO61" s="204">
        <f t="shared" si="83"/>
        <v>738.21758244795274</v>
      </c>
      <c r="CP61" s="204">
        <f t="shared" si="83"/>
        <v>804.95154812959004</v>
      </c>
      <c r="CQ61" s="204">
        <f t="shared" si="83"/>
        <v>924.52111423713109</v>
      </c>
      <c r="CR61" s="204">
        <f t="shared" si="83"/>
        <v>1044.0906803446724</v>
      </c>
      <c r="CS61" s="204">
        <f t="shared" si="83"/>
        <v>1163.6602464522134</v>
      </c>
      <c r="CT61" s="204">
        <f t="shared" si="83"/>
        <v>1283.2298125597545</v>
      </c>
      <c r="CU61" s="204">
        <f t="shared" si="83"/>
        <v>1402.7993786672955</v>
      </c>
      <c r="CV61" s="204">
        <f t="shared" si="83"/>
        <v>1522.3689447748366</v>
      </c>
      <c r="CW61" s="204">
        <f t="shared" si="83"/>
        <v>1641.9385108823776</v>
      </c>
      <c r="CX61" s="204">
        <f t="shared" si="83"/>
        <v>1761.5080769899187</v>
      </c>
      <c r="CY61" s="204">
        <f t="shared" si="83"/>
        <v>1881.0776430974599</v>
      </c>
      <c r="CZ61" s="204">
        <f t="shared" si="83"/>
        <v>1945.0779261512305</v>
      </c>
      <c r="DA61" s="204">
        <f t="shared" si="83"/>
        <v>1953.5089261512305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0</v>
      </c>
      <c r="AB63" s="204">
        <f t="shared" si="87"/>
        <v>0</v>
      </c>
      <c r="AC63" s="204">
        <f t="shared" si="87"/>
        <v>0</v>
      </c>
      <c r="AD63" s="204">
        <f t="shared" si="87"/>
        <v>0</v>
      </c>
      <c r="AE63" s="204">
        <f t="shared" si="87"/>
        <v>0</v>
      </c>
      <c r="AF63" s="204">
        <f t="shared" si="87"/>
        <v>18.517686065228393</v>
      </c>
      <c r="AG63" s="204">
        <f t="shared" si="87"/>
        <v>37.035372130456786</v>
      </c>
      <c r="AH63" s="204">
        <f t="shared" si="87"/>
        <v>55.553058195685182</v>
      </c>
      <c r="AI63" s="204">
        <f t="shared" si="87"/>
        <v>74.070744260913571</v>
      </c>
      <c r="AJ63" s="204">
        <f t="shared" si="87"/>
        <v>92.58843032614196</v>
      </c>
      <c r="AK63" s="204">
        <f t="shared" si="87"/>
        <v>111.10611639137036</v>
      </c>
      <c r="AL63" s="204">
        <f t="shared" si="87"/>
        <v>129.62380245659875</v>
      </c>
      <c r="AM63" s="204">
        <f t="shared" si="87"/>
        <v>148.14148852182714</v>
      </c>
      <c r="AN63" s="204">
        <f t="shared" si="87"/>
        <v>166.65917458705553</v>
      </c>
      <c r="AO63" s="204">
        <f t="shared" si="87"/>
        <v>185.17686065228392</v>
      </c>
      <c r="AP63" s="204">
        <f t="shared" si="87"/>
        <v>203.69454671751231</v>
      </c>
      <c r="AQ63" s="204">
        <f t="shared" si="87"/>
        <v>222.21223278274073</v>
      </c>
      <c r="AR63" s="204">
        <f t="shared" si="87"/>
        <v>240.72991884796912</v>
      </c>
      <c r="AS63" s="204">
        <f t="shared" si="87"/>
        <v>259.24760491319751</v>
      </c>
      <c r="AT63" s="204">
        <f t="shared" si="87"/>
        <v>277.76529097842587</v>
      </c>
      <c r="AU63" s="204">
        <f t="shared" si="87"/>
        <v>296.28297704365428</v>
      </c>
      <c r="AV63" s="204">
        <f t="shared" si="87"/>
        <v>314.8006631088827</v>
      </c>
      <c r="AW63" s="204">
        <f t="shared" si="87"/>
        <v>333.31834917411106</v>
      </c>
      <c r="AX63" s="204">
        <f t="shared" si="87"/>
        <v>351.83603523933948</v>
      </c>
      <c r="AY63" s="204">
        <f t="shared" si="87"/>
        <v>370.35372130456784</v>
      </c>
      <c r="AZ63" s="204">
        <f t="shared" si="87"/>
        <v>388.87140736979626</v>
      </c>
      <c r="BA63" s="204">
        <f t="shared" si="87"/>
        <v>407.38909343502462</v>
      </c>
      <c r="BB63" s="204">
        <f t="shared" si="87"/>
        <v>425.90677950025304</v>
      </c>
      <c r="BC63" s="204">
        <f t="shared" si="87"/>
        <v>444.42446556548146</v>
      </c>
      <c r="BD63" s="204">
        <f t="shared" si="87"/>
        <v>462.94215163070982</v>
      </c>
      <c r="BE63" s="204">
        <f t="shared" si="87"/>
        <v>481.45983769593823</v>
      </c>
      <c r="BF63" s="204">
        <f t="shared" si="87"/>
        <v>499.97752376116659</v>
      </c>
      <c r="BG63" s="204">
        <f t="shared" si="87"/>
        <v>518.49520982639501</v>
      </c>
      <c r="BH63" s="204">
        <f t="shared" si="87"/>
        <v>537.01289589162343</v>
      </c>
      <c r="BI63" s="204">
        <f t="shared" si="87"/>
        <v>555.53058195685173</v>
      </c>
      <c r="BJ63" s="204">
        <f t="shared" si="87"/>
        <v>574.04826802208015</v>
      </c>
      <c r="BK63" s="204">
        <f t="shared" si="87"/>
        <v>592.56595408730857</v>
      </c>
      <c r="BL63" s="204">
        <f t="shared" si="87"/>
        <v>611.08364015253699</v>
      </c>
      <c r="BM63" s="204">
        <f t="shared" si="87"/>
        <v>629.6013262177654</v>
      </c>
      <c r="BN63" s="204">
        <f t="shared" si="87"/>
        <v>648.11901228299371</v>
      </c>
      <c r="BO63" s="204">
        <f t="shared" si="87"/>
        <v>666.63669834822213</v>
      </c>
      <c r="BP63" s="204">
        <f t="shared" si="87"/>
        <v>685.15438441345054</v>
      </c>
      <c r="BQ63" s="204">
        <f t="shared" si="87"/>
        <v>703.67207047867896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722.18975654390727</v>
      </c>
      <c r="BS63" s="204">
        <f t="shared" si="89"/>
        <v>740.70744260913568</v>
      </c>
      <c r="BT63" s="204">
        <f t="shared" si="89"/>
        <v>938.22942730490513</v>
      </c>
      <c r="BU63" s="204">
        <f t="shared" si="89"/>
        <v>1135.7514120006747</v>
      </c>
      <c r="BV63" s="204">
        <f t="shared" si="89"/>
        <v>1333.2733966964443</v>
      </c>
      <c r="BW63" s="204">
        <f t="shared" si="89"/>
        <v>1530.7953813922136</v>
      </c>
      <c r="BX63" s="204">
        <f t="shared" si="89"/>
        <v>1728.3173660879834</v>
      </c>
      <c r="BY63" s="204">
        <f t="shared" si="89"/>
        <v>1925.8393507837527</v>
      </c>
      <c r="BZ63" s="204">
        <f t="shared" si="89"/>
        <v>2123.361335479522</v>
      </c>
      <c r="CA63" s="204">
        <f t="shared" si="89"/>
        <v>2320.8833201752918</v>
      </c>
      <c r="CB63" s="204">
        <f t="shared" si="89"/>
        <v>2518.4053048710612</v>
      </c>
      <c r="CC63" s="204">
        <f t="shared" si="89"/>
        <v>2715.927289566831</v>
      </c>
      <c r="CD63" s="204">
        <f t="shared" si="89"/>
        <v>2913.4492742626003</v>
      </c>
      <c r="CE63" s="204">
        <f t="shared" si="89"/>
        <v>3110.9712589583696</v>
      </c>
      <c r="CF63" s="204">
        <f t="shared" si="89"/>
        <v>3308.4932436541394</v>
      </c>
      <c r="CG63" s="204">
        <f t="shared" si="89"/>
        <v>3506.0152283499087</v>
      </c>
      <c r="CH63" s="204">
        <f t="shared" si="89"/>
        <v>3703.5372130456785</v>
      </c>
      <c r="CI63" s="204">
        <f t="shared" si="89"/>
        <v>3901.0591977414479</v>
      </c>
      <c r="CJ63" s="204">
        <f t="shared" si="89"/>
        <v>4098.5811824372167</v>
      </c>
      <c r="CK63" s="204">
        <f t="shared" si="89"/>
        <v>4296.1031671329865</v>
      </c>
      <c r="CL63" s="204">
        <f t="shared" si="89"/>
        <v>4493.6251518287563</v>
      </c>
      <c r="CM63" s="204">
        <f t="shared" si="89"/>
        <v>4691.1471365245261</v>
      </c>
      <c r="CN63" s="204">
        <f t="shared" si="89"/>
        <v>4888.669121220295</v>
      </c>
      <c r="CO63" s="204">
        <f t="shared" si="89"/>
        <v>5086.1911059160648</v>
      </c>
      <c r="CP63" s="204">
        <f t="shared" si="89"/>
        <v>5653.2438036468366</v>
      </c>
      <c r="CQ63" s="204">
        <f t="shared" si="89"/>
        <v>6589.8272144126113</v>
      </c>
      <c r="CR63" s="204">
        <f t="shared" si="89"/>
        <v>7526.4106251783851</v>
      </c>
      <c r="CS63" s="204">
        <f t="shared" si="89"/>
        <v>8462.9940359441589</v>
      </c>
      <c r="CT63" s="204">
        <f t="shared" si="89"/>
        <v>9399.5774467099327</v>
      </c>
      <c r="CU63" s="204">
        <f t="shared" si="89"/>
        <v>10336.160857475707</v>
      </c>
      <c r="CV63" s="204">
        <f t="shared" si="89"/>
        <v>11272.74426824148</v>
      </c>
      <c r="CW63" s="204">
        <f t="shared" si="89"/>
        <v>12209.327679007256</v>
      </c>
      <c r="CX63" s="204">
        <f t="shared" si="89"/>
        <v>13145.911089773028</v>
      </c>
      <c r="CY63" s="204">
        <f t="shared" si="89"/>
        <v>14082.494500538804</v>
      </c>
      <c r="CZ63" s="204">
        <f t="shared" si="89"/>
        <v>14550.78620592169</v>
      </c>
      <c r="DA63" s="204">
        <f t="shared" si="89"/>
        <v>14550.78620592169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7.3334834932388331</v>
      </c>
      <c r="CQ64" s="204">
        <f t="shared" si="91"/>
        <v>22.000450479716498</v>
      </c>
      <c r="CR64" s="204">
        <f t="shared" si="91"/>
        <v>36.667417466194166</v>
      </c>
      <c r="CS64" s="204">
        <f t="shared" si="91"/>
        <v>51.334384452671834</v>
      </c>
      <c r="CT64" s="204">
        <f t="shared" si="91"/>
        <v>66.001351439149502</v>
      </c>
      <c r="CU64" s="204">
        <f t="shared" si="91"/>
        <v>80.668318425627163</v>
      </c>
      <c r="CV64" s="204">
        <f t="shared" si="91"/>
        <v>95.335285412104824</v>
      </c>
      <c r="CW64" s="204">
        <f t="shared" si="91"/>
        <v>110.0022523985825</v>
      </c>
      <c r="CX64" s="204">
        <f t="shared" si="91"/>
        <v>124.66921938506016</v>
      </c>
      <c r="CY64" s="204">
        <f t="shared" si="91"/>
        <v>139.33618637153782</v>
      </c>
      <c r="CZ64" s="204">
        <f t="shared" si="91"/>
        <v>172.76466986477661</v>
      </c>
      <c r="DA64" s="204">
        <f t="shared" si="91"/>
        <v>224.95466986477649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64.786035808178099</v>
      </c>
      <c r="AG65" s="204">
        <f t="shared" si="92"/>
        <v>129.5720716163562</v>
      </c>
      <c r="AH65" s="204">
        <f t="shared" si="92"/>
        <v>194.3581074245343</v>
      </c>
      <c r="AI65" s="204">
        <f t="shared" si="92"/>
        <v>259.14414323271239</v>
      </c>
      <c r="AJ65" s="204">
        <f t="shared" si="92"/>
        <v>323.93017904089049</v>
      </c>
      <c r="AK65" s="204">
        <f t="shared" si="92"/>
        <v>388.71621484906859</v>
      </c>
      <c r="AL65" s="204">
        <f t="shared" si="92"/>
        <v>453.50225065724669</v>
      </c>
      <c r="AM65" s="204">
        <f t="shared" si="92"/>
        <v>518.28828646542479</v>
      </c>
      <c r="AN65" s="204">
        <f t="shared" si="92"/>
        <v>583.07432227360289</v>
      </c>
      <c r="AO65" s="204">
        <f t="shared" si="92"/>
        <v>647.86035808178099</v>
      </c>
      <c r="AP65" s="204">
        <f t="shared" si="92"/>
        <v>712.64639388995909</v>
      </c>
      <c r="AQ65" s="204">
        <f t="shared" si="92"/>
        <v>777.43242969813718</v>
      </c>
      <c r="AR65" s="204">
        <f t="shared" si="92"/>
        <v>842.21846550631528</v>
      </c>
      <c r="AS65" s="204">
        <f t="shared" si="92"/>
        <v>907.00450131449338</v>
      </c>
      <c r="AT65" s="204">
        <f t="shared" si="92"/>
        <v>971.79053712267148</v>
      </c>
      <c r="AU65" s="204">
        <f t="shared" si="92"/>
        <v>1036.5765729308496</v>
      </c>
      <c r="AV65" s="204">
        <f t="shared" si="92"/>
        <v>1101.3626087390276</v>
      </c>
      <c r="AW65" s="204">
        <f t="shared" si="92"/>
        <v>1166.1486445472058</v>
      </c>
      <c r="AX65" s="204">
        <f t="shared" si="92"/>
        <v>1230.934680355384</v>
      </c>
      <c r="AY65" s="204">
        <f t="shared" si="92"/>
        <v>1295.720716163562</v>
      </c>
      <c r="AZ65" s="204">
        <f t="shared" si="92"/>
        <v>1360.50675197174</v>
      </c>
      <c r="BA65" s="204">
        <f t="shared" si="92"/>
        <v>1425.2927877799182</v>
      </c>
      <c r="BB65" s="204">
        <f t="shared" si="92"/>
        <v>1490.0788235880964</v>
      </c>
      <c r="BC65" s="204">
        <f t="shared" si="92"/>
        <v>1554.8648593962744</v>
      </c>
      <c r="BD65" s="204">
        <f t="shared" si="92"/>
        <v>1619.6508952044524</v>
      </c>
      <c r="BE65" s="204">
        <f t="shared" si="92"/>
        <v>1684.4369310126306</v>
      </c>
      <c r="BF65" s="204">
        <f t="shared" si="92"/>
        <v>1749.2229668208088</v>
      </c>
      <c r="BG65" s="204">
        <f t="shared" si="92"/>
        <v>1814.0090026289868</v>
      </c>
      <c r="BH65" s="204">
        <f t="shared" si="92"/>
        <v>1878.7950384371647</v>
      </c>
      <c r="BI65" s="204">
        <f t="shared" si="92"/>
        <v>1943.581074245343</v>
      </c>
      <c r="BJ65" s="204">
        <f t="shared" si="92"/>
        <v>2008.3671100535212</v>
      </c>
      <c r="BK65" s="204">
        <f t="shared" si="92"/>
        <v>2073.1531458616992</v>
      </c>
      <c r="BL65" s="204">
        <f t="shared" si="92"/>
        <v>2137.9391816698771</v>
      </c>
      <c r="BM65" s="204">
        <f t="shared" si="92"/>
        <v>2202.7252174780551</v>
      </c>
      <c r="BN65" s="204">
        <f t="shared" si="92"/>
        <v>2267.5112532862336</v>
      </c>
      <c r="BO65" s="204">
        <f t="shared" si="92"/>
        <v>2332.2972890944116</v>
      </c>
      <c r="BP65" s="204">
        <f t="shared" si="92"/>
        <v>2397.0833249025895</v>
      </c>
      <c r="BQ65" s="204">
        <f t="shared" si="92"/>
        <v>2461.869360710768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2526.655396518946</v>
      </c>
      <c r="BS65" s="204">
        <f t="shared" si="93"/>
        <v>2591.4414323271239</v>
      </c>
      <c r="BT65" s="204">
        <f t="shared" si="93"/>
        <v>2525.7784350541024</v>
      </c>
      <c r="BU65" s="204">
        <f t="shared" si="93"/>
        <v>2460.1154377810808</v>
      </c>
      <c r="BV65" s="204">
        <f t="shared" si="93"/>
        <v>2394.4524405080592</v>
      </c>
      <c r="BW65" s="204">
        <f t="shared" si="93"/>
        <v>2328.7894432350381</v>
      </c>
      <c r="BX65" s="204">
        <f t="shared" si="93"/>
        <v>2263.1264459620165</v>
      </c>
      <c r="BY65" s="204">
        <f t="shared" si="93"/>
        <v>2197.463448688995</v>
      </c>
      <c r="BZ65" s="204">
        <f t="shared" si="93"/>
        <v>2131.8004514159734</v>
      </c>
      <c r="CA65" s="204">
        <f t="shared" si="93"/>
        <v>2066.1374541429518</v>
      </c>
      <c r="CB65" s="204">
        <f t="shared" si="93"/>
        <v>2000.4744568699305</v>
      </c>
      <c r="CC65" s="204">
        <f t="shared" si="93"/>
        <v>1934.8114595969089</v>
      </c>
      <c r="CD65" s="204">
        <f t="shared" si="93"/>
        <v>1869.1484623238875</v>
      </c>
      <c r="CE65" s="204">
        <f t="shared" si="93"/>
        <v>1803.485465050866</v>
      </c>
      <c r="CF65" s="204">
        <f t="shared" si="93"/>
        <v>1737.8224677778444</v>
      </c>
      <c r="CG65" s="204">
        <f t="shared" si="93"/>
        <v>1672.1594705048228</v>
      </c>
      <c r="CH65" s="204">
        <f t="shared" si="93"/>
        <v>1606.4964732318012</v>
      </c>
      <c r="CI65" s="204">
        <f t="shared" si="93"/>
        <v>1540.8334759587799</v>
      </c>
      <c r="CJ65" s="204">
        <f t="shared" si="93"/>
        <v>1475.1704786857583</v>
      </c>
      <c r="CK65" s="204">
        <f t="shared" si="93"/>
        <v>1409.507481412737</v>
      </c>
      <c r="CL65" s="204">
        <f t="shared" si="93"/>
        <v>1343.8444841397154</v>
      </c>
      <c r="CM65" s="204">
        <f t="shared" si="93"/>
        <v>1278.1814868666938</v>
      </c>
      <c r="CN65" s="204">
        <f t="shared" si="93"/>
        <v>1212.5184895936725</v>
      </c>
      <c r="CO65" s="204">
        <f t="shared" si="93"/>
        <v>1146.8554923206509</v>
      </c>
      <c r="CP65" s="204">
        <f t="shared" si="93"/>
        <v>1058.3227939999331</v>
      </c>
      <c r="CQ65" s="204">
        <f t="shared" si="93"/>
        <v>946.92039463151912</v>
      </c>
      <c r="CR65" s="204">
        <f t="shared" si="93"/>
        <v>835.51799526310515</v>
      </c>
      <c r="CS65" s="204">
        <f t="shared" si="93"/>
        <v>724.11559589469107</v>
      </c>
      <c r="CT65" s="204">
        <f t="shared" si="93"/>
        <v>612.7131965262771</v>
      </c>
      <c r="CU65" s="204">
        <f t="shared" si="93"/>
        <v>501.31079715786302</v>
      </c>
      <c r="CV65" s="204">
        <f t="shared" si="93"/>
        <v>389.90839778944905</v>
      </c>
      <c r="CW65" s="204">
        <f t="shared" si="93"/>
        <v>278.50599842103509</v>
      </c>
      <c r="CX65" s="204">
        <f t="shared" si="93"/>
        <v>167.10359905262101</v>
      </c>
      <c r="CY65" s="204">
        <f t="shared" si="93"/>
        <v>55.70119968420704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0</v>
      </c>
      <c r="CL66" s="204">
        <f t="shared" si="95"/>
        <v>0</v>
      </c>
      <c r="CM66" s="204">
        <f t="shared" si="95"/>
        <v>0</v>
      </c>
      <c r="CN66" s="204">
        <f t="shared" si="95"/>
        <v>0</v>
      </c>
      <c r="CO66" s="204">
        <f t="shared" si="95"/>
        <v>0</v>
      </c>
      <c r="CP66" s="204">
        <f t="shared" si="95"/>
        <v>2288.6213960083164</v>
      </c>
      <c r="CQ66" s="204">
        <f t="shared" si="95"/>
        <v>6865.8641880249488</v>
      </c>
      <c r="CR66" s="204">
        <f t="shared" si="95"/>
        <v>11443.106980041583</v>
      </c>
      <c r="CS66" s="204">
        <f t="shared" si="95"/>
        <v>16020.349772058215</v>
      </c>
      <c r="CT66" s="204">
        <f t="shared" si="95"/>
        <v>20597.592564074846</v>
      </c>
      <c r="CU66" s="204">
        <f t="shared" si="95"/>
        <v>25174.83535609148</v>
      </c>
      <c r="CV66" s="204">
        <f t="shared" si="95"/>
        <v>29752.078148108114</v>
      </c>
      <c r="CW66" s="204">
        <f t="shared" si="95"/>
        <v>34329.320940124744</v>
      </c>
      <c r="CX66" s="204">
        <f t="shared" si="95"/>
        <v>38906.563732141381</v>
      </c>
      <c r="CY66" s="204">
        <f t="shared" si="95"/>
        <v>43483.806524158012</v>
      </c>
      <c r="CZ66" s="204">
        <f t="shared" si="95"/>
        <v>47108.277920166329</v>
      </c>
      <c r="DA66" s="204">
        <f t="shared" si="95"/>
        <v>49779.977920166333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28.245643811495039</v>
      </c>
      <c r="BU67" s="204">
        <f t="shared" si="97"/>
        <v>56.491287622990079</v>
      </c>
      <c r="BV67" s="204">
        <f t="shared" si="97"/>
        <v>84.736931434485115</v>
      </c>
      <c r="BW67" s="204">
        <f t="shared" si="97"/>
        <v>112.98257524598016</v>
      </c>
      <c r="BX67" s="204">
        <f t="shared" si="97"/>
        <v>141.2282190574752</v>
      </c>
      <c r="BY67" s="204">
        <f t="shared" si="97"/>
        <v>169.47386286897023</v>
      </c>
      <c r="BZ67" s="204">
        <f t="shared" si="97"/>
        <v>197.71950668046529</v>
      </c>
      <c r="CA67" s="204">
        <f t="shared" si="97"/>
        <v>225.96515049196032</v>
      </c>
      <c r="CB67" s="204">
        <f t="shared" si="97"/>
        <v>254.21079430345534</v>
      </c>
      <c r="CC67" s="204">
        <f t="shared" si="97"/>
        <v>282.4564381149504</v>
      </c>
      <c r="CD67" s="204">
        <f t="shared" si="97"/>
        <v>310.70208192644543</v>
      </c>
      <c r="CE67" s="204">
        <f t="shared" si="97"/>
        <v>338.94772573794046</v>
      </c>
      <c r="CF67" s="204">
        <f t="shared" si="97"/>
        <v>367.19336954943549</v>
      </c>
      <c r="CG67" s="204">
        <f t="shared" si="97"/>
        <v>395.43901336093057</v>
      </c>
      <c r="CH67" s="204">
        <f t="shared" si="97"/>
        <v>423.6846571724256</v>
      </c>
      <c r="CI67" s="204">
        <f t="shared" si="97"/>
        <v>451.93030098392063</v>
      </c>
      <c r="CJ67" s="204">
        <f t="shared" si="97"/>
        <v>480.17594479541566</v>
      </c>
      <c r="CK67" s="204">
        <f t="shared" si="97"/>
        <v>508.42158860691069</v>
      </c>
      <c r="CL67" s="204">
        <f t="shared" si="97"/>
        <v>536.66723241840577</v>
      </c>
      <c r="CM67" s="204">
        <f t="shared" si="97"/>
        <v>564.9128762299008</v>
      </c>
      <c r="CN67" s="204">
        <f t="shared" si="97"/>
        <v>593.15852004139583</v>
      </c>
      <c r="CO67" s="204">
        <f t="shared" si="97"/>
        <v>621.40416385289086</v>
      </c>
      <c r="CP67" s="204">
        <f t="shared" si="97"/>
        <v>603.75063647070647</v>
      </c>
      <c r="CQ67" s="204">
        <f t="shared" si="97"/>
        <v>540.19793789484265</v>
      </c>
      <c r="CR67" s="204">
        <f t="shared" si="97"/>
        <v>476.64523931897878</v>
      </c>
      <c r="CS67" s="204">
        <f t="shared" si="97"/>
        <v>413.09254074311491</v>
      </c>
      <c r="CT67" s="204">
        <f t="shared" si="97"/>
        <v>349.53984216725109</v>
      </c>
      <c r="CU67" s="204">
        <f t="shared" si="97"/>
        <v>285.98714359138728</v>
      </c>
      <c r="CV67" s="204">
        <f t="shared" si="97"/>
        <v>222.43444501552347</v>
      </c>
      <c r="CW67" s="204">
        <f t="shared" si="97"/>
        <v>158.88174643965959</v>
      </c>
      <c r="CX67" s="204">
        <f t="shared" si="97"/>
        <v>95.329047863795722</v>
      </c>
      <c r="CY67" s="204">
        <f t="shared" si="97"/>
        <v>31.776349287931907</v>
      </c>
      <c r="CZ67" s="204">
        <f t="shared" si="97"/>
        <v>414.76499999999999</v>
      </c>
      <c r="DA67" s="204">
        <f t="shared" si="97"/>
        <v>1244.2950000000001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0</v>
      </c>
      <c r="BI68" s="204">
        <f t="shared" si="98"/>
        <v>0</v>
      </c>
      <c r="BJ68" s="204">
        <f t="shared" si="98"/>
        <v>0</v>
      </c>
      <c r="BK68" s="204">
        <f t="shared" si="98"/>
        <v>0</v>
      </c>
      <c r="BL68" s="204">
        <f t="shared" si="98"/>
        <v>0</v>
      </c>
      <c r="BM68" s="204">
        <f t="shared" si="98"/>
        <v>0</v>
      </c>
      <c r="BN68" s="204">
        <f t="shared" si="98"/>
        <v>0</v>
      </c>
      <c r="BO68" s="204">
        <f t="shared" si="98"/>
        <v>0</v>
      </c>
      <c r="BP68" s="204">
        <f t="shared" si="98"/>
        <v>0</v>
      </c>
      <c r="BQ68" s="204">
        <f t="shared" si="98"/>
        <v>0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0</v>
      </c>
      <c r="BS68" s="204">
        <f t="shared" si="99"/>
        <v>0</v>
      </c>
      <c r="BT68" s="204">
        <f t="shared" si="99"/>
        <v>142.21582898095406</v>
      </c>
      <c r="BU68" s="204">
        <f t="shared" si="99"/>
        <v>284.43165796190812</v>
      </c>
      <c r="BV68" s="204">
        <f t="shared" si="99"/>
        <v>426.6474869428622</v>
      </c>
      <c r="BW68" s="204">
        <f t="shared" si="99"/>
        <v>568.86331592381623</v>
      </c>
      <c r="BX68" s="204">
        <f t="shared" si="99"/>
        <v>711.07914490477026</v>
      </c>
      <c r="BY68" s="204">
        <f t="shared" si="99"/>
        <v>853.2949738857244</v>
      </c>
      <c r="BZ68" s="204">
        <f t="shared" si="99"/>
        <v>995.51080286667843</v>
      </c>
      <c r="CA68" s="204">
        <f t="shared" si="99"/>
        <v>1137.7266318476325</v>
      </c>
      <c r="CB68" s="204">
        <f t="shared" si="99"/>
        <v>1279.9424608285865</v>
      </c>
      <c r="CC68" s="204">
        <f t="shared" si="99"/>
        <v>1422.1582898095405</v>
      </c>
      <c r="CD68" s="204">
        <f t="shared" si="99"/>
        <v>1564.3741187904945</v>
      </c>
      <c r="CE68" s="204">
        <f t="shared" si="99"/>
        <v>1706.5899477714488</v>
      </c>
      <c r="CF68" s="204">
        <f t="shared" si="99"/>
        <v>1848.8057767524028</v>
      </c>
      <c r="CG68" s="204">
        <f t="shared" si="99"/>
        <v>1991.0216057333569</v>
      </c>
      <c r="CH68" s="204">
        <f t="shared" si="99"/>
        <v>2133.2374347143109</v>
      </c>
      <c r="CI68" s="204">
        <f t="shared" si="99"/>
        <v>2275.4532636952649</v>
      </c>
      <c r="CJ68" s="204">
        <f t="shared" si="99"/>
        <v>2417.669092676219</v>
      </c>
      <c r="CK68" s="204">
        <f t="shared" si="99"/>
        <v>2559.884921657173</v>
      </c>
      <c r="CL68" s="204">
        <f t="shared" si="99"/>
        <v>2702.100750638127</v>
      </c>
      <c r="CM68" s="204">
        <f t="shared" si="99"/>
        <v>2844.316579619081</v>
      </c>
      <c r="CN68" s="204">
        <f t="shared" si="99"/>
        <v>2986.5324086000351</v>
      </c>
      <c r="CO68" s="204">
        <f t="shared" si="99"/>
        <v>3128.7482375809891</v>
      </c>
      <c r="CP68" s="204">
        <f t="shared" si="99"/>
        <v>3039.8633444678926</v>
      </c>
      <c r="CQ68" s="204">
        <f t="shared" si="99"/>
        <v>2719.877729260746</v>
      </c>
      <c r="CR68" s="204">
        <f t="shared" si="99"/>
        <v>2399.8921140535995</v>
      </c>
      <c r="CS68" s="204">
        <f t="shared" si="99"/>
        <v>2079.9064988464529</v>
      </c>
      <c r="CT68" s="204">
        <f t="shared" si="99"/>
        <v>1759.9208836393063</v>
      </c>
      <c r="CU68" s="204">
        <f t="shared" si="99"/>
        <v>1439.9352684321598</v>
      </c>
      <c r="CV68" s="204">
        <f t="shared" si="99"/>
        <v>1119.9496532250132</v>
      </c>
      <c r="CW68" s="204">
        <f t="shared" si="99"/>
        <v>799.96403801786664</v>
      </c>
      <c r="CX68" s="204">
        <f t="shared" si="99"/>
        <v>479.97842281071962</v>
      </c>
      <c r="CY68" s="204">
        <f t="shared" si="99"/>
        <v>159.99280760357306</v>
      </c>
      <c r="CZ68" s="204">
        <f t="shared" si="99"/>
        <v>3101.75</v>
      </c>
      <c r="DA68" s="204">
        <f t="shared" si="99"/>
        <v>9305.25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1491.5874480929031</v>
      </c>
      <c r="G69" s="204">
        <f t="shared" si="100"/>
        <v>1491.5874480929031</v>
      </c>
      <c r="H69" s="204">
        <f t="shared" si="100"/>
        <v>1491.5874480929031</v>
      </c>
      <c r="I69" s="204">
        <f t="shared" si="100"/>
        <v>1491.5874480929031</v>
      </c>
      <c r="J69" s="204">
        <f t="shared" si="100"/>
        <v>1491.5874480929031</v>
      </c>
      <c r="K69" s="204">
        <f t="shared" si="100"/>
        <v>1491.5874480929031</v>
      </c>
      <c r="L69" s="204">
        <f t="shared" si="88"/>
        <v>1491.5874480929031</v>
      </c>
      <c r="M69" s="204">
        <f t="shared" si="100"/>
        <v>1491.5874480929031</v>
      </c>
      <c r="N69" s="204">
        <f t="shared" si="100"/>
        <v>1491.5874480929031</v>
      </c>
      <c r="O69" s="204">
        <f t="shared" si="100"/>
        <v>1491.5874480929031</v>
      </c>
      <c r="P69" s="204">
        <f t="shared" si="100"/>
        <v>1491.5874480929031</v>
      </c>
      <c r="Q69" s="204">
        <f t="shared" si="100"/>
        <v>1491.5874480929031</v>
      </c>
      <c r="R69" s="204">
        <f t="shared" si="100"/>
        <v>1491.5874480929031</v>
      </c>
      <c r="S69" s="204">
        <f t="shared" si="100"/>
        <v>1491.5874480929031</v>
      </c>
      <c r="T69" s="204">
        <f t="shared" si="100"/>
        <v>1491.5874480929031</v>
      </c>
      <c r="U69" s="204">
        <f t="shared" si="100"/>
        <v>1491.5874480929031</v>
      </c>
      <c r="V69" s="204">
        <f t="shared" si="100"/>
        <v>1491.5874480929031</v>
      </c>
      <c r="W69" s="204">
        <f t="shared" si="100"/>
        <v>1491.5874480929031</v>
      </c>
      <c r="X69" s="204">
        <f t="shared" si="100"/>
        <v>1491.5874480929031</v>
      </c>
      <c r="Y69" s="204">
        <f t="shared" si="100"/>
        <v>1491.5874480929031</v>
      </c>
      <c r="Z69" s="204">
        <f t="shared" si="100"/>
        <v>1491.5874480929031</v>
      </c>
      <c r="AA69" s="204">
        <f t="shared" si="100"/>
        <v>1491.5874480929031</v>
      </c>
      <c r="AB69" s="204">
        <f t="shared" si="100"/>
        <v>1491.5874480929031</v>
      </c>
      <c r="AC69" s="204">
        <f t="shared" si="100"/>
        <v>1491.5874480929031</v>
      </c>
      <c r="AD69" s="204">
        <f t="shared" si="100"/>
        <v>1491.5874480929031</v>
      </c>
      <c r="AE69" s="204">
        <f t="shared" si="100"/>
        <v>1491.5874480929031</v>
      </c>
      <c r="AF69" s="204">
        <f t="shared" si="100"/>
        <v>1491.5874480929031</v>
      </c>
      <c r="AG69" s="204">
        <f t="shared" si="100"/>
        <v>1491.5874480929031</v>
      </c>
      <c r="AH69" s="204">
        <f t="shared" si="100"/>
        <v>1491.5874480929031</v>
      </c>
      <c r="AI69" s="204">
        <f t="shared" si="100"/>
        <v>1491.5874480929031</v>
      </c>
      <c r="AJ69" s="204">
        <f t="shared" si="100"/>
        <v>1491.5874480929031</v>
      </c>
      <c r="AK69" s="204">
        <f t="shared" si="100"/>
        <v>1491.5874480929031</v>
      </c>
      <c r="AL69" s="204">
        <f t="shared" si="100"/>
        <v>1491.5874480929031</v>
      </c>
      <c r="AM69" s="204">
        <f t="shared" si="100"/>
        <v>1491.5874480929031</v>
      </c>
      <c r="AN69" s="204">
        <f t="shared" si="100"/>
        <v>1491.5874480929031</v>
      </c>
      <c r="AO69" s="204">
        <f t="shared" si="100"/>
        <v>1491.5874480929031</v>
      </c>
      <c r="AP69" s="204">
        <f t="shared" si="100"/>
        <v>1491.5874480929031</v>
      </c>
      <c r="AQ69" s="204">
        <f t="shared" si="100"/>
        <v>1491.5874480929031</v>
      </c>
      <c r="AR69" s="204">
        <f t="shared" si="100"/>
        <v>1491.5874480929031</v>
      </c>
      <c r="AS69" s="204">
        <f t="shared" si="100"/>
        <v>1491.5874480929031</v>
      </c>
      <c r="AT69" s="204">
        <f t="shared" si="100"/>
        <v>1491.5874480929031</v>
      </c>
      <c r="AU69" s="204">
        <f t="shared" si="100"/>
        <v>1491.5874480929031</v>
      </c>
      <c r="AV69" s="204">
        <f t="shared" si="100"/>
        <v>1491.5874480929031</v>
      </c>
      <c r="AW69" s="204">
        <f t="shared" si="100"/>
        <v>1491.5874480929031</v>
      </c>
      <c r="AX69" s="204">
        <f t="shared" si="100"/>
        <v>1491.5874480929031</v>
      </c>
      <c r="AY69" s="204">
        <f t="shared" si="100"/>
        <v>1491.5874480929031</v>
      </c>
      <c r="AZ69" s="204">
        <f t="shared" si="100"/>
        <v>1491.5874480929031</v>
      </c>
      <c r="BA69" s="204">
        <f t="shared" si="100"/>
        <v>1491.5874480929031</v>
      </c>
      <c r="BB69" s="204">
        <f t="shared" si="100"/>
        <v>1491.5874480929031</v>
      </c>
      <c r="BC69" s="204">
        <f t="shared" si="100"/>
        <v>1491.5874480929031</v>
      </c>
      <c r="BD69" s="204">
        <f t="shared" si="100"/>
        <v>1491.5874480929031</v>
      </c>
      <c r="BE69" s="204">
        <f t="shared" si="100"/>
        <v>1491.5874480929031</v>
      </c>
      <c r="BF69" s="204">
        <f t="shared" si="100"/>
        <v>1491.5874480929031</v>
      </c>
      <c r="BG69" s="204">
        <f t="shared" si="100"/>
        <v>1491.5874480929031</v>
      </c>
      <c r="BH69" s="204">
        <f t="shared" si="100"/>
        <v>1491.5874480929031</v>
      </c>
      <c r="BI69" s="204">
        <f t="shared" si="100"/>
        <v>1491.5874480929031</v>
      </c>
      <c r="BJ69" s="204">
        <f t="shared" si="100"/>
        <v>1491.5874480929031</v>
      </c>
      <c r="BK69" s="204">
        <f t="shared" si="100"/>
        <v>1491.5874480929031</v>
      </c>
      <c r="BL69" s="204">
        <f t="shared" si="100"/>
        <v>1491.5874480929031</v>
      </c>
      <c r="BM69" s="204">
        <f t="shared" si="100"/>
        <v>1491.5874480929031</v>
      </c>
      <c r="BN69" s="204">
        <f t="shared" si="100"/>
        <v>1491.5874480929031</v>
      </c>
      <c r="BO69" s="204">
        <f t="shared" si="100"/>
        <v>1491.5874480929031</v>
      </c>
      <c r="BP69" s="204">
        <f t="shared" si="100"/>
        <v>1491.5874480929031</v>
      </c>
      <c r="BQ69" s="204">
        <f t="shared" si="100"/>
        <v>1491.5874480929031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1491.5874480929031</v>
      </c>
      <c r="BS69" s="204">
        <f t="shared" si="101"/>
        <v>1491.5874480929031</v>
      </c>
      <c r="BT69" s="204">
        <f t="shared" si="101"/>
        <v>1491.5874480929031</v>
      </c>
      <c r="BU69" s="204">
        <f t="shared" si="101"/>
        <v>1491.5874480929031</v>
      </c>
      <c r="BV69" s="204">
        <f t="shared" si="101"/>
        <v>1491.5874480929031</v>
      </c>
      <c r="BW69" s="204">
        <f t="shared" si="101"/>
        <v>1491.5874480929031</v>
      </c>
      <c r="BX69" s="204">
        <f t="shared" si="101"/>
        <v>1491.5874480929031</v>
      </c>
      <c r="BY69" s="204">
        <f t="shared" si="101"/>
        <v>1491.5874480929031</v>
      </c>
      <c r="BZ69" s="204">
        <f t="shared" si="101"/>
        <v>1491.5874480929031</v>
      </c>
      <c r="CA69" s="204">
        <f t="shared" si="101"/>
        <v>1491.5874480929031</v>
      </c>
      <c r="CB69" s="204">
        <f t="shared" si="101"/>
        <v>1491.5874480929031</v>
      </c>
      <c r="CC69" s="204">
        <f t="shared" si="101"/>
        <v>1491.5874480929031</v>
      </c>
      <c r="CD69" s="204">
        <f t="shared" si="101"/>
        <v>1491.5874480929031</v>
      </c>
      <c r="CE69" s="204">
        <f t="shared" si="101"/>
        <v>1491.5874480929031</v>
      </c>
      <c r="CF69" s="204">
        <f t="shared" si="101"/>
        <v>1491.5874480929031</v>
      </c>
      <c r="CG69" s="204">
        <f t="shared" si="101"/>
        <v>1491.5874480929031</v>
      </c>
      <c r="CH69" s="204">
        <f t="shared" si="101"/>
        <v>1491.5874480929031</v>
      </c>
      <c r="CI69" s="204">
        <f t="shared" si="101"/>
        <v>1491.5874480929031</v>
      </c>
      <c r="CJ69" s="204">
        <f t="shared" si="101"/>
        <v>1491.5874480929031</v>
      </c>
      <c r="CK69" s="204">
        <f t="shared" si="101"/>
        <v>1491.5874480929031</v>
      </c>
      <c r="CL69" s="204">
        <f t="shared" si="101"/>
        <v>1491.5874480929031</v>
      </c>
      <c r="CM69" s="204">
        <f t="shared" si="101"/>
        <v>1491.5874480929031</v>
      </c>
      <c r="CN69" s="204">
        <f t="shared" si="101"/>
        <v>1491.5874480929031</v>
      </c>
      <c r="CO69" s="204">
        <f t="shared" si="101"/>
        <v>1491.5874480929031</v>
      </c>
      <c r="CP69" s="204">
        <f t="shared" si="101"/>
        <v>1483.3008511590535</v>
      </c>
      <c r="CQ69" s="204">
        <f t="shared" si="101"/>
        <v>1466.7276572913547</v>
      </c>
      <c r="CR69" s="204">
        <f t="shared" si="101"/>
        <v>1450.1544634236557</v>
      </c>
      <c r="CS69" s="204">
        <f t="shared" si="101"/>
        <v>1433.5812695559569</v>
      </c>
      <c r="CT69" s="204">
        <f t="shared" si="101"/>
        <v>1417.008075688258</v>
      </c>
      <c r="CU69" s="204">
        <f t="shared" si="101"/>
        <v>1400.434881820559</v>
      </c>
      <c r="CV69" s="204">
        <f t="shared" si="101"/>
        <v>1383.8616879528602</v>
      </c>
      <c r="CW69" s="204">
        <f t="shared" si="101"/>
        <v>1367.2884940851611</v>
      </c>
      <c r="CX69" s="204">
        <f t="shared" si="101"/>
        <v>1350.7153002174623</v>
      </c>
      <c r="CY69" s="204">
        <f t="shared" si="101"/>
        <v>1334.1421063497635</v>
      </c>
      <c r="CZ69" s="204">
        <f t="shared" si="101"/>
        <v>1333.220509415914</v>
      </c>
      <c r="DA69" s="204">
        <f t="shared" si="101"/>
        <v>1347.950509415914</v>
      </c>
    </row>
    <row r="70" spans="1:105" s="204" customFormat="1">
      <c r="A70" s="204" t="str">
        <f>Income!A85</f>
        <v>Cash transfer - official</v>
      </c>
      <c r="F70" s="204">
        <f t="shared" si="100"/>
        <v>32620.755772506334</v>
      </c>
      <c r="G70" s="204">
        <f t="shared" si="100"/>
        <v>32620.755772506334</v>
      </c>
      <c r="H70" s="204">
        <f t="shared" si="100"/>
        <v>32620.755772506334</v>
      </c>
      <c r="I70" s="204">
        <f t="shared" si="100"/>
        <v>32620.755772506334</v>
      </c>
      <c r="J70" s="204">
        <f t="shared" si="100"/>
        <v>32620.755772506334</v>
      </c>
      <c r="K70" s="204">
        <f t="shared" si="100"/>
        <v>32620.755772506334</v>
      </c>
      <c r="L70" s="204">
        <f t="shared" si="100"/>
        <v>32620.755772506334</v>
      </c>
      <c r="M70" s="204">
        <f t="shared" si="100"/>
        <v>32620.755772506334</v>
      </c>
      <c r="N70" s="204">
        <f t="shared" si="100"/>
        <v>32620.755772506334</v>
      </c>
      <c r="O70" s="204">
        <f t="shared" si="100"/>
        <v>32620.755772506334</v>
      </c>
      <c r="P70" s="204">
        <f t="shared" si="100"/>
        <v>32620.755772506334</v>
      </c>
      <c r="Q70" s="204">
        <f t="shared" si="100"/>
        <v>32620.755772506334</v>
      </c>
      <c r="R70" s="204">
        <f t="shared" si="100"/>
        <v>32620.755772506334</v>
      </c>
      <c r="S70" s="204">
        <f t="shared" si="100"/>
        <v>32620.755772506334</v>
      </c>
      <c r="T70" s="204">
        <f t="shared" si="100"/>
        <v>32620.755772506334</v>
      </c>
      <c r="U70" s="204">
        <f t="shared" si="100"/>
        <v>32620.755772506334</v>
      </c>
      <c r="V70" s="204">
        <f t="shared" si="100"/>
        <v>32620.755772506334</v>
      </c>
      <c r="W70" s="204">
        <f t="shared" si="100"/>
        <v>32620.755772506334</v>
      </c>
      <c r="X70" s="204">
        <f t="shared" si="100"/>
        <v>32620.755772506334</v>
      </c>
      <c r="Y70" s="204">
        <f t="shared" si="100"/>
        <v>32620.755772506334</v>
      </c>
      <c r="Z70" s="204">
        <f t="shared" si="100"/>
        <v>32620.755772506334</v>
      </c>
      <c r="AA70" s="204">
        <f t="shared" si="100"/>
        <v>32620.755772506334</v>
      </c>
      <c r="AB70" s="204">
        <f t="shared" si="100"/>
        <v>32620.755772506334</v>
      </c>
      <c r="AC70" s="204">
        <f t="shared" si="100"/>
        <v>32620.755772506334</v>
      </c>
      <c r="AD70" s="204">
        <f t="shared" si="100"/>
        <v>32620.755772506334</v>
      </c>
      <c r="AE70" s="204">
        <f t="shared" si="100"/>
        <v>32620.755772506334</v>
      </c>
      <c r="AF70" s="204">
        <f t="shared" si="100"/>
        <v>32620.755772506334</v>
      </c>
      <c r="AG70" s="204">
        <f t="shared" si="100"/>
        <v>32620.755772506334</v>
      </c>
      <c r="AH70" s="204">
        <f t="shared" si="100"/>
        <v>32620.755772506334</v>
      </c>
      <c r="AI70" s="204">
        <f t="shared" si="100"/>
        <v>32620.755772506334</v>
      </c>
      <c r="AJ70" s="204">
        <f t="shared" si="100"/>
        <v>32620.755772506334</v>
      </c>
      <c r="AK70" s="204">
        <f t="shared" si="100"/>
        <v>32620.755772506334</v>
      </c>
      <c r="AL70" s="204">
        <f t="shared" si="100"/>
        <v>32620.755772506334</v>
      </c>
      <c r="AM70" s="204">
        <f t="shared" si="100"/>
        <v>32620.755772506334</v>
      </c>
      <c r="AN70" s="204">
        <f t="shared" si="100"/>
        <v>32620.755772506334</v>
      </c>
      <c r="AO70" s="204">
        <f t="shared" si="100"/>
        <v>32620.755772506334</v>
      </c>
      <c r="AP70" s="204">
        <f t="shared" si="100"/>
        <v>32620.755772506334</v>
      </c>
      <c r="AQ70" s="204">
        <f t="shared" si="100"/>
        <v>32620.755772506334</v>
      </c>
      <c r="AR70" s="204">
        <f t="shared" si="100"/>
        <v>32620.755772506334</v>
      </c>
      <c r="AS70" s="204">
        <f t="shared" si="100"/>
        <v>32620.755772506334</v>
      </c>
      <c r="AT70" s="204">
        <f t="shared" si="100"/>
        <v>32620.755772506334</v>
      </c>
      <c r="AU70" s="204">
        <f t="shared" si="100"/>
        <v>32620.755772506334</v>
      </c>
      <c r="AV70" s="204">
        <f t="shared" si="100"/>
        <v>32620.755772506334</v>
      </c>
      <c r="AW70" s="204">
        <f t="shared" si="100"/>
        <v>32620.755772506334</v>
      </c>
      <c r="AX70" s="204">
        <f t="shared" si="100"/>
        <v>32620.755772506334</v>
      </c>
      <c r="AY70" s="204">
        <f t="shared" si="100"/>
        <v>32620.755772506334</v>
      </c>
      <c r="AZ70" s="204">
        <f t="shared" si="100"/>
        <v>32620.755772506334</v>
      </c>
      <c r="BA70" s="204">
        <f t="shared" si="100"/>
        <v>32620.755772506334</v>
      </c>
      <c r="BB70" s="204">
        <f t="shared" si="100"/>
        <v>32620.755772506334</v>
      </c>
      <c r="BC70" s="204">
        <f t="shared" si="100"/>
        <v>32620.755772506334</v>
      </c>
      <c r="BD70" s="204">
        <f t="shared" si="100"/>
        <v>32620.755772506334</v>
      </c>
      <c r="BE70" s="204">
        <f t="shared" si="100"/>
        <v>32620.755772506334</v>
      </c>
      <c r="BF70" s="204">
        <f t="shared" si="100"/>
        <v>32620.755772506334</v>
      </c>
      <c r="BG70" s="204">
        <f t="shared" si="100"/>
        <v>32620.755772506334</v>
      </c>
      <c r="BH70" s="204">
        <f t="shared" si="100"/>
        <v>32620.755772506334</v>
      </c>
      <c r="BI70" s="204">
        <f t="shared" si="100"/>
        <v>32620.755772506334</v>
      </c>
      <c r="BJ70" s="204">
        <f t="shared" si="100"/>
        <v>32620.755772506334</v>
      </c>
      <c r="BK70" s="204">
        <f t="shared" si="100"/>
        <v>32620.755772506334</v>
      </c>
      <c r="BL70" s="204">
        <f t="shared" si="100"/>
        <v>32620.755772506334</v>
      </c>
      <c r="BM70" s="204">
        <f t="shared" si="100"/>
        <v>32620.755772506334</v>
      </c>
      <c r="BN70" s="204">
        <f t="shared" si="100"/>
        <v>32620.755772506334</v>
      </c>
      <c r="BO70" s="204">
        <f t="shared" si="100"/>
        <v>32620.755772506334</v>
      </c>
      <c r="BP70" s="204">
        <f t="shared" si="100"/>
        <v>32620.755772506334</v>
      </c>
      <c r="BQ70" s="204">
        <f t="shared" si="100"/>
        <v>32620.755772506334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32620.755772506334</v>
      </c>
      <c r="BS70" s="204">
        <f t="shared" si="102"/>
        <v>32620.755772506334</v>
      </c>
      <c r="BT70" s="204">
        <f t="shared" si="102"/>
        <v>32620.755772506334</v>
      </c>
      <c r="BU70" s="204">
        <f t="shared" si="102"/>
        <v>32620.755772506334</v>
      </c>
      <c r="BV70" s="204">
        <f t="shared" si="102"/>
        <v>32620.755772506334</v>
      </c>
      <c r="BW70" s="204">
        <f t="shared" si="102"/>
        <v>32620.755772506334</v>
      </c>
      <c r="BX70" s="204">
        <f t="shared" si="102"/>
        <v>32620.755772506334</v>
      </c>
      <c r="BY70" s="204">
        <f t="shared" si="102"/>
        <v>32620.755772506334</v>
      </c>
      <c r="BZ70" s="204">
        <f t="shared" si="102"/>
        <v>32620.755772506334</v>
      </c>
      <c r="CA70" s="204">
        <f t="shared" si="102"/>
        <v>32620.755772506334</v>
      </c>
      <c r="CB70" s="204">
        <f t="shared" si="102"/>
        <v>32620.755772506334</v>
      </c>
      <c r="CC70" s="204">
        <f t="shared" si="102"/>
        <v>32620.755772506334</v>
      </c>
      <c r="CD70" s="204">
        <f t="shared" si="102"/>
        <v>32620.755772506334</v>
      </c>
      <c r="CE70" s="204">
        <f t="shared" si="102"/>
        <v>32620.755772506334</v>
      </c>
      <c r="CF70" s="204">
        <f t="shared" si="102"/>
        <v>32620.755772506334</v>
      </c>
      <c r="CG70" s="204">
        <f t="shared" si="102"/>
        <v>32620.755772506334</v>
      </c>
      <c r="CH70" s="204">
        <f t="shared" si="102"/>
        <v>32620.755772506334</v>
      </c>
      <c r="CI70" s="204">
        <f t="shared" si="102"/>
        <v>32620.755772506334</v>
      </c>
      <c r="CJ70" s="204">
        <f t="shared" si="102"/>
        <v>32620.755772506334</v>
      </c>
      <c r="CK70" s="204">
        <f t="shared" si="102"/>
        <v>32620.755772506334</v>
      </c>
      <c r="CL70" s="204">
        <f t="shared" si="102"/>
        <v>32620.755772506334</v>
      </c>
      <c r="CM70" s="204">
        <f t="shared" si="102"/>
        <v>32620.755772506334</v>
      </c>
      <c r="CN70" s="204">
        <f t="shared" si="102"/>
        <v>32620.755772506334</v>
      </c>
      <c r="CO70" s="204">
        <f t="shared" si="102"/>
        <v>32620.755772506334</v>
      </c>
      <c r="CP70" s="204">
        <f t="shared" si="102"/>
        <v>31395.428140446129</v>
      </c>
      <c r="CQ70" s="204">
        <f t="shared" si="102"/>
        <v>28944.772876325718</v>
      </c>
      <c r="CR70" s="204">
        <f t="shared" si="102"/>
        <v>26494.117612205304</v>
      </c>
      <c r="CS70" s="204">
        <f t="shared" si="102"/>
        <v>24043.46234808489</v>
      </c>
      <c r="CT70" s="204">
        <f t="shared" si="102"/>
        <v>21592.807083964479</v>
      </c>
      <c r="CU70" s="204">
        <f t="shared" si="102"/>
        <v>19142.151819844068</v>
      </c>
      <c r="CV70" s="204">
        <f t="shared" si="102"/>
        <v>16691.496555723657</v>
      </c>
      <c r="CW70" s="204">
        <f t="shared" si="102"/>
        <v>14240.841291603243</v>
      </c>
      <c r="CX70" s="204">
        <f t="shared" si="102"/>
        <v>11790.186027482832</v>
      </c>
      <c r="CY70" s="204">
        <f t="shared" si="102"/>
        <v>9339.5307633624179</v>
      </c>
      <c r="CZ70" s="204">
        <f t="shared" si="102"/>
        <v>7550.2881313022126</v>
      </c>
      <c r="DA70" s="204">
        <f t="shared" si="102"/>
        <v>6422.4581313022127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0</v>
      </c>
      <c r="CZ71" s="204">
        <f t="shared" si="104"/>
        <v>148.16499999999999</v>
      </c>
      <c r="DA71" s="204">
        <f t="shared" si="104"/>
        <v>444.495</v>
      </c>
    </row>
    <row r="72" spans="1:105" s="204" customFormat="1">
      <c r="A72" s="204" t="str">
        <f>Income!A88</f>
        <v>TOTAL</v>
      </c>
      <c r="F72" s="204">
        <f>SUM(F59:F71)</f>
        <v>38348.619717625661</v>
      </c>
      <c r="G72" s="204">
        <f t="shared" ref="G72:BR72" si="105">SUM(G59:G71)</f>
        <v>38348.619717625661</v>
      </c>
      <c r="H72" s="204">
        <f t="shared" si="105"/>
        <v>38348.619717625661</v>
      </c>
      <c r="I72" s="204">
        <f t="shared" si="105"/>
        <v>38348.619717625661</v>
      </c>
      <c r="J72" s="204">
        <f t="shared" si="105"/>
        <v>38348.619717625661</v>
      </c>
      <c r="K72" s="204">
        <f t="shared" si="105"/>
        <v>38348.619717625661</v>
      </c>
      <c r="L72" s="204">
        <f t="shared" si="105"/>
        <v>38348.619717625661</v>
      </c>
      <c r="M72" s="204">
        <f t="shared" si="105"/>
        <v>38348.619717625661</v>
      </c>
      <c r="N72" s="204">
        <f t="shared" si="105"/>
        <v>38348.619717625661</v>
      </c>
      <c r="O72" s="204">
        <f t="shared" si="105"/>
        <v>38348.619717625661</v>
      </c>
      <c r="P72" s="204">
        <f t="shared" si="105"/>
        <v>38348.619717625661</v>
      </c>
      <c r="Q72" s="204">
        <f t="shared" si="105"/>
        <v>38348.619717625661</v>
      </c>
      <c r="R72" s="204">
        <f t="shared" si="105"/>
        <v>38348.619717625661</v>
      </c>
      <c r="S72" s="204">
        <f t="shared" si="105"/>
        <v>38348.619717625661</v>
      </c>
      <c r="T72" s="204">
        <f t="shared" si="105"/>
        <v>38348.619717625661</v>
      </c>
      <c r="U72" s="204">
        <f t="shared" si="105"/>
        <v>38348.619717625661</v>
      </c>
      <c r="V72" s="204">
        <f t="shared" si="105"/>
        <v>38348.619717625661</v>
      </c>
      <c r="W72" s="204">
        <f t="shared" si="105"/>
        <v>38348.619717625661</v>
      </c>
      <c r="X72" s="204">
        <f t="shared" si="105"/>
        <v>38348.619717625661</v>
      </c>
      <c r="Y72" s="204">
        <f t="shared" si="105"/>
        <v>38348.619717625661</v>
      </c>
      <c r="Z72" s="204">
        <f t="shared" si="105"/>
        <v>38348.619717625661</v>
      </c>
      <c r="AA72" s="204">
        <f t="shared" si="105"/>
        <v>38348.619717625661</v>
      </c>
      <c r="AB72" s="204">
        <f t="shared" si="105"/>
        <v>38348.619717625661</v>
      </c>
      <c r="AC72" s="204">
        <f t="shared" si="105"/>
        <v>38348.619717625661</v>
      </c>
      <c r="AD72" s="204">
        <f t="shared" si="105"/>
        <v>38348.619717625661</v>
      </c>
      <c r="AE72" s="204">
        <f t="shared" si="105"/>
        <v>38348.619717625661</v>
      </c>
      <c r="AF72" s="204">
        <f t="shared" si="105"/>
        <v>38477.320496643362</v>
      </c>
      <c r="AG72" s="204">
        <f t="shared" si="105"/>
        <v>38606.021275661056</v>
      </c>
      <c r="AH72" s="204">
        <f t="shared" si="105"/>
        <v>38734.722054678758</v>
      </c>
      <c r="AI72" s="204">
        <f t="shared" si="105"/>
        <v>38863.422833696459</v>
      </c>
      <c r="AJ72" s="204">
        <f t="shared" si="105"/>
        <v>38992.12361271416</v>
      </c>
      <c r="AK72" s="204">
        <f t="shared" si="105"/>
        <v>39120.824391731861</v>
      </c>
      <c r="AL72" s="204">
        <f t="shared" si="105"/>
        <v>39249.525170749563</v>
      </c>
      <c r="AM72" s="204">
        <f t="shared" si="105"/>
        <v>39378.225949767264</v>
      </c>
      <c r="AN72" s="204">
        <f t="shared" si="105"/>
        <v>39506.926728784965</v>
      </c>
      <c r="AO72" s="204">
        <f t="shared" si="105"/>
        <v>39635.627507802667</v>
      </c>
      <c r="AP72" s="204">
        <f t="shared" si="105"/>
        <v>39764.328286820368</v>
      </c>
      <c r="AQ72" s="204">
        <f t="shared" si="105"/>
        <v>39893.029065838069</v>
      </c>
      <c r="AR72" s="204">
        <f t="shared" si="105"/>
        <v>40021.72984485577</v>
      </c>
      <c r="AS72" s="204">
        <f t="shared" si="105"/>
        <v>40150.430623873472</v>
      </c>
      <c r="AT72" s="204">
        <f t="shared" si="105"/>
        <v>40279.131402891166</v>
      </c>
      <c r="AU72" s="204">
        <f t="shared" si="105"/>
        <v>40407.832181908867</v>
      </c>
      <c r="AV72" s="204">
        <f t="shared" si="105"/>
        <v>40536.532960926568</v>
      </c>
      <c r="AW72" s="204">
        <f t="shared" si="105"/>
        <v>40665.233739944269</v>
      </c>
      <c r="AX72" s="204">
        <f t="shared" si="105"/>
        <v>40793.934518961971</v>
      </c>
      <c r="AY72" s="204">
        <f t="shared" si="105"/>
        <v>40922.635297979672</v>
      </c>
      <c r="AZ72" s="204">
        <f t="shared" si="105"/>
        <v>41051.336076997373</v>
      </c>
      <c r="BA72" s="204">
        <f t="shared" si="105"/>
        <v>41180.036856015075</v>
      </c>
      <c r="BB72" s="204">
        <f t="shared" si="105"/>
        <v>41308.737635032776</v>
      </c>
      <c r="BC72" s="204">
        <f t="shared" si="105"/>
        <v>41437.43841405047</v>
      </c>
      <c r="BD72" s="204">
        <f t="shared" si="105"/>
        <v>41566.139193068171</v>
      </c>
      <c r="BE72" s="204">
        <f t="shared" si="105"/>
        <v>41694.839972085872</v>
      </c>
      <c r="BF72" s="204">
        <f t="shared" si="105"/>
        <v>41823.540751103574</v>
      </c>
      <c r="BG72" s="204">
        <f t="shared" si="105"/>
        <v>41952.241530121275</v>
      </c>
      <c r="BH72" s="204">
        <f t="shared" si="105"/>
        <v>42080.942309138976</v>
      </c>
      <c r="BI72" s="204">
        <f t="shared" si="105"/>
        <v>42209.643088156678</v>
      </c>
      <c r="BJ72" s="204">
        <f t="shared" si="105"/>
        <v>42338.343867174379</v>
      </c>
      <c r="BK72" s="204">
        <f t="shared" si="105"/>
        <v>42467.04464619208</v>
      </c>
      <c r="BL72" s="204">
        <f t="shared" si="105"/>
        <v>42595.745425209781</v>
      </c>
      <c r="BM72" s="204">
        <f t="shared" si="105"/>
        <v>42724.446204227483</v>
      </c>
      <c r="BN72" s="204">
        <f t="shared" si="105"/>
        <v>42853.146983245184</v>
      </c>
      <c r="BO72" s="204">
        <f t="shared" si="105"/>
        <v>42981.847762262885</v>
      </c>
      <c r="BP72" s="204">
        <f t="shared" si="105"/>
        <v>43110.548541280587</v>
      </c>
      <c r="BQ72" s="204">
        <f t="shared" si="105"/>
        <v>43239.249320298288</v>
      </c>
      <c r="BR72" s="204">
        <f t="shared" si="105"/>
        <v>43367.950099315982</v>
      </c>
      <c r="BS72" s="204">
        <f t="shared" ref="BS72:DA72" si="106">SUM(BS59:BS71)</f>
        <v>43496.650878333683</v>
      </c>
      <c r="BT72" s="204">
        <f t="shared" si="106"/>
        <v>44072.5302278772</v>
      </c>
      <c r="BU72" s="204">
        <f t="shared" si="106"/>
        <v>44648.409577420716</v>
      </c>
      <c r="BV72" s="204">
        <f t="shared" si="106"/>
        <v>45224.288926964233</v>
      </c>
      <c r="BW72" s="204">
        <f t="shared" si="106"/>
        <v>45800.168276507749</v>
      </c>
      <c r="BX72" s="204">
        <f t="shared" si="106"/>
        <v>46376.047626051266</v>
      </c>
      <c r="BY72" s="204">
        <f t="shared" si="106"/>
        <v>46951.926975594783</v>
      </c>
      <c r="BZ72" s="204">
        <f t="shared" si="106"/>
        <v>47527.806325138299</v>
      </c>
      <c r="CA72" s="204">
        <f t="shared" si="106"/>
        <v>48103.685674681816</v>
      </c>
      <c r="CB72" s="204">
        <f t="shared" si="106"/>
        <v>48679.565024225332</v>
      </c>
      <c r="CC72" s="204">
        <f t="shared" si="106"/>
        <v>49255.444373768842</v>
      </c>
      <c r="CD72" s="204">
        <f t="shared" si="106"/>
        <v>49831.323723312365</v>
      </c>
      <c r="CE72" s="204">
        <f t="shared" si="106"/>
        <v>50407.203072855875</v>
      </c>
      <c r="CF72" s="204">
        <f t="shared" si="106"/>
        <v>50983.082422399391</v>
      </c>
      <c r="CG72" s="204">
        <f t="shared" si="106"/>
        <v>51558.961771942908</v>
      </c>
      <c r="CH72" s="204">
        <f t="shared" si="106"/>
        <v>52134.841121486425</v>
      </c>
      <c r="CI72" s="204">
        <f t="shared" si="106"/>
        <v>52710.720471029941</v>
      </c>
      <c r="CJ72" s="204">
        <f t="shared" si="106"/>
        <v>53286.599820573465</v>
      </c>
      <c r="CK72" s="204">
        <f t="shared" si="106"/>
        <v>53862.479170116974</v>
      </c>
      <c r="CL72" s="204">
        <f t="shared" si="106"/>
        <v>54438.358519660491</v>
      </c>
      <c r="CM72" s="204">
        <f t="shared" si="106"/>
        <v>55014.237869204007</v>
      </c>
      <c r="CN72" s="204">
        <f t="shared" si="106"/>
        <v>55590.117218747524</v>
      </c>
      <c r="CO72" s="204">
        <f t="shared" si="106"/>
        <v>56165.996568291041</v>
      </c>
      <c r="CP72" s="204">
        <f t="shared" si="106"/>
        <v>57912.28586340115</v>
      </c>
      <c r="CQ72" s="204">
        <f t="shared" si="106"/>
        <v>60828.985104077867</v>
      </c>
      <c r="CR72" s="204">
        <f t="shared" si="106"/>
        <v>63745.684344754569</v>
      </c>
      <c r="CS72" s="204">
        <f t="shared" si="106"/>
        <v>66662.383585431293</v>
      </c>
      <c r="CT72" s="204">
        <f t="shared" si="106"/>
        <v>69579.082826108002</v>
      </c>
      <c r="CU72" s="204">
        <f t="shared" si="106"/>
        <v>72495.782066784712</v>
      </c>
      <c r="CV72" s="204">
        <f t="shared" si="106"/>
        <v>75412.481307461421</v>
      </c>
      <c r="CW72" s="204">
        <f t="shared" si="106"/>
        <v>78329.180548138131</v>
      </c>
      <c r="CX72" s="204">
        <f t="shared" si="106"/>
        <v>81245.879788814855</v>
      </c>
      <c r="CY72" s="204">
        <f t="shared" si="106"/>
        <v>84162.579029491564</v>
      </c>
      <c r="CZ72" s="204">
        <f t="shared" si="106"/>
        <v>90510.829149829908</v>
      </c>
      <c r="DA72" s="204">
        <f t="shared" si="106"/>
        <v>100290.63014982991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50</v>
      </c>
      <c r="D107" s="214">
        <f>C23</f>
        <v>80</v>
      </c>
      <c r="E107" s="214">
        <f>D23</f>
        <v>95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76.294281613346101</v>
      </c>
      <c r="E108" s="212">
        <f>CR42</f>
        <v>6.8980461217762237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340.26</v>
      </c>
      <c r="D109" s="212">
        <f t="shared" ref="D109:D120" si="108">BU43</f>
        <v>183.36624245923937</v>
      </c>
      <c r="E109" s="212">
        <f t="shared" ref="E109:E120" si="109">CR43</f>
        <v>223.90762981804602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13.898365255733488</v>
      </c>
      <c r="E110" s="212">
        <f t="shared" si="109"/>
        <v>119.56956610754109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30971.005216102127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0.43106904447754762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197.5219846957695</v>
      </c>
      <c r="E112" s="212">
        <f t="shared" si="109"/>
        <v>936.58341076577403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14.666966986477666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-65.662997273021503</v>
      </c>
      <c r="E114" s="212">
        <f t="shared" si="109"/>
        <v>-111.40239936841401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4577.2427920166328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28.245643811495039</v>
      </c>
      <c r="E116" s="212">
        <f t="shared" si="109"/>
        <v>-63.552698575863836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142.21582898095406</v>
      </c>
      <c r="E117" s="212">
        <f t="shared" si="109"/>
        <v>-319.98561520714662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0</v>
      </c>
      <c r="E118" s="212">
        <f t="shared" si="109"/>
        <v>-16.573193867698912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0</v>
      </c>
      <c r="E119" s="212">
        <f t="shared" si="109"/>
        <v>-2450.6552641204121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2016-06-04T22:16:49Z</dcterms:modified>
  <cp:category/>
</cp:coreProperties>
</file>