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43" i="1"/>
  <c r="E42" i="1"/>
  <c r="E41" i="1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E37" i="7"/>
  <c r="F37" i="7"/>
  <c r="G37" i="7"/>
  <c r="H91" i="7"/>
  <c r="I91" i="7"/>
  <c r="B92" i="7"/>
  <c r="C92" i="7"/>
  <c r="D92" i="7"/>
  <c r="E38" i="7"/>
  <c r="G38" i="1"/>
  <c r="G38" i="7"/>
  <c r="F38" i="7"/>
  <c r="H92" i="7"/>
  <c r="I92" i="7"/>
  <c r="B93" i="7"/>
  <c r="C93" i="7"/>
  <c r="D93" i="7"/>
  <c r="E39" i="7"/>
  <c r="G39" i="1"/>
  <c r="G39" i="7"/>
  <c r="F39" i="7"/>
  <c r="H93" i="7"/>
  <c r="I93" i="7"/>
  <c r="B94" i="7"/>
  <c r="C94" i="7"/>
  <c r="D94" i="7"/>
  <c r="G40" i="1"/>
  <c r="G40" i="7"/>
  <c r="F40" i="7"/>
  <c r="E40" i="7"/>
  <c r="H94" i="7"/>
  <c r="I94" i="7"/>
  <c r="B95" i="7"/>
  <c r="C95" i="7"/>
  <c r="D95" i="7"/>
  <c r="G41" i="1"/>
  <c r="G41" i="7"/>
  <c r="E41" i="7"/>
  <c r="F41" i="7"/>
  <c r="H95" i="7"/>
  <c r="I95" i="7"/>
  <c r="B96" i="7"/>
  <c r="C96" i="7"/>
  <c r="D96" i="7"/>
  <c r="G42" i="1"/>
  <c r="G42" i="7"/>
  <c r="E42" i="7"/>
  <c r="F42" i="7"/>
  <c r="H96" i="7"/>
  <c r="I96" i="7"/>
  <c r="B97" i="7"/>
  <c r="C97" i="7"/>
  <c r="D97" i="7"/>
  <c r="G43" i="1"/>
  <c r="G43" i="7"/>
  <c r="E43" i="7"/>
  <c r="F43" i="7"/>
  <c r="H97" i="7"/>
  <c r="I97" i="7"/>
  <c r="B98" i="7"/>
  <c r="C98" i="7"/>
  <c r="D98" i="7"/>
  <c r="G44" i="1"/>
  <c r="G44" i="7"/>
  <c r="E44" i="7"/>
  <c r="F44" i="7"/>
  <c r="H98" i="7"/>
  <c r="I98" i="7"/>
  <c r="B99" i="7"/>
  <c r="C99" i="7"/>
  <c r="D99" i="7"/>
  <c r="G45" i="1"/>
  <c r="G45" i="7"/>
  <c r="E45" i="7"/>
  <c r="F45" i="7"/>
  <c r="H99" i="7"/>
  <c r="I99" i="7"/>
  <c r="B100" i="7"/>
  <c r="C100" i="7"/>
  <c r="D100" i="7"/>
  <c r="G46" i="1"/>
  <c r="G46" i="7"/>
  <c r="E46" i="7"/>
  <c r="F46" i="7"/>
  <c r="H100" i="7"/>
  <c r="I100" i="7"/>
  <c r="B101" i="7"/>
  <c r="C101" i="7"/>
  <c r="D101" i="7"/>
  <c r="E47" i="7"/>
  <c r="G47" i="1"/>
  <c r="G47" i="7"/>
  <c r="F47" i="7"/>
  <c r="H101" i="7"/>
  <c r="I101" i="7"/>
  <c r="B102" i="7"/>
  <c r="C102" i="7"/>
  <c r="D102" i="7"/>
  <c r="E48" i="7"/>
  <c r="G48" i="1"/>
  <c r="G48" i="7"/>
  <c r="F48" i="7"/>
  <c r="H102" i="7"/>
  <c r="I102" i="7"/>
  <c r="B103" i="7"/>
  <c r="C103" i="7"/>
  <c r="D103" i="7"/>
  <c r="G49" i="1"/>
  <c r="G49" i="7"/>
  <c r="F49" i="7"/>
  <c r="E49" i="7"/>
  <c r="H103" i="7"/>
  <c r="I103" i="7"/>
  <c r="B104" i="7"/>
  <c r="C104" i="7"/>
  <c r="D104" i="7"/>
  <c r="G50" i="1"/>
  <c r="G50" i="7"/>
  <c r="F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F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F70" i="7"/>
  <c r="H124" i="7"/>
  <c r="I124" i="7"/>
  <c r="I30" i="7"/>
  <c r="I32" i="7"/>
  <c r="B125" i="7"/>
  <c r="I128" i="7"/>
  <c r="F71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29" i="8"/>
  <c r="B83" i="8"/>
  <c r="G37" i="8"/>
  <c r="H83" i="8"/>
  <c r="I83" i="8"/>
  <c r="F70" i="8"/>
  <c r="H70" i="8"/>
  <c r="F71" i="8"/>
  <c r="H71" i="8"/>
  <c r="F72" i="8"/>
  <c r="H72" i="8"/>
  <c r="T26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8"/>
  <c r="F37" i="8"/>
  <c r="H91" i="8"/>
  <c r="I91" i="8"/>
  <c r="B92" i="8"/>
  <c r="C92" i="8"/>
  <c r="D92" i="8"/>
  <c r="E38" i="8"/>
  <c r="G38" i="8"/>
  <c r="F38" i="8"/>
  <c r="H92" i="8"/>
  <c r="I92" i="8"/>
  <c r="B93" i="8"/>
  <c r="C93" i="8"/>
  <c r="D93" i="8"/>
  <c r="E39" i="8"/>
  <c r="G39" i="8"/>
  <c r="F39" i="8"/>
  <c r="H93" i="8"/>
  <c r="I93" i="8"/>
  <c r="B94" i="8"/>
  <c r="C94" i="8"/>
  <c r="D94" i="8"/>
  <c r="G40" i="8"/>
  <c r="F40" i="8"/>
  <c r="E40" i="8"/>
  <c r="H94" i="8"/>
  <c r="I94" i="8"/>
  <c r="B95" i="8"/>
  <c r="C95" i="8"/>
  <c r="D95" i="8"/>
  <c r="G41" i="8"/>
  <c r="E41" i="8"/>
  <c r="F41" i="8"/>
  <c r="H95" i="8"/>
  <c r="I95" i="8"/>
  <c r="B96" i="8"/>
  <c r="C96" i="8"/>
  <c r="D96" i="8"/>
  <c r="G42" i="8"/>
  <c r="E42" i="8"/>
  <c r="F42" i="8"/>
  <c r="H96" i="8"/>
  <c r="I96" i="8"/>
  <c r="B97" i="8"/>
  <c r="C97" i="8"/>
  <c r="D97" i="8"/>
  <c r="G43" i="8"/>
  <c r="E43" i="8"/>
  <c r="F43" i="8"/>
  <c r="H97" i="8"/>
  <c r="I97" i="8"/>
  <c r="B98" i="8"/>
  <c r="C98" i="8"/>
  <c r="D98" i="8"/>
  <c r="G44" i="8"/>
  <c r="E44" i="8"/>
  <c r="F44" i="8"/>
  <c r="H98" i="8"/>
  <c r="I98" i="8"/>
  <c r="B99" i="8"/>
  <c r="C99" i="8"/>
  <c r="D99" i="8"/>
  <c r="G45" i="8"/>
  <c r="E45" i="8"/>
  <c r="F45" i="8"/>
  <c r="H99" i="8"/>
  <c r="I99" i="8"/>
  <c r="B100" i="8"/>
  <c r="C100" i="8"/>
  <c r="D100" i="8"/>
  <c r="G46" i="8"/>
  <c r="E46" i="8"/>
  <c r="F46" i="8"/>
  <c r="H100" i="8"/>
  <c r="I100" i="8"/>
  <c r="B101" i="8"/>
  <c r="C101" i="8"/>
  <c r="D101" i="8"/>
  <c r="E47" i="8"/>
  <c r="G47" i="8"/>
  <c r="F47" i="8"/>
  <c r="H101" i="8"/>
  <c r="I101" i="8"/>
  <c r="B102" i="8"/>
  <c r="C102" i="8"/>
  <c r="D102" i="8"/>
  <c r="E48" i="8"/>
  <c r="G48" i="8"/>
  <c r="F48" i="8"/>
  <c r="H102" i="8"/>
  <c r="I102" i="8"/>
  <c r="B103" i="8"/>
  <c r="C103" i="8"/>
  <c r="D103" i="8"/>
  <c r="G49" i="8"/>
  <c r="F49" i="8"/>
  <c r="E49" i="8"/>
  <c r="H103" i="8"/>
  <c r="I103" i="8"/>
  <c r="B104" i="8"/>
  <c r="C104" i="8"/>
  <c r="D104" i="8"/>
  <c r="G50" i="8"/>
  <c r="F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F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91" i="12"/>
  <c r="C91" i="12"/>
  <c r="D91" i="12"/>
  <c r="I91" i="12"/>
  <c r="G38" i="12"/>
  <c r="E38" i="12"/>
  <c r="F38" i="12"/>
  <c r="H92" i="12"/>
  <c r="B92" i="12"/>
  <c r="C92" i="12"/>
  <c r="D92" i="12"/>
  <c r="I92" i="12"/>
  <c r="G39" i="12"/>
  <c r="E39" i="12"/>
  <c r="F39" i="12"/>
  <c r="H93" i="12"/>
  <c r="B93" i="12"/>
  <c r="C93" i="12"/>
  <c r="D93" i="12"/>
  <c r="I93" i="12"/>
  <c r="G40" i="12"/>
  <c r="F40" i="12"/>
  <c r="E40" i="12"/>
  <c r="H94" i="12"/>
  <c r="B94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G44" i="12"/>
  <c r="E44" i="12"/>
  <c r="F44" i="12"/>
  <c r="H98" i="12"/>
  <c r="B98" i="12"/>
  <c r="C98" i="12"/>
  <c r="D98" i="12"/>
  <c r="I98" i="12"/>
  <c r="G45" i="12"/>
  <c r="E45" i="12"/>
  <c r="F45" i="12"/>
  <c r="H99" i="12"/>
  <c r="B99" i="12"/>
  <c r="C99" i="12"/>
  <c r="D99" i="12"/>
  <c r="I99" i="12"/>
  <c r="G46" i="12"/>
  <c r="E46" i="12"/>
  <c r="F46" i="12"/>
  <c r="H100" i="12"/>
  <c r="B100" i="12"/>
  <c r="C100" i="12"/>
  <c r="D100" i="12"/>
  <c r="I100" i="12"/>
  <c r="G47" i="12"/>
  <c r="E47" i="12"/>
  <c r="F47" i="12"/>
  <c r="H101" i="12"/>
  <c r="B101" i="12"/>
  <c r="C101" i="12"/>
  <c r="D101" i="12"/>
  <c r="I101" i="12"/>
  <c r="G48" i="12"/>
  <c r="E48" i="12"/>
  <c r="F48" i="12"/>
  <c r="H102" i="12"/>
  <c r="B102" i="12"/>
  <c r="C102" i="12"/>
  <c r="D102" i="12"/>
  <c r="I102" i="12"/>
  <c r="G49" i="12"/>
  <c r="F49" i="12"/>
  <c r="E49" i="12"/>
  <c r="H103" i="12"/>
  <c r="B103" i="12"/>
  <c r="C103" i="12"/>
  <c r="D103" i="12"/>
  <c r="I103" i="12"/>
  <c r="G50" i="12"/>
  <c r="F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F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<sst xmlns="http://schemas.openxmlformats.org/spreadsheetml/2006/main" count="790" uniqueCount="145">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</sst>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0.0136635430402166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0.00973420708215375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0.201929865816097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0.369781487213845</c:v>
                </c:pt>
                <c:pt idx="2" formatCode="0.0%">
                  <c:v>0.39360821268826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736520"/>
        <c:axId val="-2019733224"/>
      </c:barChart>
      <c:catAx>
        <c:axId val="-201973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73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73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73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0.0653390232637722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0.0432529802025627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0.0413350345972503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982264"/>
        <c:axId val="2144976712"/>
      </c:barChart>
      <c:catAx>
        <c:axId val="214498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7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97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8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0.0351278752546308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0.025675223195679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0.00282663007658852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813496"/>
        <c:axId val="2144816520"/>
      </c:barChart>
      <c:catAx>
        <c:axId val="214481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1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81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13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650536"/>
        <c:axId val="2144645176"/>
      </c:barChart>
      <c:catAx>
        <c:axId val="214465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4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64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5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4883.695349548468</c:v>
                </c:pt>
                <c:pt idx="6">
                  <c:v>3943.407359429385</c:v>
                </c:pt>
                <c:pt idx="7">
                  <c:v>2911.783314653618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2279.435978965078</c:v>
                </c:pt>
                <c:pt idx="6">
                  <c:v>35901.22609241137</c:v>
                </c:pt>
                <c:pt idx="7">
                  <c:v>14520.54497539328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8734.486206953499</c:v>
                </c:pt>
                <c:pt idx="6">
                  <c:v>27153.21363161157</c:v>
                </c:pt>
                <c:pt idx="7">
                  <c:v>30907.43018792992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492584"/>
        <c:axId val="21444956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92584"/>
        <c:axId val="2144495688"/>
      </c:lineChart>
      <c:catAx>
        <c:axId val="214449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49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49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49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394200"/>
        <c:axId val="21443975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94200"/>
        <c:axId val="2144397528"/>
      </c:lineChart>
      <c:catAx>
        <c:axId val="214439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39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39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394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645784"/>
        <c:axId val="20775819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45784"/>
        <c:axId val="2077581928"/>
      </c:lineChart>
      <c:catAx>
        <c:axId val="2077645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58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58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64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0.265319519245888</c:v>
                </c:pt>
                <c:pt idx="2">
                  <c:v>0.246994294397181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0.134730752545278</c:v>
                </c:pt>
                <c:pt idx="2">
                  <c:v>0.143412075880433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-0.0795352188073646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942296"/>
        <c:axId val="2077522104"/>
      </c:barChart>
      <c:catAx>
        <c:axId val="207794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52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52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942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0.294072435076278</c:v>
                </c:pt>
                <c:pt idx="2">
                  <c:v>0.294072435076278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0.0156599043413382</c:v>
                </c:pt>
                <c:pt idx="2">
                  <c:v>0.0232392670834208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232152"/>
        <c:axId val="2078225368"/>
      </c:barChart>
      <c:catAx>
        <c:axId val="20782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22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22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2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0.563662912049204</c:v>
                </c:pt>
                <c:pt idx="2">
                  <c:v>0.566574177050177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128168"/>
        <c:axId val="2078122488"/>
      </c:barChart>
      <c:catAx>
        <c:axId val="207812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12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12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12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0.497044286152657</c:v>
                </c:pt>
                <c:pt idx="2">
                  <c:v>0.497044286152657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0.238850530434812</c:v>
                </c:pt>
                <c:pt idx="2">
                  <c:v>0.343915608718454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-0.424532422703463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990520"/>
        <c:axId val="2077986120"/>
      </c:barChart>
      <c:catAx>
        <c:axId val="207799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98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98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99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0.0632711511977807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0.108202277873376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0.0153642477929449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0.278300808295227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0.34937570217952</c:v>
                </c:pt>
                <c:pt idx="2" formatCode="0.0%">
                  <c:v>0.31389311479323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601512"/>
        <c:axId val="-2016598520"/>
      </c:barChart>
      <c:catAx>
        <c:axId val="-201660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59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59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60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007288"/>
        <c:axId val="-20390039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07288"/>
        <c:axId val="-20390039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007288"/>
        <c:axId val="-2039003928"/>
      </c:scatterChart>
      <c:catAx>
        <c:axId val="-2039007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003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003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007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843336"/>
        <c:axId val="-21415737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43336"/>
        <c:axId val="-2141573784"/>
      </c:lineChart>
      <c:catAx>
        <c:axId val="-2095843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73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573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58433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02536"/>
        <c:axId val="20778909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88024"/>
        <c:axId val="2077882872"/>
      </c:scatterChart>
      <c:valAx>
        <c:axId val="20779025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890984"/>
        <c:crosses val="autoZero"/>
        <c:crossBetween val="midCat"/>
      </c:valAx>
      <c:valAx>
        <c:axId val="2077890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902536"/>
        <c:crosses val="autoZero"/>
        <c:crossBetween val="midCat"/>
      </c:valAx>
      <c:valAx>
        <c:axId val="20778880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77882872"/>
        <c:crosses val="autoZero"/>
        <c:crossBetween val="midCat"/>
      </c:valAx>
      <c:valAx>
        <c:axId val="20778828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8880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088"/>
        <c:axId val="20775168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32088"/>
        <c:axId val="2077516856"/>
      </c:lineChart>
      <c:catAx>
        <c:axId val="207753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516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7516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5320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0.06095727167359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0.0337280960533358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0.0332614997344801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0.468393825504333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0.293591285122663</c:v>
                </c:pt>
                <c:pt idx="2" formatCode="0.0%">
                  <c:v>0.262101712856178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74936"/>
        <c:axId val="-2020071640"/>
      </c:barChart>
      <c:catAx>
        <c:axId val="-202007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07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07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07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0.391352140530694</c:v>
                </c:pt>
                <c:pt idx="2" formatCode="0.0%">
                  <c:v>0.563499312263898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76920"/>
        <c:axId val="-2019973624"/>
      </c:barChart>
      <c:catAx>
        <c:axId val="-201997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97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97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97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0.552740600638355</c:v>
                </c:pt>
                <c:pt idx="1">
                  <c:v>0.287932993471234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0.0726340642115015</c:v>
                </c:pt>
                <c:pt idx="1">
                  <c:v>0.0378364526004537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0.0359349694807369</c:v>
                </c:pt>
                <c:pt idx="1">
                  <c:v>0.0187192026801297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0.201929865816097</c:v>
                </c:pt>
                <c:pt idx="1">
                  <c:v>0.201929865816097</c:v>
                </c:pt>
                <c:pt idx="2">
                  <c:v>0.201929865816097</c:v>
                </c:pt>
                <c:pt idx="3">
                  <c:v>0.201929865816097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0.316820985578776</c:v>
                </c:pt>
                <c:pt idx="2">
                  <c:v>0.6538002943555</c:v>
                </c:pt>
                <c:pt idx="3">
                  <c:v>0.603811570818763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95880"/>
        <c:axId val="-2017192568"/>
      </c:barChart>
      <c:catAx>
        <c:axId val="-2017195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925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19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9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0.305301028451409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0.636065006583414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45512"/>
        <c:axId val="-2017150024"/>
      </c:barChart>
      <c:catAx>
        <c:axId val="-2016545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50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15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4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0.174488555890623</c:v>
                </c:pt>
                <c:pt idx="1">
                  <c:v>0.0785960489004997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0.0870441429222801</c:v>
                </c:pt>
                <c:pt idx="1">
                  <c:v>0.0392078762913829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0.298399173284894</c:v>
                </c:pt>
                <c:pt idx="1">
                  <c:v>0.13440993820861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0.278300808295227</c:v>
                </c:pt>
                <c:pt idx="1">
                  <c:v>0.278300808295227</c:v>
                </c:pt>
                <c:pt idx="2">
                  <c:v>0.278300808295227</c:v>
                </c:pt>
                <c:pt idx="3">
                  <c:v>0.278300808295227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0.307718008697305</c:v>
                </c:pt>
                <c:pt idx="2">
                  <c:v>0.534185563611763</c:v>
                </c:pt>
                <c:pt idx="3">
                  <c:v>0.413668886863853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80536"/>
        <c:axId val="-2017383928"/>
      </c:barChart>
      <c:catAx>
        <c:axId val="-20173805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83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38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8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0.190946656311247</c:v>
                </c:pt>
                <c:pt idx="1">
                  <c:v>0.052882430383113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0.173022637226703</c:v>
                </c:pt>
                <c:pt idx="1">
                  <c:v>0.0479183963972077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0.105652155818504</c:v>
                </c:pt>
                <c:pt idx="1">
                  <c:v>0.0292602283948388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0.468393825504333</c:v>
                </c:pt>
                <c:pt idx="1">
                  <c:v>0.468393825504333</c:v>
                </c:pt>
                <c:pt idx="2">
                  <c:v>0.468393825504333</c:v>
                </c:pt>
                <c:pt idx="3">
                  <c:v>0.468393825504333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0.339560394181295</c:v>
                </c:pt>
                <c:pt idx="2">
                  <c:v>0.442587825446118</c:v>
                </c:pt>
                <c:pt idx="3">
                  <c:v>0.266258631797301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443960"/>
        <c:axId val="2144827800"/>
      </c:barChart>
      <c:catAx>
        <c:axId val="2144443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27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482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443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0.0443193300370221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0.00336614975734585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167016"/>
        <c:axId val="2145170040"/>
      </c:barChart>
      <c:catAx>
        <c:axId val="214516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17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17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16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>$M6*AB6*4</f>
        <v>0</v>
      </c>
      <c r="AD6" s="156">
        <f>Poor!AD6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2.0250600426970293E-2</v>
      </c>
      <c r="AH7" s="123">
        <f t="shared" ref="AH7:AH30" si="10">SUM(Z7,AB7,AD7,AF7)</f>
        <v>1</v>
      </c>
      <c r="AI7" s="183">
        <f t="shared" ref="AI7:AI30" si="11">SUM(AA7,AC7,AE7,AG7)/4</f>
        <v>5.0626501067425732E-3</v>
      </c>
      <c r="AJ7" s="120">
        <f t="shared" ref="AJ7:AJ31" si="12">(AA7+AC7)/2</f>
        <v>0</v>
      </c>
      <c r="AK7" s="119">
        <f t="shared" ref="AK7:AK31" si="13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7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5.0101493776908028E-2</v>
      </c>
      <c r="AJ8" s="120">
        <f t="shared" si="12"/>
        <v>0.10020298755381606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7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1.2625201921366307E-2</v>
      </c>
      <c r="AJ9" s="120">
        <f t="shared" si="12"/>
        <v>2.5250403842732614E-2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2.5026948941469486E-2</v>
      </c>
      <c r="AJ10" s="120">
        <f t="shared" si="12"/>
        <v>5.0053897882938972E-2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0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5">
        <f t="shared" ref="M16:M25" si="21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5">
        <f t="shared" si="21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5">
        <f t="shared" si="21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5">
        <f t="shared" si="21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5">
        <f t="shared" si="21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5">
        <f t="shared" si="21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5">
        <f t="shared" si="21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5">
        <f t="shared" si="21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40842.398998525372</v>
      </c>
      <c r="T23" s="179">
        <f>SUM(T7:T22)</f>
        <v>40842.398998525372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5">
        <f t="shared" si="21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5">
        <f t="shared" si="21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4"/>
        <v>0.11904761904761904</v>
      </c>
      <c r="AB26" s="156">
        <f>Poor!AB26</f>
        <v>0.25</v>
      </c>
      <c r="AC26" s="121">
        <f t="shared" si="22"/>
        <v>0.11904761904761904</v>
      </c>
      <c r="AD26" s="156">
        <f>Poor!AD26</f>
        <v>0.25</v>
      </c>
      <c r="AE26" s="121">
        <f t="shared" si="23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7"/>
        <v>0.89854709576798808</v>
      </c>
      <c r="Z29" s="156">
        <f>Poor!Z29</f>
        <v>0.25</v>
      </c>
      <c r="AA29" s="121">
        <f t="shared" si="14"/>
        <v>0.22463677394199702</v>
      </c>
      <c r="AB29" s="156">
        <f>Poor!AB29</f>
        <v>0.25</v>
      </c>
      <c r="AC29" s="121">
        <f t="shared" si="22"/>
        <v>0.22463677394199702</v>
      </c>
      <c r="AD29" s="156">
        <f>Poor!AD29</f>
        <v>0.25</v>
      </c>
      <c r="AE29" s="121">
        <f t="shared" si="23"/>
        <v>0.22463677394199702</v>
      </c>
      <c r="AF29" s="122">
        <f t="shared" si="8"/>
        <v>0.25</v>
      </c>
      <c r="AG29" s="121">
        <f t="shared" si="9"/>
        <v>0.22463677394199702</v>
      </c>
      <c r="AH29" s="123">
        <f t="shared" si="10"/>
        <v>1</v>
      </c>
      <c r="AI29" s="183">
        <f t="shared" si="11"/>
        <v>0.22463677394199702</v>
      </c>
      <c r="AJ29" s="120">
        <f t="shared" si="12"/>
        <v>0.22463677394199702</v>
      </c>
      <c r="AK29" s="119">
        <f t="shared" si="13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0.81439779501550036</v>
      </c>
      <c r="J30" s="230">
        <f>IF(I$32&lt;=1,I30,1-SUM(J6:J29))</f>
        <v>0.5634993122638976</v>
      </c>
      <c r="K30" s="22">
        <f t="shared" si="4"/>
        <v>0.68939859227895406</v>
      </c>
      <c r="L30" s="22">
        <f>IF(L124=L119,0,IF(K30="",0,(L119-L124)/(B119-B124)*K30))</f>
        <v>0.39135214053069445</v>
      </c>
      <c r="M30" s="175">
        <f t="shared" si="6"/>
        <v>0.5634993122638976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2.2539972490555904</v>
      </c>
      <c r="Z30" s="122">
        <f>IF($Y30=0,0,AA30/($Y$30))</f>
        <v>0.1354487138701379</v>
      </c>
      <c r="AA30" s="187">
        <f>IF(AA79*4/$I$83+SUM(AA6:AA29)&lt;1,AA79*4/$I$83,1-SUM(AA6:AA29))</f>
        <v>0.30530102845140861</v>
      </c>
      <c r="AB30" s="122">
        <f>IF($Y30=0,0,AC30/($Y$30))</f>
        <v>0.29117853062392857</v>
      </c>
      <c r="AC30" s="187">
        <f>IF(AC79*4/$I$83+SUM(AC6:AC29)&lt;1,AC79*4/$I$83,1-SUM(AC6:AC29))</f>
        <v>0.65631560701038394</v>
      </c>
      <c r="AD30" s="122">
        <f>IF($Y30=0,0,AE30/($Y$30))</f>
        <v>0.29117853062392857</v>
      </c>
      <c r="AE30" s="187">
        <f>IF(AE79*4/$I$83+SUM(AE6:AE29)&lt;1,AE79*4/$I$83,1-SUM(AE6:AE29))</f>
        <v>0.65631560701038394</v>
      </c>
      <c r="AF30" s="122">
        <f>IF($Y30=0,0,AG30/($Y$30))</f>
        <v>0.28219422488200491</v>
      </c>
      <c r="AG30" s="187">
        <f>IF(AG79*4/$I$83+SUM(AG6:AG29)&lt;1,AG79*4/$I$83,1-SUM(AG6:AG29))</f>
        <v>0.63606500658341369</v>
      </c>
      <c r="AH30" s="123">
        <f t="shared" si="10"/>
        <v>1</v>
      </c>
      <c r="AI30" s="183">
        <f t="shared" si="11"/>
        <v>0.5634993122638976</v>
      </c>
      <c r="AJ30" s="120">
        <f t="shared" si="12"/>
        <v>0.48080831773089627</v>
      </c>
      <c r="AK30" s="119">
        <f t="shared" si="13"/>
        <v>0.64619030679689882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0.14919591507566277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3038.5228533498084</v>
      </c>
      <c r="S31" s="233">
        <f t="shared" si="24"/>
        <v>13509.834640203349</v>
      </c>
      <c r="T31" s="233">
        <f>IF(T25&gt;T$23,T25-T$23,0)</f>
        <v>13509.834640203349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1.2508984827516028</v>
      </c>
      <c r="J32" s="17"/>
      <c r="L32" s="22">
        <f>SUM(L6:L30)</f>
        <v>0.85080408492433723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46247.754640203362</v>
      </c>
      <c r="T32" s="233">
        <f t="shared" si="24"/>
        <v>46247.754640203362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1.0797533570304763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11821.105310177933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1062</v>
      </c>
      <c r="J38" s="38">
        <f t="shared" ref="J38:J64" si="29">J92*I$83</f>
        <v>1062</v>
      </c>
      <c r="K38" s="40">
        <f t="shared" ref="K38:K64" si="30">(B38/B$65)</f>
        <v>4.040222661159993E-2</v>
      </c>
      <c r="L38" s="22">
        <f t="shared" ref="L38:L64" si="31">(K38*H38)</f>
        <v>3.8139701921350334E-2</v>
      </c>
      <c r="M38" s="24">
        <f t="shared" ref="M38:M64" si="32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1062</v>
      </c>
      <c r="AH38" s="123">
        <f t="shared" ref="AH38:AI58" si="34">SUM(Z38,AB38,AD38,AF38)</f>
        <v>1</v>
      </c>
      <c r="AI38" s="112">
        <f t="shared" si="34"/>
        <v>1062</v>
      </c>
      <c r="AJ38" s="148">
        <f t="shared" ref="AJ38:AJ64" si="35">(AA38+AC38)</f>
        <v>0</v>
      </c>
      <c r="AK38" s="147">
        <f t="shared" ref="AK38:AK64" si="36">(AE38+AG38)</f>
        <v>1062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843.6</v>
      </c>
      <c r="J44" s="38">
        <f t="shared" si="29"/>
        <v>843.60000000000014</v>
      </c>
      <c r="K44" s="40">
        <f t="shared" si="30"/>
        <v>2.7293948644280839E-2</v>
      </c>
      <c r="L44" s="22">
        <f t="shared" si="31"/>
        <v>3.0296282995151733E-2</v>
      </c>
      <c r="M44" s="24">
        <f t="shared" si="32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210.90000000000003</v>
      </c>
      <c r="AB44" s="156">
        <f>Poor!AB44</f>
        <v>0.25</v>
      </c>
      <c r="AC44" s="147">
        <f t="shared" si="38"/>
        <v>210.90000000000003</v>
      </c>
      <c r="AD44" s="156">
        <f>Poor!AD44</f>
        <v>0.25</v>
      </c>
      <c r="AE44" s="147">
        <f t="shared" si="39"/>
        <v>210.90000000000003</v>
      </c>
      <c r="AF44" s="122">
        <f t="shared" si="26"/>
        <v>0.25</v>
      </c>
      <c r="AG44" s="147">
        <f t="shared" si="33"/>
        <v>210.90000000000003</v>
      </c>
      <c r="AH44" s="123">
        <f t="shared" si="34"/>
        <v>1</v>
      </c>
      <c r="AI44" s="112">
        <f t="shared" si="34"/>
        <v>843.60000000000014</v>
      </c>
      <c r="AJ44" s="148">
        <f t="shared" si="35"/>
        <v>421.80000000000007</v>
      </c>
      <c r="AK44" s="147">
        <f t="shared" si="36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27"/>
        <v>1.1100000000000001</v>
      </c>
      <c r="I45" s="39">
        <f t="shared" si="28"/>
        <v>1043.4000000000001</v>
      </c>
      <c r="J45" s="38">
        <f t="shared" si="29"/>
        <v>1043.4000000000001</v>
      </c>
      <c r="K45" s="40">
        <f t="shared" si="30"/>
        <v>3.3758304902136826E-2</v>
      </c>
      <c r="L45" s="22">
        <f t="shared" si="31"/>
        <v>3.7471718441371878E-2</v>
      </c>
      <c r="M45" s="24">
        <f t="shared" si="32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260.85000000000002</v>
      </c>
      <c r="AB45" s="156">
        <f>Poor!AB45</f>
        <v>0.25</v>
      </c>
      <c r="AC45" s="147">
        <f t="shared" si="38"/>
        <v>260.85000000000002</v>
      </c>
      <c r="AD45" s="156">
        <f>Poor!AD45</f>
        <v>0.25</v>
      </c>
      <c r="AE45" s="147">
        <f t="shared" si="39"/>
        <v>260.85000000000002</v>
      </c>
      <c r="AF45" s="122">
        <f t="shared" si="26"/>
        <v>0.25</v>
      </c>
      <c r="AG45" s="147">
        <f t="shared" si="33"/>
        <v>260.85000000000002</v>
      </c>
      <c r="AH45" s="123">
        <f t="shared" si="34"/>
        <v>1</v>
      </c>
      <c r="AI45" s="112">
        <f t="shared" si="34"/>
        <v>1043.4000000000001</v>
      </c>
      <c r="AJ45" s="148">
        <f t="shared" si="35"/>
        <v>521.70000000000005</v>
      </c>
      <c r="AK45" s="147">
        <f t="shared" si="36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27"/>
        <v>1.1100000000000001</v>
      </c>
      <c r="I46" s="39">
        <f t="shared" si="28"/>
        <v>5328.0000000000009</v>
      </c>
      <c r="J46" s="38">
        <f t="shared" si="29"/>
        <v>5328.0000000000009</v>
      </c>
      <c r="K46" s="40">
        <f t="shared" si="30"/>
        <v>0.17238283354282635</v>
      </c>
      <c r="L46" s="22">
        <f t="shared" si="31"/>
        <v>0.19134494523253726</v>
      </c>
      <c r="M46" s="24">
        <f t="shared" si="32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1332.0000000000002</v>
      </c>
      <c r="AB46" s="156">
        <f>Poor!AB46</f>
        <v>0.25</v>
      </c>
      <c r="AC46" s="147">
        <f t="shared" si="38"/>
        <v>1332.0000000000002</v>
      </c>
      <c r="AD46" s="156">
        <f>Poor!AD46</f>
        <v>0.25</v>
      </c>
      <c r="AE46" s="147">
        <f t="shared" si="39"/>
        <v>1332.0000000000002</v>
      </c>
      <c r="AF46" s="122">
        <f t="shared" si="26"/>
        <v>0.25</v>
      </c>
      <c r="AG46" s="147">
        <f t="shared" si="33"/>
        <v>1332.0000000000002</v>
      </c>
      <c r="AH46" s="123">
        <f t="shared" si="34"/>
        <v>1</v>
      </c>
      <c r="AI46" s="112">
        <f t="shared" si="34"/>
        <v>5328.0000000000009</v>
      </c>
      <c r="AJ46" s="148">
        <f t="shared" si="35"/>
        <v>2664.0000000000005</v>
      </c>
      <c r="AK46" s="147">
        <f t="shared" si="36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27"/>
        <v>0.94399999999999995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23859.599999999999</v>
      </c>
      <c r="J49" s="38">
        <f t="shared" si="29"/>
        <v>23859.600000000002</v>
      </c>
      <c r="K49" s="40">
        <f t="shared" si="30"/>
        <v>0.72616268629915603</v>
      </c>
      <c r="L49" s="22">
        <f t="shared" si="31"/>
        <v>0.85687196983300407</v>
      </c>
      <c r="M49" s="24">
        <f t="shared" si="32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5964.9000000000005</v>
      </c>
      <c r="AB49" s="156">
        <f>Poor!AB49</f>
        <v>0.25</v>
      </c>
      <c r="AC49" s="147">
        <f t="shared" si="38"/>
        <v>5964.9000000000005</v>
      </c>
      <c r="AD49" s="156">
        <f>Poor!AD49</f>
        <v>0.25</v>
      </c>
      <c r="AE49" s="147">
        <f t="shared" si="39"/>
        <v>5964.9000000000005</v>
      </c>
      <c r="AF49" s="122">
        <f t="shared" si="26"/>
        <v>0.25</v>
      </c>
      <c r="AG49" s="147">
        <f t="shared" si="33"/>
        <v>5964.9000000000005</v>
      </c>
      <c r="AH49" s="123">
        <f t="shared" si="34"/>
        <v>1</v>
      </c>
      <c r="AI49" s="112">
        <f t="shared" si="34"/>
        <v>23859.600000000002</v>
      </c>
      <c r="AJ49" s="148">
        <f t="shared" si="35"/>
        <v>11929.800000000001</v>
      </c>
      <c r="AK49" s="147">
        <f t="shared" si="36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27"/>
        <v>1.18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27"/>
        <v>1.1100000000000001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32136.6</v>
      </c>
      <c r="J65" s="39">
        <f>SUM(J37:J64)</f>
        <v>32136.600000000002</v>
      </c>
      <c r="K65" s="40">
        <f>SUM(K37:K64)</f>
        <v>1</v>
      </c>
      <c r="L65" s="22">
        <f>SUM(L37:L64)</f>
        <v>1.1541246184234153</v>
      </c>
      <c r="M65" s="24">
        <f>SUM(M37:M64)</f>
        <v>1.1541246184234155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7768.6500000000005</v>
      </c>
      <c r="AB65" s="137"/>
      <c r="AC65" s="153">
        <f>SUM(AC37:AC64)</f>
        <v>7768.6500000000005</v>
      </c>
      <c r="AD65" s="137"/>
      <c r="AE65" s="153">
        <f>SUM(AE37:AE64)</f>
        <v>7768.6500000000005</v>
      </c>
      <c r="AF65" s="137"/>
      <c r="AG65" s="153">
        <f>SUM(AG37:AG64)</f>
        <v>8830.6500000000015</v>
      </c>
      <c r="AH65" s="137"/>
      <c r="AI65" s="153">
        <f>SUM(AI37:AI64)</f>
        <v>32136.600000000002</v>
      </c>
      <c r="AJ65" s="153">
        <f>SUM(AJ37:AJ64)</f>
        <v>15537.300000000001</v>
      </c>
      <c r="AK65" s="153">
        <f>SUM(AK37:AK64)</f>
        <v>16599.300000000003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1">J124*I$83</f>
        <v>18296.40185207926</v>
      </c>
      <c r="K70" s="40">
        <f t="shared" ref="K70:K75" si="42">B70/B$76</f>
        <v>0.46934309447911304</v>
      </c>
      <c r="L70" s="22">
        <f t="shared" ref="L70:L75" si="43">(L124*G$37*F$9/F$7)/B$130</f>
        <v>0.65708033227075802</v>
      </c>
      <c r="M70" s="24">
        <f t="shared" ref="M70:M75" si="44"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13840.198147920741</v>
      </c>
      <c r="J71" s="51">
        <f t="shared" si="41"/>
        <v>13840.198147920741</v>
      </c>
      <c r="K71" s="40">
        <f t="shared" si="42"/>
        <v>0.48954330520141259</v>
      </c>
      <c r="L71" s="22">
        <f t="shared" si="43"/>
        <v>0.49704428615265711</v>
      </c>
      <c r="M71" s="24">
        <f t="shared" si="44"/>
        <v>0.49704428615265722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0.87182618064284434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0.14627401687915245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13840.198147920741</v>
      </c>
      <c r="J74" s="51">
        <f t="shared" si="41"/>
        <v>9576.3301247653417</v>
      </c>
      <c r="K74" s="40">
        <f t="shared" si="42"/>
        <v>0.2550027973234395</v>
      </c>
      <c r="L74" s="22">
        <f t="shared" si="43"/>
        <v>0.2388505304348118</v>
      </c>
      <c r="M74" s="24">
        <f t="shared" si="44"/>
        <v>0.34391560871845367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1297.1015989953228</v>
      </c>
      <c r="AB74" s="156"/>
      <c r="AC74" s="147">
        <f>AC30*$I$83/4</f>
        <v>2788.4217344988347</v>
      </c>
      <c r="AD74" s="156"/>
      <c r="AE74" s="147">
        <f>AE30*$I$83/4</f>
        <v>2788.4217344988347</v>
      </c>
      <c r="AF74" s="156"/>
      <c r="AG74" s="147">
        <f>AG30*$I$83/4</f>
        <v>2702.3850567723493</v>
      </c>
      <c r="AH74" s="155"/>
      <c r="AI74" s="147">
        <f>SUM(AA74,AC74,AE74,AG74)</f>
        <v>9576.3301247653417</v>
      </c>
      <c r="AJ74" s="148">
        <f>(AA74+AC74)</f>
        <v>4085.5233334941577</v>
      </c>
      <c r="AK74" s="147">
        <f>(AE74+AG74)</f>
        <v>5490.806791271184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3451.6124181926998</v>
      </c>
      <c r="AB75" s="158"/>
      <c r="AC75" s="149">
        <f>AA75+AC65-SUM(AC70,AC74)</f>
        <v>3857.7402206740508</v>
      </c>
      <c r="AD75" s="158"/>
      <c r="AE75" s="149">
        <f>AC75+AE65-SUM(AE70,AE74)</f>
        <v>4263.8680231554017</v>
      </c>
      <c r="AF75" s="158"/>
      <c r="AG75" s="149">
        <f>IF(SUM(AG6:AG29)+((AG65-AG70-$J$75)*4/I$83)&lt;1,0,AG65-AG70-$J$75-(1-SUM(AG6:AG29))*I$83/4)</f>
        <v>1554.1644802078372</v>
      </c>
      <c r="AH75" s="134"/>
      <c r="AI75" s="149">
        <f>AI76-SUM(AI70,AI74)</f>
        <v>4263.868023155399</v>
      </c>
      <c r="AJ75" s="151">
        <f>AJ76-SUM(AJ70,AJ74)</f>
        <v>2303.5757404662127</v>
      </c>
      <c r="AK75" s="149">
        <f>AJ75+AK76-SUM(AK70,AK74)</f>
        <v>4263.8680231554026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32136.600000000002</v>
      </c>
      <c r="J76" s="51">
        <f t="shared" si="41"/>
        <v>32136.600000000002</v>
      </c>
      <c r="K76" s="40">
        <f>SUM(K70:K75)</f>
        <v>2.2319893945259621</v>
      </c>
      <c r="L76" s="22">
        <f>SUM(L70:L75)</f>
        <v>1.3929751488582269</v>
      </c>
      <c r="M76" s="24">
        <f>SUM(M70:M75)</f>
        <v>1.4980402271418689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7768.6500000000005</v>
      </c>
      <c r="AB76" s="137"/>
      <c r="AC76" s="153">
        <f>AC65</f>
        <v>7768.6500000000005</v>
      </c>
      <c r="AD76" s="137"/>
      <c r="AE76" s="153">
        <f>AE65</f>
        <v>7768.6500000000005</v>
      </c>
      <c r="AF76" s="137"/>
      <c r="AG76" s="153">
        <f>AG65</f>
        <v>8830.6500000000015</v>
      </c>
      <c r="AH76" s="137"/>
      <c r="AI76" s="153">
        <f>SUM(AA76,AC76,AE76,AG76)</f>
        <v>32136.600000000002</v>
      </c>
      <c r="AJ76" s="154">
        <f>SUM(AA76,AC76)</f>
        <v>15537.300000000001</v>
      </c>
      <c r="AK76" s="154">
        <f>SUM(AE76,AG76)</f>
        <v>16599.300000000003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1"/>
        <v>11821.105310177933</v>
      </c>
      <c r="K77" s="40"/>
      <c r="L77" s="22">
        <f>-(L131*G$37*F$9/F$7)/B$130</f>
        <v>-0.57766110013766658</v>
      </c>
      <c r="M77" s="24">
        <f>-J77/B$76</f>
        <v>-0.4245324227034632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1554.1644802078372</v>
      </c>
      <c r="AB78" s="112"/>
      <c r="AC78" s="112">
        <f>IF(AA75&lt;0,0,AA75)</f>
        <v>3451.6124181926998</v>
      </c>
      <c r="AD78" s="112"/>
      <c r="AE78" s="112">
        <f>AC75</f>
        <v>3857.7402206740508</v>
      </c>
      <c r="AF78" s="112"/>
      <c r="AG78" s="112">
        <f>AE75</f>
        <v>4263.8680231554017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4748.7140171880228</v>
      </c>
      <c r="AB79" s="112"/>
      <c r="AC79" s="112">
        <f>AA79-AA74+AC65-AC70</f>
        <v>6646.1619551728854</v>
      </c>
      <c r="AD79" s="112"/>
      <c r="AE79" s="112">
        <f>AC79-AC74+AE65-AE70</f>
        <v>7052.2897576542364</v>
      </c>
      <c r="AF79" s="112"/>
      <c r="AG79" s="112">
        <f>AE79-AE74+AG65-AG70</f>
        <v>8520.4175601355892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6">
        <f t="shared" si="45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0.1092271866949126</v>
      </c>
      <c r="C92" s="75">
        <f t="shared" si="47"/>
        <v>0</v>
      </c>
      <c r="D92" s="24">
        <f t="shared" si="48"/>
        <v>0.1092271866949126</v>
      </c>
      <c r="H92" s="24">
        <f t="shared" si="49"/>
        <v>0.57212121212121214</v>
      </c>
      <c r="I92" s="22">
        <f t="shared" si="50"/>
        <v>6.2491190448483336E-2</v>
      </c>
      <c r="J92" s="24">
        <f t="shared" si="51"/>
        <v>6.2491190448483336E-2</v>
      </c>
      <c r="K92" s="22">
        <f t="shared" si="52"/>
        <v>0.1092271866949126</v>
      </c>
      <c r="L92" s="22">
        <f t="shared" si="53"/>
        <v>6.2491190448483336E-2</v>
      </c>
      <c r="M92" s="226">
        <f t="shared" si="45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6">
        <f t="shared" si="45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0.7151515151515152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7">
        <f t="shared" si="45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7">
        <f t="shared" si="45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7">
        <f t="shared" si="45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potatoes: kg produced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7">
        <f t="shared" si="45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7.3789032789452078E-2</v>
      </c>
      <c r="C98" s="75">
        <f t="shared" si="47"/>
        <v>0</v>
      </c>
      <c r="D98" s="24">
        <f t="shared" si="48"/>
        <v>7.3789032789452078E-2</v>
      </c>
      <c r="H98" s="24">
        <f t="shared" si="49"/>
        <v>0.67272727272727284</v>
      </c>
      <c r="I98" s="22">
        <f t="shared" si="50"/>
        <v>4.9639894785631404E-2</v>
      </c>
      <c r="J98" s="24">
        <f t="shared" si="51"/>
        <v>4.9639894785631404E-2</v>
      </c>
      <c r="K98" s="22">
        <f t="shared" si="52"/>
        <v>7.3789032789452078E-2</v>
      </c>
      <c r="L98" s="22">
        <f t="shared" si="53"/>
        <v>4.9639894785631404E-2</v>
      </c>
      <c r="M98" s="227">
        <f t="shared" si="45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Construction cash income -- see Data2</v>
      </c>
      <c r="B99" s="75">
        <f t="shared" si="47"/>
        <v>9.1265382660638092E-2</v>
      </c>
      <c r="C99" s="75">
        <f t="shared" si="47"/>
        <v>0</v>
      </c>
      <c r="D99" s="24">
        <f t="shared" si="48"/>
        <v>9.1265382660638092E-2</v>
      </c>
      <c r="H99" s="24">
        <f t="shared" si="49"/>
        <v>0.67272727272727284</v>
      </c>
      <c r="I99" s="22">
        <f t="shared" si="50"/>
        <v>6.1396711971701996E-2</v>
      </c>
      <c r="J99" s="24">
        <f t="shared" si="51"/>
        <v>6.1396711971701996E-2</v>
      </c>
      <c r="K99" s="22">
        <f t="shared" si="52"/>
        <v>9.1265382660638092E-2</v>
      </c>
      <c r="L99" s="22">
        <f t="shared" si="53"/>
        <v>6.1396711971701996E-2</v>
      </c>
      <c r="M99" s="227">
        <f t="shared" si="45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Domestic work cash income -- see Data2</v>
      </c>
      <c r="B100" s="75">
        <f t="shared" si="47"/>
        <v>0.46603599656496048</v>
      </c>
      <c r="C100" s="75">
        <f t="shared" si="47"/>
        <v>0</v>
      </c>
      <c r="D100" s="24">
        <f t="shared" si="48"/>
        <v>0.46603599656496048</v>
      </c>
      <c r="H100" s="24">
        <f t="shared" si="49"/>
        <v>0.67272727272727284</v>
      </c>
      <c r="I100" s="22">
        <f t="shared" si="50"/>
        <v>0.31351512496188255</v>
      </c>
      <c r="J100" s="24">
        <f>IF(I$32&lt;=1+I131,I100,L100+J$33*(I100-L100))</f>
        <v>0.31351512496188255</v>
      </c>
      <c r="K100" s="22">
        <f t="shared" si="52"/>
        <v>0.46603599656496048</v>
      </c>
      <c r="L100" s="22">
        <f t="shared" si="53"/>
        <v>0.31351512496188255</v>
      </c>
      <c r="M100" s="227">
        <f t="shared" si="45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Labour migration(formal employment): no. people per HH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6">
        <f t="shared" si="45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Small business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0.57212121212121214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7">
        <f t="shared" si="45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Social development -- see Data2</v>
      </c>
      <c r="B103" s="75">
        <f t="shared" si="47"/>
        <v>1.9631766355298961</v>
      </c>
      <c r="C103" s="75">
        <f t="shared" si="47"/>
        <v>0</v>
      </c>
      <c r="D103" s="24">
        <f t="shared" si="48"/>
        <v>1.9631766355298961</v>
      </c>
      <c r="H103" s="24">
        <f t="shared" si="49"/>
        <v>0.7151515151515152</v>
      </c>
      <c r="I103" s="22">
        <f t="shared" si="50"/>
        <v>1.4039687454092591</v>
      </c>
      <c r="J103" s="24">
        <f>IF(I$32&lt;=1+I131,I103,L103+J$33*(I103-L103))</f>
        <v>1.4039687454092591</v>
      </c>
      <c r="K103" s="22">
        <f t="shared" si="52"/>
        <v>1.9631766355298961</v>
      </c>
      <c r="L103" s="22">
        <f t="shared" si="53"/>
        <v>1.4039687454092591</v>
      </c>
      <c r="M103" s="227">
        <f t="shared" si="45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Public works -- see Data2</v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0.7151515151515152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7">
        <f t="shared" si="45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Gifts/social support: type (Child support, Pension and Foster Care)</v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7">
        <f t="shared" si="45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>Remittances: no. times per year</v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0.67272727272727284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7">
        <f t="shared" ref="M107:M118" si="61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7">
        <f t="shared" si="61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7">
        <f t="shared" si="61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7">
        <f t="shared" si="61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7">
        <f t="shared" si="61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7">
        <f t="shared" si="61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7">
        <f t="shared" si="61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7">
        <f t="shared" si="61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7">
        <f t="shared" si="61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7">
        <f t="shared" si="61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7">
        <f t="shared" si="61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7">
        <f t="shared" si="61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1.8910116675769584</v>
      </c>
      <c r="J119" s="24">
        <f>SUM(J91:J118)</f>
        <v>1.8910116675769584</v>
      </c>
      <c r="K119" s="22">
        <f>SUM(K91:K118)</f>
        <v>2.7034942342398596</v>
      </c>
      <c r="L119" s="22">
        <f>SUM(L91:L118)</f>
        <v>1.8910116675769584</v>
      </c>
      <c r="M119" s="57">
        <f t="shared" si="45"/>
        <v>1.8910116675769584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 t="shared" ref="K124:K130" si="63">(B124)</f>
        <v>1.2688663498045756</v>
      </c>
      <c r="L124" s="29">
        <f>IF(SUMPRODUCT($B$124:$B124,$H$124:$H124)&lt;L$119,($B124*$H124),L$119)</f>
        <v>1.076613872561458</v>
      </c>
      <c r="M124" s="239">
        <f t="shared" si="62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0.81439779501550036</v>
      </c>
      <c r="J125" s="236">
        <f>IF(SUMPRODUCT($B$124:$B125,$H$124:$H125)&lt;J$119,($B125*$H125),IF(SUMPRODUCT($B$124:$B124,$H$124:$H124)&lt;J$119,J$119-SUMPRODUCT($B$124:$B124,$H$124:$H124),0))</f>
        <v>0.81439779501550036</v>
      </c>
      <c r="K125" s="29">
        <f t="shared" si="63"/>
        <v>1.3234775030227426</v>
      </c>
      <c r="L125" s="29">
        <f>IF(SUMPRODUCT($B$124:$B125,$H$124:$H125)&lt;L$119,($B125*$H125),IF(SUMPRODUCT($B$124:$B124,$H$124:$H124)&lt;L$119,L$119-SUMPRODUCT($B$124:$B124,$H$124:$H124),0))</f>
        <v>0.81439779501550036</v>
      </c>
      <c r="M125" s="239">
        <f t="shared" si="62"/>
        <v>0.81439779501550036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2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0.81439779501550036</v>
      </c>
      <c r="J128" s="227">
        <f>(J30)</f>
        <v>0.5634993122638976</v>
      </c>
      <c r="K128" s="29">
        <f t="shared" si="63"/>
        <v>0.68939859227895406</v>
      </c>
      <c r="L128" s="29">
        <f>IF(L124=L119,0,(L119-L124)/(B119-B124)*K128)</f>
        <v>0.39135214053069445</v>
      </c>
      <c r="M128" s="239">
        <f t="shared" si="62"/>
        <v>0.5634993122638976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39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1.8910116675769584</v>
      </c>
      <c r="J130" s="227">
        <f>(J119)</f>
        <v>1.8910116675769584</v>
      </c>
      <c r="K130" s="29">
        <f t="shared" si="63"/>
        <v>2.7034942342398596</v>
      </c>
      <c r="L130" s="29">
        <f>(L119)</f>
        <v>1.8910116675769584</v>
      </c>
      <c r="M130" s="239">
        <f t="shared" si="62"/>
        <v>1.8910116675769584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0.69558845880405551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0" sqref="E5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>$M6*AB6*4</f>
        <v>7.9786737235367361E-3</v>
      </c>
      <c r="AD6" s="116">
        <v>0.33</v>
      </c>
      <c r="AE6" s="121">
        <f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4883.6953495484686</v>
      </c>
      <c r="U7" s="222">
        <v>1</v>
      </c>
      <c r="V7" s="56"/>
      <c r="W7" s="115"/>
      <c r="X7" s="124">
        <v>4</v>
      </c>
      <c r="Y7" s="183">
        <f t="shared" ref="Y7:Y29" si="7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4.9988723536737237E-2</v>
      </c>
      <c r="AH7" s="123">
        <f t="shared" ref="AH7:AH30" si="10">SUM(Z7,AB7,AD7,AF7)</f>
        <v>1</v>
      </c>
      <c r="AI7" s="183">
        <f t="shared" ref="AI7:AI30" si="11">SUM(AA7,AC7,AE7,AG7)/4</f>
        <v>1.2497180884184309E-2</v>
      </c>
      <c r="AJ7" s="120">
        <f t="shared" ref="AJ7:AJ31" si="12">(AA7+AC7)/2</f>
        <v>0</v>
      </c>
      <c r="AK7" s="119">
        <f t="shared" ref="AK7:AK31" si="13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2279.4359789650775</v>
      </c>
      <c r="U8" s="222">
        <v>2</v>
      </c>
      <c r="V8" s="184"/>
      <c r="W8" s="115"/>
      <c r="X8" s="124">
        <v>1</v>
      </c>
      <c r="Y8" s="183">
        <f t="shared" si="7"/>
        <v>0.84067359410958908</v>
      </c>
      <c r="Z8" s="125">
        <f>IF($Y8=0,0,AA8/$Y8)</f>
        <v>0.65749727898114607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0.55274060063835528</v>
      </c>
      <c r="AB8" s="125">
        <f>IF($Y8=0,0,AC8/$Y8)</f>
        <v>0.34250272101885387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0.2879329934712338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0.21016839852739727</v>
      </c>
      <c r="AJ8" s="120">
        <f t="shared" si="12"/>
        <v>0.42033679705479454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7"/>
        <v>0.11047051681195516</v>
      </c>
      <c r="Z9" s="125">
        <f>IF($Y9=0,0,AA9/$Y9)</f>
        <v>0.65749727898114607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7.2634064211501467E-2</v>
      </c>
      <c r="AB9" s="125">
        <f>IF($Y9=0,0,AC9/$Y9)</f>
        <v>0.34250272101885393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3.7836452600453693E-2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2.761762920298879E-2</v>
      </c>
      <c r="AJ9" s="120">
        <f t="shared" si="12"/>
        <v>5.523525840597758E-2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1.3663543040216646E-2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1.3663543040216646E-2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7"/>
        <v>5.4654172160866585E-2</v>
      </c>
      <c r="Z10" s="125">
        <f>IF($Y10=0,0,AA10/$Y10)</f>
        <v>0.65749727898114607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3.5934969480736885E-2</v>
      </c>
      <c r="AB10" s="125">
        <f>IF($Y10=0,0,AC10/$Y10)</f>
        <v>0.34250272101885393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1.87192026801297E-2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1.3663543040216646E-2</v>
      </c>
      <c r="AJ10" s="120">
        <f t="shared" si="12"/>
        <v>2.7327086080433292E-2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8734.4862069534993</v>
      </c>
      <c r="U11" s="222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68199.931755007638</v>
      </c>
      <c r="T23" s="179">
        <f>SUM(T7:T22)</f>
        <v>67770.469451347803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 t="shared" si="17"/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7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14"/>
        <v>0.11904761904761904</v>
      </c>
      <c r="AD26" s="116">
        <v>0.25</v>
      </c>
      <c r="AE26" s="121">
        <f t="shared" si="15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9.7342070821537525E-3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9.7342070821537525E-3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3.893682832861501E-2</v>
      </c>
      <c r="Z27" s="116">
        <v>0.25</v>
      </c>
      <c r="AA27" s="121">
        <f t="shared" si="16"/>
        <v>9.7342070821537525E-3</v>
      </c>
      <c r="AB27" s="116">
        <v>0.25</v>
      </c>
      <c r="AC27" s="121">
        <f t="shared" si="14"/>
        <v>9.7342070821537525E-3</v>
      </c>
      <c r="AD27" s="116">
        <v>0.25</v>
      </c>
      <c r="AE27" s="121">
        <f t="shared" si="15"/>
        <v>9.7342070821537525E-3</v>
      </c>
      <c r="AF27" s="122">
        <f t="shared" si="8"/>
        <v>0.25</v>
      </c>
      <c r="AG27" s="121">
        <f t="shared" si="9"/>
        <v>9.7342070821537525E-3</v>
      </c>
      <c r="AH27" s="123">
        <f t="shared" si="10"/>
        <v>1</v>
      </c>
      <c r="AI27" s="183">
        <f t="shared" si="11"/>
        <v>9.7342070821537525E-3</v>
      </c>
      <c r="AJ27" s="120">
        <f t="shared" si="12"/>
        <v>9.7342070821537525E-3</v>
      </c>
      <c r="AK27" s="119">
        <f t="shared" si="13"/>
        <v>9.7342070821537525E-3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0.20192986581609679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0.20192986581609679</v>
      </c>
      <c r="N29" s="228"/>
      <c r="P29" s="22"/>
      <c r="V29" s="56"/>
      <c r="W29" s="110"/>
      <c r="X29" s="118"/>
      <c r="Y29" s="183">
        <f t="shared" si="7"/>
        <v>0.80771946326438715</v>
      </c>
      <c r="Z29" s="116">
        <v>0.25</v>
      </c>
      <c r="AA29" s="121">
        <f t="shared" si="16"/>
        <v>0.20192986581609679</v>
      </c>
      <c r="AB29" s="116">
        <v>0.25</v>
      </c>
      <c r="AC29" s="121">
        <f t="shared" si="14"/>
        <v>0.20192986581609679</v>
      </c>
      <c r="AD29" s="116">
        <v>0.25</v>
      </c>
      <c r="AE29" s="121">
        <f t="shared" si="15"/>
        <v>0.20192986581609679</v>
      </c>
      <c r="AF29" s="122">
        <f t="shared" si="8"/>
        <v>0.25</v>
      </c>
      <c r="AG29" s="121">
        <f t="shared" si="9"/>
        <v>0.20192986581609679</v>
      </c>
      <c r="AH29" s="123">
        <f t="shared" si="10"/>
        <v>1</v>
      </c>
      <c r="AI29" s="183">
        <f t="shared" si="11"/>
        <v>0.20192986581609679</v>
      </c>
      <c r="AJ29" s="120">
        <f t="shared" si="12"/>
        <v>0.20192986581609679</v>
      </c>
      <c r="AK29" s="119">
        <f t="shared" si="13"/>
        <v>0.20192986581609679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1.9114194631821417</v>
      </c>
      <c r="J30" s="230">
        <f>IF(I$32&lt;=1,I30,1-SUM(J6:J29))</f>
        <v>0.39360821268825985</v>
      </c>
      <c r="K30" s="22">
        <f t="shared" si="4"/>
        <v>0.58958408107098381</v>
      </c>
      <c r="L30" s="22">
        <f>IF(L124=L119,0,IF(K30="",0,(L119-L124)/(B119-B124)*K30))</f>
        <v>0.36978148721384485</v>
      </c>
      <c r="M30" s="175">
        <f t="shared" si="6"/>
        <v>0.39360821268825985</v>
      </c>
      <c r="N30" s="166" t="s">
        <v>86</v>
      </c>
      <c r="O30" s="2"/>
      <c r="P30" s="22"/>
      <c r="Q30" s="233" t="s">
        <v>141</v>
      </c>
      <c r="R30" s="233">
        <f t="shared" ref="R30:T32" si="32">IF(R24&gt;R$23,R24-R$23,0)</f>
        <v>0</v>
      </c>
      <c r="S30" s="233">
        <f t="shared" si="32"/>
        <v>0</v>
      </c>
      <c r="T30" s="233">
        <f t="shared" si="32"/>
        <v>0</v>
      </c>
      <c r="V30" s="56"/>
      <c r="W30" s="110"/>
      <c r="X30" s="118"/>
      <c r="Y30" s="183">
        <f>M30*4</f>
        <v>1.5744328507530394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0.2012286426996511</v>
      </c>
      <c r="AC30" s="187">
        <f>IF(AC79*4/$I$83+SUM(AC6:AC29)&lt;1,AC79*4/$I$83,1-SUM(AC6:AC29))</f>
        <v>0.31682098557877647</v>
      </c>
      <c r="AD30" s="122">
        <f>IF($Y30=0,0,AE30/($Y$30))</f>
        <v>0.41526083125284924</v>
      </c>
      <c r="AE30" s="187">
        <f>IF(AE79*4/$I$83+SUM(AE6:AE29)&lt;1,AE79*4/$I$83,1-SUM(AE6:AE29))</f>
        <v>0.65380029435550024</v>
      </c>
      <c r="AF30" s="122">
        <f>IF($Y30=0,0,AG30/($Y$30))</f>
        <v>0.38351052604749991</v>
      </c>
      <c r="AG30" s="187">
        <f>IF(AG79*4/$I$83+SUM(AG6:AG29)&lt;1,AG79*4/$I$83,1-SUM(AG6:AG29))</f>
        <v>0.60381157081876302</v>
      </c>
      <c r="AH30" s="123">
        <f t="shared" si="10"/>
        <v>1.0000000000000002</v>
      </c>
      <c r="AI30" s="183">
        <f t="shared" si="11"/>
        <v>0.39360821268825996</v>
      </c>
      <c r="AJ30" s="120">
        <f t="shared" si="12"/>
        <v>0.15841049278938824</v>
      </c>
      <c r="AK30" s="119">
        <f t="shared" si="13"/>
        <v>0.62880593258713158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3.1405221394202321E-2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32"/>
        <v>0</v>
      </c>
      <c r="S31" s="233">
        <f t="shared" si="32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2.5483258854588065</v>
      </c>
      <c r="J32" s="17"/>
      <c r="L32" s="22">
        <f>SUM(L6:L30)</f>
        <v>0.96859477860579768</v>
      </c>
      <c r="M32" s="23"/>
      <c r="N32" s="56"/>
      <c r="O32" s="2"/>
      <c r="P32" s="22"/>
      <c r="Q32" s="233" t="s">
        <v>143</v>
      </c>
      <c r="R32" s="233">
        <f t="shared" si="32"/>
        <v>417.28373872459633</v>
      </c>
      <c r="S32" s="233">
        <f t="shared" si="32"/>
        <v>18890.221883721082</v>
      </c>
      <c r="T32" s="233">
        <f t="shared" si="32"/>
        <v>19319.684187380917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0.1989465224773305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6372</v>
      </c>
      <c r="J37" s="38">
        <f t="shared" ref="J37:J49" si="35">J91*I$83</f>
        <v>6371.9999999999991</v>
      </c>
      <c r="K37" s="40">
        <f t="shared" ref="K37:K49" si="36">(B37/B$65)</f>
        <v>0.12662739654072713</v>
      </c>
      <c r="L37" s="22">
        <f t="shared" ref="L37:L49" si="37">(K37*H37)</f>
        <v>0.11953626233444641</v>
      </c>
      <c r="M37" s="24">
        <f t="shared" ref="M37:M49" si="38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6371.9999999999991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0</v>
      </c>
      <c r="AK37" s="147">
        <f>(AE37+AG37)</f>
        <v>6371.9999999999991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40">SUM(B38,C38)</f>
        <v>500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472</v>
      </c>
      <c r="J38" s="38">
        <f t="shared" si="35"/>
        <v>2362.4862069534997</v>
      </c>
      <c r="K38" s="40">
        <f t="shared" si="36"/>
        <v>5.6278842906989833E-2</v>
      </c>
      <c r="L38" s="22">
        <f t="shared" si="37"/>
        <v>5.31272277041984E-2</v>
      </c>
      <c r="M38" s="24">
        <f t="shared" si="38"/>
        <v>4.4319330037022091E-2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2362.4862069534997</v>
      </c>
      <c r="AH38" s="123">
        <f t="shared" ref="AH38:AI58" si="43">SUM(Z38,AB38,AD38,AF38)</f>
        <v>1</v>
      </c>
      <c r="AI38" s="112">
        <f t="shared" si="43"/>
        <v>2362.4862069534997</v>
      </c>
      <c r="AJ38" s="148">
        <f t="shared" ref="AJ38:AJ64" si="44">(AA38+AC38)</f>
        <v>0</v>
      </c>
      <c r="AK38" s="147">
        <f t="shared" ref="AK38:AK64" si="45">(AE38+AG38)</f>
        <v>2362.4862069534997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0.65749727898114607</v>
      </c>
      <c r="AA39" s="147">
        <f t="shared" ref="AA39:AA64" si="46">$J39*Z39</f>
        <v>0</v>
      </c>
      <c r="AB39" s="122">
        <f>AB8</f>
        <v>0.34250272101885387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0.65749727898114607</v>
      </c>
      <c r="AA40" s="147">
        <f t="shared" si="46"/>
        <v>0</v>
      </c>
      <c r="AB40" s="122">
        <f>AB9</f>
        <v>0.34250272101885393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E8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40"/>
        <v>1500</v>
      </c>
      <c r="E42" s="75">
        <f>E9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2100</v>
      </c>
      <c r="J42" s="38">
        <f t="shared" si="35"/>
        <v>2099.9999999999995</v>
      </c>
      <c r="K42" s="40">
        <f t="shared" si="36"/>
        <v>2.8139421453494916E-2</v>
      </c>
      <c r="L42" s="22">
        <f t="shared" si="37"/>
        <v>3.9395190034892884E-2</v>
      </c>
      <c r="M42" s="24">
        <f t="shared" si="38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46"/>
        <v>524.99999999999989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1049.9999999999998</v>
      </c>
      <c r="AF42" s="122">
        <f t="shared" si="39"/>
        <v>0.25</v>
      </c>
      <c r="AG42" s="147">
        <f t="shared" si="42"/>
        <v>524.99999999999989</v>
      </c>
      <c r="AH42" s="123">
        <f t="shared" si="43"/>
        <v>1</v>
      </c>
      <c r="AI42" s="112">
        <f t="shared" si="43"/>
        <v>2099.9999999999995</v>
      </c>
      <c r="AJ42" s="148">
        <f t="shared" si="44"/>
        <v>524.99999999999989</v>
      </c>
      <c r="AK42" s="147">
        <f t="shared" si="45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40"/>
        <v>0</v>
      </c>
      <c r="E43" s="75">
        <f>E10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179.43597896507794</v>
      </c>
      <c r="K43" s="40">
        <f t="shared" si="36"/>
        <v>3.0015382883727911E-3</v>
      </c>
      <c r="L43" s="22">
        <f t="shared" si="37"/>
        <v>4.2021536037219077E-3</v>
      </c>
      <c r="M43" s="24">
        <f t="shared" si="38"/>
        <v>3.3661497573458511E-3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46"/>
        <v>44.858994741269484</v>
      </c>
      <c r="AB43" s="116">
        <v>0.25</v>
      </c>
      <c r="AC43" s="147">
        <f t="shared" si="47"/>
        <v>44.858994741269484</v>
      </c>
      <c r="AD43" s="116">
        <v>0.25</v>
      </c>
      <c r="AE43" s="147">
        <f t="shared" si="48"/>
        <v>44.858994741269484</v>
      </c>
      <c r="AF43" s="122">
        <f t="shared" si="39"/>
        <v>0.25</v>
      </c>
      <c r="AG43" s="147">
        <f t="shared" si="42"/>
        <v>44.858994741269484</v>
      </c>
      <c r="AH43" s="123">
        <f t="shared" si="43"/>
        <v>1</v>
      </c>
      <c r="AI43" s="112">
        <f t="shared" si="43"/>
        <v>179.43597896507794</v>
      </c>
      <c r="AJ43" s="148">
        <f t="shared" si="44"/>
        <v>89.717989482538968</v>
      </c>
      <c r="AK43" s="147">
        <f t="shared" si="45"/>
        <v>89.717989482538968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40"/>
        <v>2760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3063.6000000000004</v>
      </c>
      <c r="J44" s="38">
        <f t="shared" si="35"/>
        <v>3063.6000000000004</v>
      </c>
      <c r="K44" s="40">
        <f t="shared" si="36"/>
        <v>5.1776535474430646E-2</v>
      </c>
      <c r="L44" s="22">
        <f t="shared" si="37"/>
        <v>5.747195437661802E-2</v>
      </c>
      <c r="M44" s="24">
        <f t="shared" si="38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46"/>
        <v>765.90000000000009</v>
      </c>
      <c r="AB44" s="116">
        <v>0.25</v>
      </c>
      <c r="AC44" s="147">
        <f t="shared" si="47"/>
        <v>765.90000000000009</v>
      </c>
      <c r="AD44" s="116">
        <v>0.25</v>
      </c>
      <c r="AE44" s="147">
        <f t="shared" si="48"/>
        <v>765.90000000000009</v>
      </c>
      <c r="AF44" s="122">
        <f t="shared" si="39"/>
        <v>0.25</v>
      </c>
      <c r="AG44" s="147">
        <f t="shared" si="42"/>
        <v>765.90000000000009</v>
      </c>
      <c r="AH44" s="123">
        <f t="shared" si="43"/>
        <v>1</v>
      </c>
      <c r="AI44" s="112">
        <f t="shared" si="43"/>
        <v>3063.6000000000004</v>
      </c>
      <c r="AJ44" s="148">
        <f t="shared" si="44"/>
        <v>1531.8000000000002</v>
      </c>
      <c r="AK44" s="147">
        <f t="shared" si="45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1.1100000000000001</v>
      </c>
      <c r="G45" s="22">
        <f t="shared" si="41"/>
        <v>1.65</v>
      </c>
      <c r="H45" s="24">
        <f t="shared" si="33"/>
        <v>1.1100000000000001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40"/>
        <v>2200</v>
      </c>
      <c r="E46" s="26">
        <v>1</v>
      </c>
      <c r="F46" s="26">
        <v>1.1100000000000001</v>
      </c>
      <c r="G46" s="22">
        <f t="shared" si="41"/>
        <v>1.65</v>
      </c>
      <c r="H46" s="24">
        <f t="shared" si="33"/>
        <v>1.1100000000000001</v>
      </c>
      <c r="I46" s="39">
        <f t="shared" si="34"/>
        <v>2442</v>
      </c>
      <c r="J46" s="38">
        <f t="shared" si="35"/>
        <v>2442</v>
      </c>
      <c r="K46" s="40">
        <f t="shared" si="36"/>
        <v>4.1271151465125874E-2</v>
      </c>
      <c r="L46" s="22">
        <f t="shared" si="37"/>
        <v>4.5810978126289724E-2</v>
      </c>
      <c r="M46" s="24">
        <f t="shared" si="38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610.5</v>
      </c>
      <c r="AB46" s="116">
        <v>0.25</v>
      </c>
      <c r="AC46" s="147">
        <f t="shared" si="47"/>
        <v>610.5</v>
      </c>
      <c r="AD46" s="116">
        <v>0.25</v>
      </c>
      <c r="AE46" s="147">
        <f t="shared" si="48"/>
        <v>610.5</v>
      </c>
      <c r="AF46" s="122">
        <f t="shared" si="39"/>
        <v>0.25</v>
      </c>
      <c r="AG46" s="147">
        <f t="shared" si="42"/>
        <v>610.5</v>
      </c>
      <c r="AH46" s="123">
        <f t="shared" si="43"/>
        <v>1</v>
      </c>
      <c r="AI46" s="112">
        <f t="shared" si="43"/>
        <v>2442</v>
      </c>
      <c r="AJ46" s="148">
        <f t="shared" si="44"/>
        <v>1221</v>
      </c>
      <c r="AK46" s="147">
        <f t="shared" si="45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41"/>
        <v>1.65</v>
      </c>
      <c r="H48" s="24">
        <f t="shared" si="33"/>
        <v>0.94399999999999995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49">SUM(B49,C49)</f>
        <v>22020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25983.599999999999</v>
      </c>
      <c r="J49" s="38">
        <f t="shared" si="35"/>
        <v>25983.599999999999</v>
      </c>
      <c r="K49" s="40">
        <f t="shared" si="36"/>
        <v>0.41308670693730537</v>
      </c>
      <c r="L49" s="22">
        <f t="shared" si="37"/>
        <v>0.4874423141860203</v>
      </c>
      <c r="M49" s="24">
        <f t="shared" si="38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6495.9</v>
      </c>
      <c r="AB49" s="116">
        <v>0.25</v>
      </c>
      <c r="AC49" s="147">
        <f t="shared" si="47"/>
        <v>6495.9</v>
      </c>
      <c r="AD49" s="116">
        <v>0.25</v>
      </c>
      <c r="AE49" s="147">
        <f t="shared" si="48"/>
        <v>6495.9</v>
      </c>
      <c r="AF49" s="122">
        <f t="shared" si="39"/>
        <v>0.25</v>
      </c>
      <c r="AG49" s="147">
        <f t="shared" si="42"/>
        <v>6495.9</v>
      </c>
      <c r="AH49" s="123">
        <f t="shared" si="43"/>
        <v>1</v>
      </c>
      <c r="AI49" s="112">
        <f t="shared" si="43"/>
        <v>25983.599999999999</v>
      </c>
      <c r="AJ49" s="148">
        <f t="shared" si="44"/>
        <v>12991.8</v>
      </c>
      <c r="AK49" s="147">
        <f t="shared" si="45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49"/>
        <v>14916</v>
      </c>
      <c r="E50" s="26">
        <v>1</v>
      </c>
      <c r="F50" s="26">
        <v>1.18</v>
      </c>
      <c r="G50" s="22">
        <f t="shared" si="41"/>
        <v>1.65</v>
      </c>
      <c r="H50" s="24">
        <f t="shared" ref="H50:H64" si="50">(E50*F50)</f>
        <v>1.18</v>
      </c>
      <c r="I50" s="39">
        <f t="shared" ref="I50:I64" si="51">D50*H50</f>
        <v>17600.879999999997</v>
      </c>
      <c r="J50" s="38">
        <f t="shared" ref="J50:J64" si="52">J104*I$83</f>
        <v>17600.879999999997</v>
      </c>
      <c r="K50" s="40">
        <f t="shared" ref="K50:K64" si="53">(B50/B$65)</f>
        <v>0.27981840693355342</v>
      </c>
      <c r="L50" s="22">
        <f t="shared" ref="L50:L64" si="54">(K50*H50)</f>
        <v>0.33018572018159303</v>
      </c>
      <c r="M50" s="24">
        <f t="shared" ref="M50:M64" si="55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1.1100000000000001</v>
      </c>
      <c r="G52" s="22">
        <f t="shared" si="41"/>
        <v>1.65</v>
      </c>
      <c r="H52" s="24">
        <f t="shared" si="50"/>
        <v>1.1100000000000001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58034.079999999994</v>
      </c>
      <c r="J65" s="39">
        <f>SUM(J37:J64)</f>
        <v>60104.002185918573</v>
      </c>
      <c r="K65" s="40">
        <f>SUM(K37:K64)</f>
        <v>1</v>
      </c>
      <c r="L65" s="22">
        <f>SUM(L37:L64)</f>
        <v>1.1371718005477807</v>
      </c>
      <c r="M65" s="24">
        <f>SUM(M37:M64)</f>
        <v>1.1275278990342281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8442.1589947412685</v>
      </c>
      <c r="AB65" s="137"/>
      <c r="AC65" s="153">
        <f>SUM(AC37:AC64)</f>
        <v>7917.1589947412695</v>
      </c>
      <c r="AD65" s="137"/>
      <c r="AE65" s="153">
        <f>SUM(AE37:AE64)</f>
        <v>8967.1589947412685</v>
      </c>
      <c r="AF65" s="137"/>
      <c r="AG65" s="153">
        <f>SUM(AG37:AG64)</f>
        <v>17176.645201694766</v>
      </c>
      <c r="AH65" s="137"/>
      <c r="AI65" s="153">
        <f>SUM(AI37:AI64)</f>
        <v>42503.122185918575</v>
      </c>
      <c r="AJ65" s="153">
        <f>SUM(AJ37:AJ64)</f>
        <v>16359.317989482539</v>
      </c>
      <c r="AK65" s="153">
        <f>SUM(AK37:AK64)</f>
        <v>26143.804196436038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57">J124*I$83</f>
        <v>20910.17354523344</v>
      </c>
      <c r="K70" s="40">
        <f t="shared" ref="K70:K75" si="58">B70/B$76</f>
        <v>0.2801905647881161</v>
      </c>
      <c r="L70" s="22">
        <f t="shared" ref="L70:L75" si="59">(L124*G$37*F$9/F$7)/B$130</f>
        <v>0.39226679070336246</v>
      </c>
      <c r="M70" s="24">
        <f t="shared" ref="M70:M75" si="60"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18382.826666666671</v>
      </c>
      <c r="J71" s="51">
        <f t="shared" si="57"/>
        <v>18382.826666666671</v>
      </c>
      <c r="K71" s="40">
        <f t="shared" si="58"/>
        <v>0.29224977801123075</v>
      </c>
      <c r="L71" s="22">
        <f t="shared" si="59"/>
        <v>0.34485473805325234</v>
      </c>
      <c r="M71" s="24">
        <f t="shared" si="60"/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13166.277857136129</v>
      </c>
      <c r="K72" s="40">
        <f t="shared" si="58"/>
        <v>0.52046673920384201</v>
      </c>
      <c r="L72" s="22">
        <f t="shared" si="59"/>
        <v>0.2653195192458877</v>
      </c>
      <c r="M72" s="24">
        <f t="shared" si="60"/>
        <v>0.24699429439718096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8.7344764191648216E-2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37123.906454766555</v>
      </c>
      <c r="J74" s="51">
        <f t="shared" si="57"/>
        <v>7644.7241168823402</v>
      </c>
      <c r="K74" s="40">
        <f t="shared" si="58"/>
        <v>0.1301917232581698</v>
      </c>
      <c r="L74" s="22">
        <f t="shared" si="59"/>
        <v>0.13473075254527811</v>
      </c>
      <c r="M74" s="24">
        <f t="shared" si="60"/>
        <v>0.14341207588043259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1538.3374578535222</v>
      </c>
      <c r="AD74" s="156"/>
      <c r="AE74" s="147">
        <f>AE30*$I$83/4</f>
        <v>3174.5544914752645</v>
      </c>
      <c r="AF74" s="156"/>
      <c r="AG74" s="147">
        <f>AG30*$I$83/4</f>
        <v>2931.8321675535553</v>
      </c>
      <c r="AH74" s="155"/>
      <c r="AI74" s="147">
        <f>SUM(AA74,AC74,AE74,AG74)</f>
        <v>7644.7241168823421</v>
      </c>
      <c r="AJ74" s="148">
        <f>(AA74+AC74)</f>
        <v>1538.3374578535222</v>
      </c>
      <c r="AK74" s="147">
        <f>(AE74+AG74)</f>
        <v>6106.3866590288198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12231.885256265759</v>
      </c>
      <c r="AB75" s="158"/>
      <c r="AC75" s="149">
        <f>AA75+AC65-SUM(AC70,AC74)</f>
        <v>13383.163406845146</v>
      </c>
      <c r="AD75" s="158"/>
      <c r="AE75" s="149">
        <f>AC75+AE65-SUM(AE70,AE74)</f>
        <v>13948.22452380279</v>
      </c>
      <c r="AF75" s="158"/>
      <c r="AG75" s="149">
        <f>IF(SUM(AG6:AG29)+((AG65-AG70-$J$75)*4/I$83)&lt;1,0,AG65-AG70-$J$75-(1-SUM(AG6:AG29))*I$83/4)</f>
        <v>9017.2696478328508</v>
      </c>
      <c r="AH75" s="134"/>
      <c r="AI75" s="149">
        <f>AI76-SUM(AI70,AI74)</f>
        <v>13948.224523802794</v>
      </c>
      <c r="AJ75" s="151">
        <f>AJ76-SUM(AJ70,AJ74)</f>
        <v>4365.893759012295</v>
      </c>
      <c r="AK75" s="149">
        <f>AJ75+AK76-SUM(AK70,AK74)</f>
        <v>13948.22452380279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58034.079999999994</v>
      </c>
      <c r="J76" s="51">
        <f t="shared" si="57"/>
        <v>60104.00218591858</v>
      </c>
      <c r="K76" s="40">
        <f>SUM(K70:K75)</f>
        <v>1.310443569453007</v>
      </c>
      <c r="L76" s="22">
        <f>SUM(L70:L75)</f>
        <v>1.1371718005477807</v>
      </c>
      <c r="M76" s="24">
        <f>SUM(M70:M75)</f>
        <v>1.1275278990342286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8442.1589947412685</v>
      </c>
      <c r="AB76" s="137"/>
      <c r="AC76" s="153">
        <f>AC65</f>
        <v>7917.1589947412695</v>
      </c>
      <c r="AD76" s="137"/>
      <c r="AE76" s="153">
        <f>AE65</f>
        <v>8967.1589947412685</v>
      </c>
      <c r="AF76" s="137"/>
      <c r="AG76" s="153">
        <f>AG65</f>
        <v>17176.645201694766</v>
      </c>
      <c r="AH76" s="137"/>
      <c r="AI76" s="153">
        <f>SUM(AA76,AC76,AE76,AG76)</f>
        <v>42503.122185918575</v>
      </c>
      <c r="AJ76" s="154">
        <f>SUM(AA76,AC76)</f>
        <v>16359.317989482537</v>
      </c>
      <c r="AK76" s="154">
        <f>SUM(AE76,AG76)</f>
        <v>26143.804196436035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57"/>
        <v>0</v>
      </c>
      <c r="K77" s="40"/>
      <c r="L77" s="22">
        <f>-(L131*G$37*F$9/F$7)/B$130</f>
        <v>-7.9535218807364638E-2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9017.2696478328508</v>
      </c>
      <c r="AB78" s="112"/>
      <c r="AC78" s="112">
        <f>IF(AA75&lt;0,0,AA75)</f>
        <v>12231.885256265759</v>
      </c>
      <c r="AD78" s="112"/>
      <c r="AE78" s="112">
        <f>AC75</f>
        <v>13383.163406845146</v>
      </c>
      <c r="AF78" s="112"/>
      <c r="AG78" s="112">
        <f>AE75</f>
        <v>13948.22452380279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12231.885256265759</v>
      </c>
      <c r="AB79" s="112"/>
      <c r="AC79" s="112">
        <f>AA79-AA74+AC65-AC70</f>
        <v>14921.500864698668</v>
      </c>
      <c r="AD79" s="112"/>
      <c r="AE79" s="112">
        <f>AC79-AC74+AE65-AE70</f>
        <v>17122.779015278054</v>
      </c>
      <c r="AF79" s="112"/>
      <c r="AG79" s="112">
        <f>AE79-AE74+AG65-AG70</f>
        <v>25897.326339189196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0.57344273014829117</v>
      </c>
      <c r="C91" s="60">
        <f t="shared" si="61"/>
        <v>0</v>
      </c>
      <c r="D91" s="24">
        <f>SUM(B91,C91)</f>
        <v>0.57344273014829117</v>
      </c>
      <c r="H91" s="24">
        <f>(E37*F37/G37*F$7/F$9)</f>
        <v>0.57212121212121214</v>
      </c>
      <c r="I91" s="22">
        <f>(D91*H91)</f>
        <v>0.3280787498545375</v>
      </c>
      <c r="J91" s="24">
        <f>IF(I$32&lt;=1+I$131,I91,L91+J$33*(I91-L91))</f>
        <v>0.3280787498545375</v>
      </c>
      <c r="K91" s="22">
        <f>IF(B91="",0,B91)</f>
        <v>0.57344273014829117</v>
      </c>
      <c r="L91" s="22">
        <f>(K91*H91)</f>
        <v>0.3280787498545375</v>
      </c>
      <c r="M91" s="226">
        <f>(J91)</f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0.25486343562146274</v>
      </c>
      <c r="C92" s="60">
        <f t="shared" si="61"/>
        <v>-0.21238619635121897</v>
      </c>
      <c r="D92" s="24">
        <f t="shared" ref="D92:D118" si="63">SUM(B92,C92)</f>
        <v>4.2477239270243772E-2</v>
      </c>
      <c r="H92" s="24">
        <f t="shared" ref="H92:H118" si="64">(E38*F38/G38*F$7/F$9)</f>
        <v>0.57212121212121214</v>
      </c>
      <c r="I92" s="22">
        <f t="shared" ref="I92:I118" si="65">(D92*H92)</f>
        <v>2.4302129618854619E-2</v>
      </c>
      <c r="J92" s="24">
        <f t="shared" ref="J92:J118" si="66">IF(I$32&lt;=1+I$131,I92,L92+J$33*(I92-L92))</f>
        <v>0.12163865683080546</v>
      </c>
      <c r="K92" s="22">
        <f t="shared" ref="K92:K118" si="67">IF(B92="",0,B92)</f>
        <v>0.25486343562146274</v>
      </c>
      <c r="L92" s="22">
        <f t="shared" ref="L92:L118" si="68">(K92*H92)</f>
        <v>0.14581277771312778</v>
      </c>
      <c r="M92" s="226">
        <f t="shared" ref="M92:M118" si="69">(J92)</f>
        <v>0.12163865683080546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Sheep sales - local: no. sold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0.57212121212121214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6">
        <f t="shared" si="6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Chicken sales: no. sold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0.7151515151515152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6">
        <f t="shared" si="6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6">
        <f t="shared" si="6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0.12743171781073137</v>
      </c>
      <c r="C96" s="60">
        <f t="shared" si="61"/>
        <v>0</v>
      </c>
      <c r="D96" s="24">
        <f t="shared" si="63"/>
        <v>0.12743171781073137</v>
      </c>
      <c r="H96" s="24">
        <f t="shared" si="64"/>
        <v>0.84848484848484851</v>
      </c>
      <c r="I96" s="22">
        <f t="shared" si="65"/>
        <v>0.10812388177880237</v>
      </c>
      <c r="J96" s="24">
        <f t="shared" si="66"/>
        <v>0.10812388177880237</v>
      </c>
      <c r="K96" s="22">
        <f t="shared" si="67"/>
        <v>0.12743171781073137</v>
      </c>
      <c r="L96" s="22">
        <f t="shared" si="68"/>
        <v>0.10812388177880237</v>
      </c>
      <c r="M96" s="226">
        <f t="shared" si="69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potatoes: kg produced</v>
      </c>
      <c r="B97" s="60">
        <f t="shared" si="61"/>
        <v>1.3592716566478013E-2</v>
      </c>
      <c r="C97" s="60">
        <f t="shared" si="61"/>
        <v>-1.3592716566478013E-2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9.238721226897029E-3</v>
      </c>
      <c r="K97" s="22">
        <f t="shared" si="67"/>
        <v>1.3592716566478013E-2</v>
      </c>
      <c r="L97" s="22">
        <f t="shared" si="68"/>
        <v>1.1533214056405587E-2</v>
      </c>
      <c r="M97" s="226">
        <f t="shared" si="69"/>
        <v>9.238721226897029E-3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0.23447436077174574</v>
      </c>
      <c r="C98" s="60">
        <f t="shared" si="61"/>
        <v>0</v>
      </c>
      <c r="D98" s="24">
        <f t="shared" si="63"/>
        <v>0.23447436077174574</v>
      </c>
      <c r="H98" s="24">
        <f t="shared" si="64"/>
        <v>0.67272727272727284</v>
      </c>
      <c r="I98" s="22">
        <f t="shared" si="65"/>
        <v>0.15773729724644717</v>
      </c>
      <c r="J98" s="24">
        <f t="shared" si="66"/>
        <v>0.15773729724644717</v>
      </c>
      <c r="K98" s="22">
        <f t="shared" si="67"/>
        <v>0.23447436077174574</v>
      </c>
      <c r="L98" s="22">
        <f t="shared" si="68"/>
        <v>0.15773729724644717</v>
      </c>
      <c r="M98" s="226">
        <f t="shared" si="69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Construction cash income -- see Data2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0.67272727272727284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6">
        <f t="shared" si="6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Domestic work cash income -- see Data2</v>
      </c>
      <c r="B100" s="60">
        <f t="shared" si="61"/>
        <v>0.1868998527890727</v>
      </c>
      <c r="C100" s="60">
        <f t="shared" si="61"/>
        <v>0</v>
      </c>
      <c r="D100" s="24">
        <f t="shared" si="63"/>
        <v>0.1868998527890727</v>
      </c>
      <c r="H100" s="24">
        <f t="shared" si="64"/>
        <v>0.67272727272727284</v>
      </c>
      <c r="I100" s="22">
        <f t="shared" si="65"/>
        <v>0.12573262823992165</v>
      </c>
      <c r="J100" s="24">
        <f t="shared" si="66"/>
        <v>0.12573262823992165</v>
      </c>
      <c r="K100" s="22">
        <f t="shared" si="67"/>
        <v>0.1868998527890727</v>
      </c>
      <c r="L100" s="22">
        <f t="shared" si="68"/>
        <v>0.12573262823992165</v>
      </c>
      <c r="M100" s="226">
        <f t="shared" si="69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Labour migration(formal employment): no. people per HH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6">
        <f t="shared" si="6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Small business -- see Data2</v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0.57212121212121214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6">
        <f t="shared" si="6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Social development -- see Data2</v>
      </c>
      <c r="B103" s="60">
        <f t="shared" si="61"/>
        <v>1.8706976174615366</v>
      </c>
      <c r="C103" s="60">
        <f t="shared" si="61"/>
        <v>0</v>
      </c>
      <c r="D103" s="24">
        <f t="shared" si="63"/>
        <v>1.8706976174615366</v>
      </c>
      <c r="H103" s="24">
        <f t="shared" si="64"/>
        <v>0.7151515151515152</v>
      </c>
      <c r="I103" s="22">
        <f t="shared" si="65"/>
        <v>1.3378322355179475</v>
      </c>
      <c r="J103" s="24">
        <f t="shared" si="66"/>
        <v>1.3378322355179475</v>
      </c>
      <c r="K103" s="22">
        <f t="shared" si="67"/>
        <v>1.8706976174615366</v>
      </c>
      <c r="L103" s="22">
        <f t="shared" si="68"/>
        <v>1.3378322355179475</v>
      </c>
      <c r="M103" s="226">
        <f t="shared" si="69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>Public works -- see Data2</v>
      </c>
      <c r="B104" s="60">
        <f t="shared" si="61"/>
        <v>1.2671810019099128</v>
      </c>
      <c r="C104" s="60">
        <f t="shared" si="61"/>
        <v>0</v>
      </c>
      <c r="D104" s="24">
        <f t="shared" si="63"/>
        <v>1.2671810019099128</v>
      </c>
      <c r="H104" s="24">
        <f t="shared" si="64"/>
        <v>0.7151515151515152</v>
      </c>
      <c r="I104" s="22">
        <f t="shared" si="65"/>
        <v>0.90622641348708921</v>
      </c>
      <c r="J104" s="24">
        <f t="shared" si="66"/>
        <v>0.90622641348708921</v>
      </c>
      <c r="K104" s="22">
        <f t="shared" si="67"/>
        <v>1.2671810019099128</v>
      </c>
      <c r="L104" s="22">
        <f t="shared" si="68"/>
        <v>0.90622641348708921</v>
      </c>
      <c r="M104" s="226">
        <f t="shared" si="69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>Gifts/social support: type (Child support, Pension and Foster Care)</v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6">
        <f t="shared" si="6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>Remittances: no. times per year</v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0.67272727272727284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6">
        <f t="shared" si="69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6">
        <f t="shared" si="69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6">
        <f t="shared" si="69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6">
        <f t="shared" si="69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6">
        <f t="shared" si="69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6">
        <f t="shared" si="69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6">
        <f t="shared" si="69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6">
        <f t="shared" si="69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6">
        <f t="shared" si="69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6">
        <f t="shared" si="69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6">
        <f t="shared" si="69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6">
        <f t="shared" si="69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6">
        <f t="shared" si="69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2.9880333357435997</v>
      </c>
      <c r="J119" s="24">
        <f>SUM(J91:J118)</f>
        <v>3.0946085841824482</v>
      </c>
      <c r="K119" s="22">
        <f>SUM(K91:K118)</f>
        <v>4.5285834330792314</v>
      </c>
      <c r="L119" s="22">
        <f>SUM(L91:L118)</f>
        <v>3.1210771978942788</v>
      </c>
      <c r="M119" s="57">
        <f>(J119)</f>
        <v>3.0946085841824482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 t="shared" ref="K124:K130" si="71">(B124)</f>
        <v>1.2688663498045756</v>
      </c>
      <c r="L124" s="29">
        <f>IF(SUMPRODUCT($B$124:$B124,$H$124:$H124)&lt;L$119,($B124*$H124),L$119)</f>
        <v>1.076613872561458</v>
      </c>
      <c r="M124" s="239">
        <f t="shared" si="70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 t="shared" si="71"/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70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0.67789955737707164</v>
      </c>
      <c r="K126" s="29">
        <f t="shared" si="7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0.72819489656331715</v>
      </c>
      <c r="M126" s="239">
        <f t="shared" si="70"/>
        <v>0.67789955737707164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1.9114194631821417</v>
      </c>
      <c r="J128" s="227">
        <f>(J30)</f>
        <v>0.39360821268825985</v>
      </c>
      <c r="K128" s="29">
        <f t="shared" si="71"/>
        <v>0.58958408107098381</v>
      </c>
      <c r="L128" s="29">
        <f>IF(L124=L119,0,(L119-L124)/(B119-B124)*K128)</f>
        <v>0.36978148721384485</v>
      </c>
      <c r="M128" s="239">
        <f t="shared" si="70"/>
        <v>0.39360821268825985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39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2.9880333357435997</v>
      </c>
      <c r="J130" s="227">
        <f>(J119)</f>
        <v>3.0946085841824482</v>
      </c>
      <c r="K130" s="29">
        <f t="shared" si="71"/>
        <v>4.5285834330792314</v>
      </c>
      <c r="L130" s="29">
        <f>(L119)</f>
        <v>3.1210771978942788</v>
      </c>
      <c r="M130" s="239">
        <f t="shared" si="70"/>
        <v>3.0946085841824482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0.21829204499234134</v>
      </c>
      <c r="M131" s="236">
        <f>IF(I131&lt;SUM(M126:M127),0,I131-(SUM(M126:M127)))</f>
        <v>0.26858738417858685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>$M6*AB6*4</f>
        <v>2.7355452766411673E-2</v>
      </c>
      <c r="AD6" s="156">
        <f>Poor!AD6</f>
        <v>0.33</v>
      </c>
      <c r="AE6" s="121">
        <f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3943.4073594293845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0.12051667674790961</v>
      </c>
      <c r="AH7" s="123">
        <f t="shared" ref="AH7:AH30" si="10">SUM(Z7,AB7,AD7,AF7)</f>
        <v>1</v>
      </c>
      <c r="AI7" s="183">
        <f t="shared" ref="AI7:AI30" si="11">SUM(AA7,AC7,AE7,AG7)/4</f>
        <v>3.0129169186977403E-2</v>
      </c>
      <c r="AJ7" s="120">
        <f t="shared" ref="AJ7:AJ31" si="12">(AA7+AC7)/2</f>
        <v>0</v>
      </c>
      <c r="AK7" s="119">
        <f t="shared" ref="AK7:AK31" si="13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6.327115119778072E-2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6.327115119778072E-2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35901.226092411365</v>
      </c>
      <c r="U8" s="222">
        <v>2</v>
      </c>
      <c r="V8" s="56"/>
      <c r="W8" s="115"/>
      <c r="X8" s="118">
        <f>Poor!X8</f>
        <v>1</v>
      </c>
      <c r="Y8" s="183">
        <f t="shared" si="7"/>
        <v>0.25308460479112288</v>
      </c>
      <c r="Z8" s="125">
        <f>IF($Y8=0,0,AA8/$Y8)</f>
        <v>0.68944753093390643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0.17448855589062318</v>
      </c>
      <c r="AB8" s="125">
        <f>IF($Y8=0,0,AC8/$Y8)</f>
        <v>0.31055246906609357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7.8596048900499704E-2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6.327115119778072E-2</v>
      </c>
      <c r="AJ8" s="120">
        <f t="shared" si="12"/>
        <v>0.12654230239556144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7"/>
        <v>0.12625201921366305</v>
      </c>
      <c r="Z9" s="125">
        <f>IF($Y9=0,0,AA9/$Y9)</f>
        <v>0.68944753093390643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8.7044142922280104E-2</v>
      </c>
      <c r="AB9" s="125">
        <f>IF($Y9=0,0,AC9/$Y9)</f>
        <v>0.31055246906609357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3.9207876291382948E-2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3.1563004803415763E-2</v>
      </c>
      <c r="AJ9" s="120">
        <f t="shared" si="12"/>
        <v>6.3126009606831526E-2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0.10820227787337594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0.10820227787337594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0.43280911149350376</v>
      </c>
      <c r="Z10" s="125">
        <f>IF($Y10=0,0,AA10/$Y10)</f>
        <v>0.68944753093390632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0.29839917328489396</v>
      </c>
      <c r="AB10" s="125">
        <f>IF($Y10=0,0,AC10/$Y10)</f>
        <v>0.31055246906609363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0.1344099382086098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0.10820227787337594</v>
      </c>
      <c r="AJ10" s="120">
        <f t="shared" si="12"/>
        <v>0.21640455574675188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27153.213631611568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117122.83333302494</v>
      </c>
      <c r="T23" s="179">
        <f>SUM(T7:T22)</f>
        <v>116889.53871681353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>$M26*AB26*4</f>
        <v>0.11904761904761904</v>
      </c>
      <c r="AD26" s="156">
        <f>Poor!AD26</f>
        <v>0.25</v>
      </c>
      <c r="AE26" s="121">
        <f>$M26*AD26*4</f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1.5364247792944888E-2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1.5364247792944888E-2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6.1456991171779551E-2</v>
      </c>
      <c r="Z27" s="156">
        <f>Poor!Z27</f>
        <v>0.25</v>
      </c>
      <c r="AA27" s="121">
        <f t="shared" si="16"/>
        <v>1.5364247792944888E-2</v>
      </c>
      <c r="AB27" s="156">
        <f>Poor!AB27</f>
        <v>0.25</v>
      </c>
      <c r="AC27" s="121">
        <f>$M27*AB27*4</f>
        <v>1.5364247792944888E-2</v>
      </c>
      <c r="AD27" s="156">
        <f>Poor!AD27</f>
        <v>0.25</v>
      </c>
      <c r="AE27" s="121">
        <f>$M27*AD27*4</f>
        <v>1.5364247792944888E-2</v>
      </c>
      <c r="AF27" s="122">
        <f t="shared" si="8"/>
        <v>0.25</v>
      </c>
      <c r="AG27" s="121">
        <f t="shared" si="9"/>
        <v>1.5364247792944888E-2</v>
      </c>
      <c r="AH27" s="123">
        <f t="shared" si="10"/>
        <v>1</v>
      </c>
      <c r="AI27" s="183">
        <f t="shared" si="11"/>
        <v>1.5364247792944888E-2</v>
      </c>
      <c r="AJ27" s="120">
        <f t="shared" si="12"/>
        <v>1.5364247792944888E-2</v>
      </c>
      <c r="AK27" s="119">
        <f t="shared" si="13"/>
        <v>1.5364247792944888E-2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0.27830080829522713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0.27830080829522713</v>
      </c>
      <c r="N29" s="228"/>
      <c r="P29" s="22"/>
      <c r="V29" s="56"/>
      <c r="W29" s="110"/>
      <c r="X29" s="118"/>
      <c r="Y29" s="183">
        <f t="shared" si="7"/>
        <v>1.1132032331809085</v>
      </c>
      <c r="Z29" s="156">
        <f>Poor!Z29</f>
        <v>0.25</v>
      </c>
      <c r="AA29" s="121">
        <f t="shared" si="16"/>
        <v>0.27830080829522713</v>
      </c>
      <c r="AB29" s="156">
        <f>Poor!AB29</f>
        <v>0.25</v>
      </c>
      <c r="AC29" s="121">
        <f>$M29*AB29*4</f>
        <v>0.27830080829522713</v>
      </c>
      <c r="AD29" s="156">
        <f>Poor!AD29</f>
        <v>0.25</v>
      </c>
      <c r="AE29" s="121">
        <f>$M29*AD29*4</f>
        <v>0.27830080829522713</v>
      </c>
      <c r="AF29" s="122">
        <f t="shared" si="8"/>
        <v>0.25</v>
      </c>
      <c r="AG29" s="121">
        <f t="shared" si="9"/>
        <v>0.27830080829522713</v>
      </c>
      <c r="AH29" s="123">
        <f t="shared" si="10"/>
        <v>1</v>
      </c>
      <c r="AI29" s="183">
        <f t="shared" si="11"/>
        <v>0.27830080829522713</v>
      </c>
      <c r="AJ29" s="120">
        <f t="shared" si="12"/>
        <v>0.27830080829522713</v>
      </c>
      <c r="AK29" s="119">
        <f t="shared" si="13"/>
        <v>0.27830080829522713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4.3472213264506534</v>
      </c>
      <c r="J30" s="230">
        <f>IF(I$32&lt;=1,I30,1-SUM(J6:J29))</f>
        <v>0.31389311479323023</v>
      </c>
      <c r="K30" s="22">
        <f t="shared" si="4"/>
        <v>0.54316672549368428</v>
      </c>
      <c r="L30" s="22">
        <f>IF(L124=L119,0,IF(K30="",0,(L119-L124)/(B119-B124)*K30))</f>
        <v>0.34937570217951963</v>
      </c>
      <c r="M30" s="175">
        <f t="shared" si="6"/>
        <v>0.31389311479323023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1.2555724591729209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0.24508184011937223</v>
      </c>
      <c r="AC30" s="187">
        <f>IF(AC79*4/$I$84+SUM(AC6:AC29)&lt;1,AC79*4/$I$84,1-SUM(AC6:AC29))</f>
        <v>0.30771800869730481</v>
      </c>
      <c r="AD30" s="122">
        <f>IF($Y30=0,0,AE30/($Y$30))</f>
        <v>0.42545180065804006</v>
      </c>
      <c r="AE30" s="187">
        <f>IF(AE79*4/$I$84+SUM(AE6:AE29)&lt;1,AE79*4/$I$84,1-SUM(AE6:AE29))</f>
        <v>0.53418556361176273</v>
      </c>
      <c r="AF30" s="122">
        <f>IF($Y30=0,0,AG30/($Y$30))</f>
        <v>0.32946635922258755</v>
      </c>
      <c r="AG30" s="187">
        <f>IF(AG79*4/$I$84+SUM(AG6:AG29)&lt;1,AG79*4/$I$84,1-SUM(AG6:AG29))</f>
        <v>0.41366888686385317</v>
      </c>
      <c r="AH30" s="123">
        <f t="shared" si="10"/>
        <v>0.99999999999999978</v>
      </c>
      <c r="AI30" s="183">
        <f t="shared" si="11"/>
        <v>0.31389311479323018</v>
      </c>
      <c r="AJ30" s="120">
        <f t="shared" si="12"/>
        <v>0.15385900434865241</v>
      </c>
      <c r="AK30" s="119">
        <f t="shared" si="13"/>
        <v>0.47392722523780795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-4.9347614947117258E-2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6.0287499729538787</v>
      </c>
      <c r="J32" s="17"/>
      <c r="L32" s="22">
        <f>SUM(L6:L30)</f>
        <v>1.0493476149471173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-1.4125548818823849E-2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15104</v>
      </c>
      <c r="J37" s="38">
        <f>J91*I$83</f>
        <v>15104</v>
      </c>
      <c r="K37" s="40">
        <f>(B37/B$65)</f>
        <v>0.186328170490276</v>
      </c>
      <c r="L37" s="22">
        <f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9440</v>
      </c>
      <c r="J38" s="38">
        <f t="shared" ref="J38:J64" si="29">J92*I$83</f>
        <v>5610.6619276601214</v>
      </c>
      <c r="K38" s="40">
        <f t="shared" ref="K38:K64" si="30">(B38/B$65)</f>
        <v>6.9873063933853494E-2</v>
      </c>
      <c r="L38" s="22">
        <f t="shared" ref="L38:L64" si="31">(K38*H38)</f>
        <v>6.5960172353557694E-2</v>
      </c>
      <c r="M38" s="24">
        <f t="shared" ref="M38:M64" si="32">J38/B$65</f>
        <v>6.5339023263772236E-2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5610.6619276601214</v>
      </c>
      <c r="AH38" s="123">
        <f t="shared" ref="AH38:AI58" si="34">SUM(Z38,AB38,AD38,AF38)</f>
        <v>1</v>
      </c>
      <c r="AI38" s="112">
        <f t="shared" si="34"/>
        <v>5610.6619276601214</v>
      </c>
      <c r="AJ38" s="148">
        <f t="shared" ref="AJ38:AJ64" si="35">(AA38+AC38)</f>
        <v>0</v>
      </c>
      <c r="AK38" s="147">
        <f t="shared" ref="AK38:AK64" si="36">(AE38+AG38)</f>
        <v>5610.6619276601214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1510.3999999999999</v>
      </c>
      <c r="J39" s="38">
        <f t="shared" si="29"/>
        <v>1510.3999999999999</v>
      </c>
      <c r="K39" s="40">
        <f t="shared" si="30"/>
        <v>1.8632817049027601E-2</v>
      </c>
      <c r="L39" s="22">
        <f t="shared" si="31"/>
        <v>1.7589379294282056E-2</v>
      </c>
      <c r="M39" s="24">
        <f t="shared" si="32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0.68944753093390643</v>
      </c>
      <c r="AA39" s="147">
        <f t="shared" ref="AA39:AA64" si="37">$J39*Z39</f>
        <v>1041.3415507225723</v>
      </c>
      <c r="AB39" s="122">
        <f>AB8</f>
        <v>0.31055246906609357</v>
      </c>
      <c r="AC39" s="147">
        <f t="shared" ref="AC39:AC64" si="38">$J39*AB39</f>
        <v>469.05844927742771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1510.4</v>
      </c>
      <c r="AJ39" s="148">
        <f t="shared" si="35"/>
        <v>1510.4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1534</v>
      </c>
      <c r="J40" s="38">
        <f t="shared" si="29"/>
        <v>1534.0000000000002</v>
      </c>
      <c r="K40" s="40">
        <f t="shared" si="30"/>
        <v>1.5139163852334925E-2</v>
      </c>
      <c r="L40" s="22">
        <f t="shared" si="31"/>
        <v>1.7864213345755209E-2</v>
      </c>
      <c r="M40" s="24">
        <f t="shared" si="32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0.68944753093390643</v>
      </c>
      <c r="AA40" s="147">
        <f t="shared" si="37"/>
        <v>1057.6125124526127</v>
      </c>
      <c r="AB40" s="122">
        <f>AB9</f>
        <v>0.31055246906609357</v>
      </c>
      <c r="AC40" s="147">
        <f t="shared" si="38"/>
        <v>476.38748754738759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1534.0000000000002</v>
      </c>
      <c r="AJ40" s="148">
        <f t="shared" si="35"/>
        <v>1534.0000000000002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3714.1334099940605</v>
      </c>
      <c r="K41" s="40">
        <f t="shared" si="30"/>
        <v>2.79492255735414E-2</v>
      </c>
      <c r="L41" s="22">
        <f t="shared" si="31"/>
        <v>4.2650518225224178E-2</v>
      </c>
      <c r="M41" s="24">
        <f t="shared" si="32"/>
        <v>4.3252980202562713E-2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3714.1334099940605</v>
      </c>
      <c r="AH41" s="123">
        <f t="shared" si="34"/>
        <v>1</v>
      </c>
      <c r="AI41" s="112">
        <f t="shared" si="34"/>
        <v>3714.1334099940605</v>
      </c>
      <c r="AJ41" s="148">
        <f t="shared" si="35"/>
        <v>0</v>
      </c>
      <c r="AK41" s="147">
        <f t="shared" si="36"/>
        <v>3714.1334099940605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24150</v>
      </c>
      <c r="J42" s="38">
        <f t="shared" si="29"/>
        <v>24149.999999999996</v>
      </c>
      <c r="K42" s="40">
        <f t="shared" si="30"/>
        <v>0.20088505880982882</v>
      </c>
      <c r="L42" s="22">
        <f t="shared" si="31"/>
        <v>0.28123908233376033</v>
      </c>
      <c r="M42" s="24">
        <f t="shared" si="32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6037.4999999999991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12074.999999999998</v>
      </c>
      <c r="AF42" s="122">
        <f t="shared" si="26"/>
        <v>0.25</v>
      </c>
      <c r="AG42" s="147">
        <f t="shared" si="33"/>
        <v>6037.4999999999991</v>
      </c>
      <c r="AH42" s="123">
        <f t="shared" si="34"/>
        <v>1</v>
      </c>
      <c r="AI42" s="112">
        <f t="shared" si="34"/>
        <v>24149.999999999996</v>
      </c>
      <c r="AJ42" s="148">
        <f t="shared" si="35"/>
        <v>6037.4999999999991</v>
      </c>
      <c r="AK42" s="147">
        <f t="shared" si="36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3549.4394208658832</v>
      </c>
      <c r="K43" s="40">
        <f t="shared" si="30"/>
        <v>2.9113776639105624E-2</v>
      </c>
      <c r="L43" s="22">
        <f t="shared" si="31"/>
        <v>4.075928729474787E-2</v>
      </c>
      <c r="M43" s="24">
        <f t="shared" si="32"/>
        <v>4.1335034597250297E-2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887.35985521647081</v>
      </c>
      <c r="AB43" s="156">
        <f>Poor!AB43</f>
        <v>0.25</v>
      </c>
      <c r="AC43" s="147">
        <f t="shared" si="38"/>
        <v>887.35985521647081</v>
      </c>
      <c r="AD43" s="156">
        <f>Poor!AD43</f>
        <v>0.25</v>
      </c>
      <c r="AE43" s="147">
        <f t="shared" si="39"/>
        <v>887.35985521647081</v>
      </c>
      <c r="AF43" s="122">
        <f t="shared" si="26"/>
        <v>0.25</v>
      </c>
      <c r="AG43" s="147">
        <f t="shared" si="33"/>
        <v>887.35985521647081</v>
      </c>
      <c r="AH43" s="123">
        <f t="shared" si="34"/>
        <v>1</v>
      </c>
      <c r="AI43" s="112">
        <f t="shared" si="34"/>
        <v>3549.4394208658832</v>
      </c>
      <c r="AJ43" s="148">
        <f t="shared" si="35"/>
        <v>1774.7197104329416</v>
      </c>
      <c r="AK43" s="147">
        <f t="shared" si="36"/>
        <v>1774.7197104329416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27"/>
        <v>1.1100000000000001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27"/>
        <v>1.1100000000000001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18124.8</v>
      </c>
      <c r="J47" s="38">
        <f t="shared" si="29"/>
        <v>18124.8</v>
      </c>
      <c r="K47" s="40">
        <f t="shared" si="30"/>
        <v>0.2235938045883312</v>
      </c>
      <c r="L47" s="22">
        <f t="shared" si="31"/>
        <v>0.21107255153138463</v>
      </c>
      <c r="M47" s="24">
        <f t="shared" si="32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4531.2</v>
      </c>
      <c r="AB47" s="156">
        <f>Poor!AB47</f>
        <v>0.25</v>
      </c>
      <c r="AC47" s="147">
        <f t="shared" si="38"/>
        <v>4531.2</v>
      </c>
      <c r="AD47" s="156">
        <f>Poor!AD47</f>
        <v>0.25</v>
      </c>
      <c r="AE47" s="147">
        <f t="shared" si="39"/>
        <v>4531.2</v>
      </c>
      <c r="AF47" s="122">
        <f t="shared" si="26"/>
        <v>0.25</v>
      </c>
      <c r="AG47" s="147">
        <f t="shared" si="33"/>
        <v>4531.2</v>
      </c>
      <c r="AH47" s="123">
        <f t="shared" si="34"/>
        <v>1</v>
      </c>
      <c r="AI47" s="112">
        <f t="shared" si="34"/>
        <v>18124.8</v>
      </c>
      <c r="AJ47" s="148">
        <f t="shared" si="35"/>
        <v>9062.4</v>
      </c>
      <c r="AK47" s="147">
        <f t="shared" si="36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27"/>
        <v>0.94399999999999995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8991.6</v>
      </c>
      <c r="J49" s="38">
        <f t="shared" si="29"/>
        <v>8991.6</v>
      </c>
      <c r="K49" s="40">
        <f t="shared" si="30"/>
        <v>8.8738791195993941E-2</v>
      </c>
      <c r="L49" s="22">
        <f t="shared" si="31"/>
        <v>0.10471177361127285</v>
      </c>
      <c r="M49" s="24">
        <f t="shared" si="32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2247.9</v>
      </c>
      <c r="AB49" s="156">
        <f>Poor!AB49</f>
        <v>0.25</v>
      </c>
      <c r="AC49" s="147">
        <f t="shared" si="38"/>
        <v>2247.9</v>
      </c>
      <c r="AD49" s="156">
        <f>Poor!AD49</f>
        <v>0.25</v>
      </c>
      <c r="AE49" s="147">
        <f t="shared" si="39"/>
        <v>2247.9</v>
      </c>
      <c r="AF49" s="122">
        <f t="shared" si="26"/>
        <v>0.25</v>
      </c>
      <c r="AG49" s="147">
        <f t="shared" si="33"/>
        <v>2247.9</v>
      </c>
      <c r="AH49" s="123">
        <f t="shared" si="34"/>
        <v>1</v>
      </c>
      <c r="AI49" s="112">
        <f t="shared" si="34"/>
        <v>8991.6</v>
      </c>
      <c r="AJ49" s="148">
        <f t="shared" si="35"/>
        <v>4495.8</v>
      </c>
      <c r="AK49" s="147">
        <f t="shared" si="36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27"/>
        <v>1.18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27"/>
        <v>1.1100000000000001</v>
      </c>
      <c r="I52" s="39">
        <f t="shared" si="28"/>
        <v>13320.000000000002</v>
      </c>
      <c r="J52" s="38">
        <f t="shared" si="29"/>
        <v>13320</v>
      </c>
      <c r="K52" s="40">
        <f t="shared" si="30"/>
        <v>0.13974612786770699</v>
      </c>
      <c r="L52" s="22">
        <f t="shared" si="31"/>
        <v>0.15511820193315476</v>
      </c>
      <c r="M52" s="24">
        <f t="shared" si="32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3330</v>
      </c>
      <c r="AB52" s="156">
        <f>Poor!AB57</f>
        <v>0.25</v>
      </c>
      <c r="AC52" s="147">
        <f t="shared" si="38"/>
        <v>3330</v>
      </c>
      <c r="AD52" s="156">
        <f>Poor!AD57</f>
        <v>0.25</v>
      </c>
      <c r="AE52" s="147">
        <f t="shared" si="39"/>
        <v>3330</v>
      </c>
      <c r="AF52" s="122">
        <f t="shared" si="26"/>
        <v>0.25</v>
      </c>
      <c r="AG52" s="147">
        <f t="shared" si="33"/>
        <v>3330</v>
      </c>
      <c r="AH52" s="123">
        <f t="shared" si="34"/>
        <v>1</v>
      </c>
      <c r="AI52" s="112">
        <f t="shared" si="34"/>
        <v>13320</v>
      </c>
      <c r="AJ52" s="148">
        <f t="shared" si="35"/>
        <v>6660</v>
      </c>
      <c r="AK52" s="147">
        <f t="shared" si="36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92174.8</v>
      </c>
      <c r="J65" s="39">
        <f>SUM(J37:J64)</f>
        <v>95609.034758520065</v>
      </c>
      <c r="K65" s="40">
        <f>SUM(K37:K64)</f>
        <v>1</v>
      </c>
      <c r="L65" s="22">
        <f>SUM(L37:L64)</f>
        <v>1.1128589728659601</v>
      </c>
      <c r="M65" s="24">
        <f>SUM(M37:M64)</f>
        <v>1.1134160330560154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19132.913918391656</v>
      </c>
      <c r="AB65" s="137"/>
      <c r="AC65" s="153">
        <f>SUM(AC37:AC64)</f>
        <v>11941.905792041285</v>
      </c>
      <c r="AD65" s="137"/>
      <c r="AE65" s="153">
        <f>SUM(AE37:AE64)</f>
        <v>23071.459855216472</v>
      </c>
      <c r="AF65" s="137"/>
      <c r="AG65" s="153">
        <f>SUM(AG37:AG64)</f>
        <v>41462.755192870653</v>
      </c>
      <c r="AH65" s="137"/>
      <c r="AI65" s="153">
        <f>SUM(AI37:AI64)</f>
        <v>95609.034758520065</v>
      </c>
      <c r="AJ65" s="153">
        <f>SUM(AJ37:AJ64)</f>
        <v>31074.819710432941</v>
      </c>
      <c r="AK65" s="153">
        <f>SUM(AK37:AK64)</f>
        <v>64534.215048087121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1">J124*I$83</f>
        <v>18296.40185207926</v>
      </c>
      <c r="K70" s="40">
        <f t="shared" ref="K70:K75" si="42">B70/B$76</f>
        <v>0.15219353052021545</v>
      </c>
      <c r="L70" s="22">
        <f t="shared" ref="L70:L75" si="43">(L124*G$37*F$9/F$7)/B$130</f>
        <v>0.21307094272830165</v>
      </c>
      <c r="M70" s="24">
        <f t="shared" ref="M70:M75" si="44"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16084.973333333333</v>
      </c>
      <c r="J71" s="51">
        <f t="shared" si="41"/>
        <v>16084.973333333333</v>
      </c>
      <c r="K71" s="40">
        <f t="shared" si="42"/>
        <v>0.15874383758394472</v>
      </c>
      <c r="L71" s="22">
        <f t="shared" si="43"/>
        <v>0.18731772834905477</v>
      </c>
      <c r="M71" s="24">
        <f t="shared" si="44"/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28645.68</v>
      </c>
      <c r="K72" s="40">
        <f t="shared" si="42"/>
        <v>0.28270641667637125</v>
      </c>
      <c r="L72" s="22">
        <f t="shared" si="43"/>
        <v>0.33359357167811815</v>
      </c>
      <c r="M72" s="24">
        <f t="shared" si="44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25251.999999999996</v>
      </c>
      <c r="K73" s="40">
        <f t="shared" si="42"/>
        <v>0.24921392803074416</v>
      </c>
      <c r="L73" s="22">
        <f t="shared" si="43"/>
        <v>0.29407243507627806</v>
      </c>
      <c r="M73" s="24">
        <f t="shared" si="44"/>
        <v>0.29407243507627806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73878.398147920743</v>
      </c>
      <c r="J74" s="51">
        <f t="shared" si="41"/>
        <v>5334.423708654137</v>
      </c>
      <c r="K74" s="40">
        <f t="shared" si="42"/>
        <v>6.514985729326056E-2</v>
      </c>
      <c r="L74" s="22">
        <f t="shared" si="43"/>
        <v>6.9144390692869442E-2</v>
      </c>
      <c r="M74" s="24">
        <f t="shared" si="44"/>
        <v>6.2122088140842399E-2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2421.2200003831626</v>
      </c>
      <c r="AD74" s="156"/>
      <c r="AE74" s="147">
        <f>AE30*$I$84/4</f>
        <v>4203.1364235332139</v>
      </c>
      <c r="AF74" s="156"/>
      <c r="AG74" s="147">
        <f>AG30*$I$84/4</f>
        <v>3254.8741188437748</v>
      </c>
      <c r="AH74" s="155"/>
      <c r="AI74" s="147">
        <f>SUM(AA74,AC74,AE74,AG74)</f>
        <v>9879.2305427601514</v>
      </c>
      <c r="AJ74" s="148">
        <f>(AA74+AC74)</f>
        <v>2421.2200003831626</v>
      </c>
      <c r="AK74" s="147">
        <f>(AE74+AG74)</f>
        <v>7458.0105423769892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1"/>
        <v>1995.555864453348</v>
      </c>
      <c r="K75" s="40">
        <f t="shared" si="42"/>
        <v>9.1992429895463829E-2</v>
      </c>
      <c r="L75" s="22">
        <f t="shared" si="43"/>
        <v>1.5659904341338206E-2</v>
      </c>
      <c r="M75" s="24">
        <f t="shared" si="44"/>
        <v>2.3239267083420844E-2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47694.399162928399</v>
      </c>
      <c r="AB75" s="158"/>
      <c r="AC75" s="149">
        <f>AA75+AC65-SUM(AC70,AC74)</f>
        <v>52640.984491566713</v>
      </c>
      <c r="AD75" s="158"/>
      <c r="AE75" s="149">
        <f>AC75+AE65-SUM(AE70,AE74)</f>
        <v>66935.207460230158</v>
      </c>
      <c r="AF75" s="158"/>
      <c r="AG75" s="149">
        <f>IF(SUM(AG6:AG29)+((AG65-AG70-$J$75)*4/I$83)&lt;1,0,AG65-AG70-$J$75-(1-SUM(AG6:AG29))*I$83/4)</f>
        <v>33135.585707556558</v>
      </c>
      <c r="AH75" s="134"/>
      <c r="AI75" s="149">
        <f>AI76-SUM(AI70,AI74)</f>
        <v>67433.402363680652</v>
      </c>
      <c r="AJ75" s="151">
        <f>AJ76-SUM(AJ70,AJ74)</f>
        <v>19505.398784010147</v>
      </c>
      <c r="AK75" s="149">
        <f>AJ75+AK76-SUM(AK70,AK74)</f>
        <v>67433.402363680652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92174.8</v>
      </c>
      <c r="J76" s="51">
        <f t="shared" si="41"/>
        <v>95609.03475852008</v>
      </c>
      <c r="K76" s="40">
        <f>SUM(K70:K75)</f>
        <v>0.99999999999999989</v>
      </c>
      <c r="L76" s="22">
        <f>SUM(L70:L75)</f>
        <v>1.1128589728659601</v>
      </c>
      <c r="M76" s="24">
        <f>SUM(M70:M75)</f>
        <v>1.1134160330560159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19132.913918391656</v>
      </c>
      <c r="AB76" s="137"/>
      <c r="AC76" s="153">
        <f>AC65</f>
        <v>11941.905792041285</v>
      </c>
      <c r="AD76" s="137"/>
      <c r="AE76" s="153">
        <f>AE65</f>
        <v>23071.459855216472</v>
      </c>
      <c r="AF76" s="137"/>
      <c r="AG76" s="153">
        <f>AG65</f>
        <v>41462.755192870653</v>
      </c>
      <c r="AH76" s="137"/>
      <c r="AI76" s="153">
        <f>SUM(AA76,AC76,AE76,AG76)</f>
        <v>95609.034758520065</v>
      </c>
      <c r="AJ76" s="154">
        <f>SUM(AA76,AC76)</f>
        <v>31074.819710432941</v>
      </c>
      <c r="AK76" s="154">
        <f>SUM(AE76,AG76)</f>
        <v>64534.215048087121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33135.585707556558</v>
      </c>
      <c r="AB78" s="112"/>
      <c r="AC78" s="112">
        <f>IF(AA75&lt;0,0,AA75)</f>
        <v>47694.399162928399</v>
      </c>
      <c r="AD78" s="112"/>
      <c r="AE78" s="112">
        <f>AC75</f>
        <v>52640.984491566713</v>
      </c>
      <c r="AF78" s="112"/>
      <c r="AG78" s="112">
        <f>AE75</f>
        <v>66935.207460230158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47694.399162928399</v>
      </c>
      <c r="AB79" s="112"/>
      <c r="AC79" s="112">
        <f>AA79-AA74+AC65-AC70</f>
        <v>55062.204491949873</v>
      </c>
      <c r="AD79" s="112"/>
      <c r="AE79" s="112">
        <f>AC79-AC74+AE65-AE70</f>
        <v>71138.343883763373</v>
      </c>
      <c r="AF79" s="112"/>
      <c r="AG79" s="112">
        <f>AE79-AE74+AG65-AG70</f>
        <v>103823.862190081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1.5534533218832016</v>
      </c>
      <c r="C91" s="75">
        <f t="shared" si="45"/>
        <v>0</v>
      </c>
      <c r="D91" s="24">
        <f>(B91+C91)</f>
        <v>1.5534533218832016</v>
      </c>
      <c r="H91" s="24">
        <f>(E37*F37/G37*F$7/F$9)</f>
        <v>0.57212121212121214</v>
      </c>
      <c r="I91" s="22">
        <f>(D91*H91)</f>
        <v>0.88876359748954081</v>
      </c>
      <c r="J91" s="24">
        <f>IF(I$32&lt;=1+I$131,I91,L91+J$33*(I91-L91))</f>
        <v>0.88876359748954081</v>
      </c>
      <c r="K91" s="22">
        <f>(B91)</f>
        <v>1.5534533218832016</v>
      </c>
      <c r="L91" s="22">
        <f>(K91*H91)</f>
        <v>0.88876359748954081</v>
      </c>
      <c r="M91" s="226">
        <f>(J91)</f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0.58254499570620055</v>
      </c>
      <c r="C92" s="75">
        <f t="shared" si="45"/>
        <v>0.38836333047080041</v>
      </c>
      <c r="D92" s="24">
        <f t="shared" ref="D92:D118" si="47">(B92+C92)</f>
        <v>0.97090832617700096</v>
      </c>
      <c r="H92" s="24">
        <f t="shared" ref="H92:H118" si="48">(E38*F38/G38*F$7/F$9)</f>
        <v>0.57212121212121214</v>
      </c>
      <c r="I92" s="22">
        <f t="shared" ref="I92:I118" si="49">(D92*H92)</f>
        <v>0.55547724843096302</v>
      </c>
      <c r="J92" s="24">
        <f t="shared" ref="J92:J118" si="50">IF(I$32&lt;=1+I$131,I92,L92+J$33*(I92-L92))</f>
        <v>0.33014778066239481</v>
      </c>
      <c r="K92" s="22">
        <f t="shared" ref="K92:K118" si="51">(B92)</f>
        <v>0.58254499570620055</v>
      </c>
      <c r="L92" s="22">
        <f t="shared" ref="L92:L118" si="52">(K92*H92)</f>
        <v>0.33328634905857779</v>
      </c>
      <c r="M92" s="226">
        <f t="shared" ref="M92:M118" si="53">(J92)</f>
        <v>0.33014778066239481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5"/>
        <v>0.15534533218832017</v>
      </c>
      <c r="C93" s="75">
        <f t="shared" si="45"/>
        <v>0</v>
      </c>
      <c r="D93" s="24">
        <f t="shared" si="47"/>
        <v>0.15534533218832017</v>
      </c>
      <c r="H93" s="24">
        <f t="shared" si="48"/>
        <v>0.57212121212121214</v>
      </c>
      <c r="I93" s="22">
        <f t="shared" si="49"/>
        <v>8.8876359748954081E-2</v>
      </c>
      <c r="J93" s="24">
        <f t="shared" si="50"/>
        <v>8.8876359748954081E-2</v>
      </c>
      <c r="K93" s="22">
        <f t="shared" si="51"/>
        <v>0.15534533218832017</v>
      </c>
      <c r="L93" s="22">
        <f t="shared" si="52"/>
        <v>8.8876359748954081E-2</v>
      </c>
      <c r="M93" s="226">
        <f t="shared" si="53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5"/>
        <v>0.12621808240301013</v>
      </c>
      <c r="C94" s="75">
        <f t="shared" si="45"/>
        <v>0</v>
      </c>
      <c r="D94" s="24">
        <f t="shared" si="47"/>
        <v>0.12621808240301013</v>
      </c>
      <c r="H94" s="24">
        <f t="shared" si="48"/>
        <v>0.7151515151515152</v>
      </c>
      <c r="I94" s="22">
        <f t="shared" si="49"/>
        <v>9.0265052870031504E-2</v>
      </c>
      <c r="J94" s="24">
        <f t="shared" si="50"/>
        <v>9.0265052870031504E-2</v>
      </c>
      <c r="K94" s="22">
        <f t="shared" si="51"/>
        <v>0.12621808240301013</v>
      </c>
      <c r="L94" s="22">
        <f t="shared" si="52"/>
        <v>9.0265052870031504E-2</v>
      </c>
      <c r="M94" s="226">
        <f t="shared" si="53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0.23301799828248024</v>
      </c>
      <c r="C95" s="75">
        <f t="shared" si="45"/>
        <v>-0.23301799828248024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0.21855048801790367</v>
      </c>
      <c r="K95" s="22">
        <f t="shared" si="51"/>
        <v>0.23301799828248024</v>
      </c>
      <c r="L95" s="22">
        <f t="shared" si="52"/>
        <v>0.21550634265397872</v>
      </c>
      <c r="M95" s="226">
        <f t="shared" si="53"/>
        <v>0.21855048801790367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1.6748168626553266</v>
      </c>
      <c r="C96" s="75">
        <f t="shared" si="45"/>
        <v>0</v>
      </c>
      <c r="D96" s="24">
        <f t="shared" si="47"/>
        <v>1.6748168626553266</v>
      </c>
      <c r="H96" s="24">
        <f t="shared" si="48"/>
        <v>0.84848484848484851</v>
      </c>
      <c r="I96" s="22">
        <f t="shared" si="49"/>
        <v>1.4210567319499741</v>
      </c>
      <c r="J96" s="24">
        <f t="shared" si="50"/>
        <v>1.4210567319499741</v>
      </c>
      <c r="K96" s="22">
        <f t="shared" si="51"/>
        <v>1.6748168626553266</v>
      </c>
      <c r="L96" s="22">
        <f t="shared" si="52"/>
        <v>1.4210567319499741</v>
      </c>
      <c r="M96" s="226">
        <f t="shared" si="53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potatoes: kg produced</v>
      </c>
      <c r="B97" s="75">
        <f t="shared" si="45"/>
        <v>0.24272708154425024</v>
      </c>
      <c r="C97" s="75">
        <f t="shared" si="45"/>
        <v>-0.24272708154425024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0.20885941133209446</v>
      </c>
      <c r="K97" s="22">
        <f t="shared" si="51"/>
        <v>0.24272708154425024</v>
      </c>
      <c r="L97" s="22">
        <f t="shared" si="52"/>
        <v>0.20595025100724262</v>
      </c>
      <c r="M97" s="226">
        <f t="shared" si="53"/>
        <v>0.20885941133209446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6">
        <f t="shared" si="5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Construction cash income -- see Data2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0.67272727272727284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6">
        <f t="shared" si="5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Domestic work cash income -- see Data2</v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0.67272727272727284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6">
        <f t="shared" si="5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Labour migration(formal employment): no. people per HH</v>
      </c>
      <c r="B101" s="75">
        <f t="shared" si="45"/>
        <v>1.8641439862598419</v>
      </c>
      <c r="C101" s="75">
        <f t="shared" si="45"/>
        <v>0</v>
      </c>
      <c r="D101" s="24">
        <f t="shared" si="47"/>
        <v>1.8641439862598419</v>
      </c>
      <c r="H101" s="24">
        <f t="shared" si="48"/>
        <v>0.57212121212121214</v>
      </c>
      <c r="I101" s="22">
        <f t="shared" si="49"/>
        <v>1.066516316987449</v>
      </c>
      <c r="J101" s="24">
        <f t="shared" si="50"/>
        <v>1.066516316987449</v>
      </c>
      <c r="K101" s="22">
        <f t="shared" si="51"/>
        <v>1.8641439862598419</v>
      </c>
      <c r="L101" s="22">
        <f t="shared" si="52"/>
        <v>1.066516316987449</v>
      </c>
      <c r="M101" s="226">
        <f t="shared" si="53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Small business -- see Data2</v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0.57212121212121214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6">
        <f t="shared" si="53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Social development -- see Data2</v>
      </c>
      <c r="B103" s="75">
        <f t="shared" si="45"/>
        <v>0.73983214454687474</v>
      </c>
      <c r="C103" s="75">
        <f t="shared" si="45"/>
        <v>0</v>
      </c>
      <c r="D103" s="24">
        <f t="shared" si="47"/>
        <v>0.73983214454687474</v>
      </c>
      <c r="H103" s="24">
        <f t="shared" si="48"/>
        <v>0.7151515151515152</v>
      </c>
      <c r="I103" s="22">
        <f t="shared" si="49"/>
        <v>0.52909207913049228</v>
      </c>
      <c r="J103" s="24">
        <f t="shared" si="50"/>
        <v>0.52909207913049228</v>
      </c>
      <c r="K103" s="22">
        <f t="shared" si="51"/>
        <v>0.73983214454687474</v>
      </c>
      <c r="L103" s="22">
        <f t="shared" si="52"/>
        <v>0.52909207913049228</v>
      </c>
      <c r="M103" s="226">
        <f t="shared" si="53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Public works -- see Data2</v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0.7151515151515152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6">
        <f t="shared" si="5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Gifts/social support: type (Child support, Pension and Foster Care)</v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6">
        <f t="shared" si="5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>Remittances: no. times per year</v>
      </c>
      <c r="B106" s="75">
        <f t="shared" si="45"/>
        <v>1.1650899914124011</v>
      </c>
      <c r="C106" s="75">
        <f t="shared" si="45"/>
        <v>0</v>
      </c>
      <c r="D106" s="24">
        <f t="shared" si="47"/>
        <v>1.1650899914124011</v>
      </c>
      <c r="H106" s="24">
        <f t="shared" si="48"/>
        <v>0.67272727272727284</v>
      </c>
      <c r="I106" s="22">
        <f t="shared" si="49"/>
        <v>0.7837878124047063</v>
      </c>
      <c r="J106" s="24">
        <f t="shared" si="50"/>
        <v>0.7837878124047063</v>
      </c>
      <c r="K106" s="22">
        <f t="shared" si="51"/>
        <v>1.1650899914124011</v>
      </c>
      <c r="L106" s="22">
        <f t="shared" si="52"/>
        <v>0.7837878124047063</v>
      </c>
      <c r="M106" s="226">
        <f t="shared" si="53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6">
        <f t="shared" si="53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6">
        <f t="shared" si="5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6">
        <f t="shared" si="5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6">
        <f t="shared" si="5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6">
        <f t="shared" si="5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6">
        <f t="shared" si="5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6">
        <f t="shared" si="5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6">
        <f t="shared" si="5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6">
        <f t="shared" si="5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6">
        <f t="shared" si="5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6">
        <f t="shared" si="5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6">
        <f t="shared" si="5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5.4238351990121112</v>
      </c>
      <c r="J119" s="24">
        <f>SUM(J91:J118)</f>
        <v>5.6259156305935418</v>
      </c>
      <c r="K119" s="22">
        <f>SUM(K91:K118)</f>
        <v>8.3371897968819066</v>
      </c>
      <c r="L119" s="22">
        <f>SUM(L91:L118)</f>
        <v>5.6231008933009479</v>
      </c>
      <c r="M119" s="57">
        <f>(J119)</f>
        <v>5.6259156305935418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 t="shared" ref="K124:K130" si="55">(B124)</f>
        <v>1.2688663498045756</v>
      </c>
      <c r="L124" s="29">
        <f>IF(SUMPRODUCT($B$124:$B124,$H$124:$H124)&lt;L$119,($B124*$H124),L$119)</f>
        <v>1.076613872561458</v>
      </c>
      <c r="M124" s="57">
        <f t="shared" si="54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si="55"/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55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>(J126)</f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1.4859016395528259</v>
      </c>
      <c r="K127" s="22">
        <f t="shared" si="55"/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1.4859016395528259</v>
      </c>
      <c r="M127" s="57">
        <f t="shared" si="54"/>
        <v>1.4859016395528259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4.3472213264506534</v>
      </c>
      <c r="J128" s="227">
        <f>(J30)</f>
        <v>0.31389311479323023</v>
      </c>
      <c r="K128" s="22">
        <f t="shared" si="55"/>
        <v>0.54316672549368428</v>
      </c>
      <c r="L128" s="22">
        <f>IF(L124=L119,0,(L119-L124)/(B119-B124)*K128)</f>
        <v>0.34937570217951963</v>
      </c>
      <c r="M128" s="57">
        <f t="shared" si="54"/>
        <v>0.31389311479323023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0.11742435176661203</v>
      </c>
      <c r="K129" s="29">
        <f t="shared" si="55"/>
        <v>0.76695834791483519</v>
      </c>
      <c r="L129" s="60">
        <f>IF(SUM(L124:L128)&gt;L130,0,L130-SUM(L124:L128))</f>
        <v>7.912702708772823E-2</v>
      </c>
      <c r="M129" s="57">
        <f t="shared" si="54"/>
        <v>0.11742435176661203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5.4238351990121112</v>
      </c>
      <c r="J130" s="227">
        <f>(J119)</f>
        <v>5.6259156305935418</v>
      </c>
      <c r="K130" s="22">
        <f t="shared" si="55"/>
        <v>8.3371897968819066</v>
      </c>
      <c r="L130" s="22">
        <f>(L119)</f>
        <v>5.6231008933009479</v>
      </c>
      <c r="M130" s="57">
        <f t="shared" si="54"/>
        <v>5.6259156305935418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>$M6*AB6*4</f>
        <v>2.8723225404732256E-2</v>
      </c>
      <c r="AD6" s="156">
        <f>Poor!AD6</f>
        <v>0.33</v>
      </c>
      <c r="AE6" s="121">
        <f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2911.7833146536182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0.17632919364881694</v>
      </c>
      <c r="AH7" s="123">
        <f t="shared" ref="AH7:AH30" si="10">SUM(Z7,AB7,AD7,AF7)</f>
        <v>1</v>
      </c>
      <c r="AI7" s="183">
        <f t="shared" ref="AI7:AI30" si="11">SUM(AA7,AC7,AE7,AG7)/4</f>
        <v>4.4082298412204235E-2</v>
      </c>
      <c r="AJ7" s="120">
        <f t="shared" ref="AJ7:AJ31" si="12">(AA7+AC7)/2</f>
        <v>0</v>
      </c>
      <c r="AK7" s="119">
        <f t="shared" ref="AK7:AK31" si="13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6.0957271673590024E-2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6.0957271673590024E-2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14520.544975393279</v>
      </c>
      <c r="U8" s="222">
        <v>2</v>
      </c>
      <c r="V8" s="56"/>
      <c r="W8" s="115"/>
      <c r="X8" s="118">
        <f>Poor!X8</f>
        <v>1</v>
      </c>
      <c r="Y8" s="183">
        <f t="shared" si="7"/>
        <v>0.2438290866943601</v>
      </c>
      <c r="Z8" s="125">
        <f>IF($Y8=0,0,AA8/$Y8)</f>
        <v>0.78311680899087655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0.19094665631124708</v>
      </c>
      <c r="AB8" s="125">
        <f>IF($Y8=0,0,AC8/$Y8)</f>
        <v>0.21688319100912345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5.2882430383113022E-2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6.0957271673590024E-2</v>
      </c>
      <c r="AJ8" s="120">
        <f t="shared" si="12"/>
        <v>0.12191454334718005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7"/>
        <v>0.22094103362391032</v>
      </c>
      <c r="Z9" s="125">
        <f>IF($Y9=0,0,AA9/$Y9)</f>
        <v>0.78311680899087655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0.17302263722670261</v>
      </c>
      <c r="AB9" s="125">
        <f>IF($Y9=0,0,AC9/$Y9)</f>
        <v>0.21688319100912348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4.7918396397207713E-2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5.523525840597758E-2</v>
      </c>
      <c r="AJ9" s="120">
        <f t="shared" si="12"/>
        <v>0.11047051681195516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3.3728096053335807E-2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3.3728096053335807E-2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0.13491238421334323</v>
      </c>
      <c r="Z10" s="125">
        <f>IF($Y10=0,0,AA10/$Y10)</f>
        <v>0.78311680899087655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0.10565215581850446</v>
      </c>
      <c r="AB10" s="125">
        <f>IF($Y10=0,0,AC10/$Y10)</f>
        <v>0.21688319100912345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2.9260228394838772E-2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3.3728096053335807E-2</v>
      </c>
      <c r="AJ10" s="120">
        <f t="shared" si="12"/>
        <v>6.7456192106671614E-2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30907.43018792992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216651.92221636904</v>
      </c>
      <c r="T23" s="179">
        <f>SUM(T7:T22)</f>
        <v>216593.12522844065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>$M26*AB26*4</f>
        <v>0</v>
      </c>
      <c r="AD26" s="156">
        <f>Poor!AD26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3.3261499734480088E-2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3.3261499734480088E-2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0.13304599893792035</v>
      </c>
      <c r="Z27" s="156">
        <f>Poor!Z27</f>
        <v>0.25</v>
      </c>
      <c r="AA27" s="121">
        <f t="shared" si="16"/>
        <v>3.3261499734480088E-2</v>
      </c>
      <c r="AB27" s="156">
        <f>Poor!AB27</f>
        <v>0.25</v>
      </c>
      <c r="AC27" s="121">
        <f>$M27*AB27*4</f>
        <v>3.3261499734480088E-2</v>
      </c>
      <c r="AD27" s="156">
        <f>Poor!AD27</f>
        <v>0.25</v>
      </c>
      <c r="AE27" s="121">
        <f>$M27*AD27*4</f>
        <v>3.3261499734480088E-2</v>
      </c>
      <c r="AF27" s="122">
        <f t="shared" si="8"/>
        <v>0.25</v>
      </c>
      <c r="AG27" s="121">
        <f t="shared" si="9"/>
        <v>3.3261499734480088E-2</v>
      </c>
      <c r="AH27" s="123">
        <f t="shared" si="10"/>
        <v>1</v>
      </c>
      <c r="AI27" s="183">
        <f t="shared" si="11"/>
        <v>3.3261499734480088E-2</v>
      </c>
      <c r="AJ27" s="120">
        <f t="shared" si="12"/>
        <v>3.3261499734480088E-2</v>
      </c>
      <c r="AK27" s="119">
        <f t="shared" si="13"/>
        <v>3.3261499734480088E-2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0.46839382550433351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0.46839382550433351</v>
      </c>
      <c r="N29" s="228"/>
      <c r="P29" s="22"/>
      <c r="V29" s="56"/>
      <c r="W29" s="110"/>
      <c r="X29" s="118"/>
      <c r="Y29" s="183">
        <f t="shared" si="7"/>
        <v>1.873575302017334</v>
      </c>
      <c r="Z29" s="156">
        <f>Poor!Z29</f>
        <v>0.25</v>
      </c>
      <c r="AA29" s="121">
        <f t="shared" si="16"/>
        <v>0.46839382550433351</v>
      </c>
      <c r="AB29" s="156">
        <f>Poor!AB29</f>
        <v>0.25</v>
      </c>
      <c r="AC29" s="121">
        <f>$M29*AB29*4</f>
        <v>0.46839382550433351</v>
      </c>
      <c r="AD29" s="156">
        <f>Poor!AD29</f>
        <v>0.25</v>
      </c>
      <c r="AE29" s="121">
        <f>$M29*AD29*4</f>
        <v>0.46839382550433351</v>
      </c>
      <c r="AF29" s="122">
        <f t="shared" si="8"/>
        <v>0.25</v>
      </c>
      <c r="AG29" s="121">
        <f t="shared" si="9"/>
        <v>0.46839382550433351</v>
      </c>
      <c r="AH29" s="123">
        <f t="shared" si="10"/>
        <v>1</v>
      </c>
      <c r="AI29" s="183">
        <f t="shared" si="11"/>
        <v>0.46839382550433351</v>
      </c>
      <c r="AJ29" s="120">
        <f t="shared" si="12"/>
        <v>0.46839382550433351</v>
      </c>
      <c r="AK29" s="119">
        <f t="shared" si="13"/>
        <v>0.46839382550433351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9.6458152356788176</v>
      </c>
      <c r="J30" s="230">
        <f>IF(I$32&lt;=1,I30,1-SUM(J6:J29))</f>
        <v>0.26210171285617834</v>
      </c>
      <c r="K30" s="22">
        <f t="shared" si="4"/>
        <v>0.5065454465753424</v>
      </c>
      <c r="L30" s="22">
        <f>IF(L124=L119,0,IF(K30="",0,(L119-L124)/(B119-B124)*K30))</f>
        <v>0.29359128512266336</v>
      </c>
      <c r="M30" s="175">
        <f t="shared" si="6"/>
        <v>0.26210171285617834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1.0484068514247133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0.32388227310786388</v>
      </c>
      <c r="AC30" s="187">
        <f>IF(AC79*4/$I$83+SUM(AC6:AC29)&lt;1,AC79*4/$I$83,1-SUM(AC6:AC29))</f>
        <v>0.33956039418129469</v>
      </c>
      <c r="AD30" s="122">
        <f>IF($Y30=0,0,AE30/($Y$30))</f>
        <v>0.42215274046012891</v>
      </c>
      <c r="AE30" s="187">
        <f>IF(AE79*4/$I$83+SUM(AE6:AE29)&lt;1,AE79*4/$I$83,1-SUM(AE6:AE29))</f>
        <v>0.44258782544611797</v>
      </c>
      <c r="AF30" s="122">
        <f>IF($Y30=0,0,AG30/($Y$30))</f>
        <v>0.25396498643200749</v>
      </c>
      <c r="AG30" s="187">
        <f>IF(AG79*4/$I$83+SUM(AG6:AG29)&lt;1,AG79*4/$I$83,1-SUM(AG6:AG29))</f>
        <v>0.26625863179730103</v>
      </c>
      <c r="AH30" s="123">
        <f t="shared" si="10"/>
        <v>1.0000000000000002</v>
      </c>
      <c r="AI30" s="183">
        <f t="shared" si="11"/>
        <v>0.26210171285617845</v>
      </c>
      <c r="AJ30" s="120">
        <f t="shared" si="12"/>
        <v>0.16978019709064734</v>
      </c>
      <c r="AK30" s="119">
        <f t="shared" si="13"/>
        <v>0.3544232286217095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-3.4213546641965964E-2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11.136579912640739</v>
      </c>
      <c r="J32" s="17"/>
      <c r="L32" s="22">
        <f>SUM(L6:L30)</f>
        <v>1.034213546641966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-3.6312763008790991E-3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7543.4301879299255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3.5127875254630792E-2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7543.4301879299255</v>
      </c>
      <c r="AH38" s="123">
        <f t="shared" ref="AH38:AI58" si="35">SUM(Z38,AB38,AD38,AF38)</f>
        <v>1</v>
      </c>
      <c r="AI38" s="112">
        <f t="shared" si="35"/>
        <v>7543.4301879299255</v>
      </c>
      <c r="AJ38" s="148">
        <f t="shared" ref="AJ38:AJ64" si="36">(AA38+AC38)</f>
        <v>0</v>
      </c>
      <c r="AK38" s="147">
        <f t="shared" ref="AK38:AK64" si="37">(AE38+AG38)</f>
        <v>7543.4301879299255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0.78311680899087655</v>
      </c>
      <c r="AA39" s="147">
        <f>$J39*Z39</f>
        <v>1774.2294424497297</v>
      </c>
      <c r="AB39" s="122">
        <f>AB8</f>
        <v>0.21688319100912345</v>
      </c>
      <c r="AC39" s="147">
        <f>$J39*AB39</f>
        <v>491.37055755027006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0.78311680899087655</v>
      </c>
      <c r="AA40" s="147">
        <f>$J40*Z40</f>
        <v>0</v>
      </c>
      <c r="AB40" s="122">
        <f>AB9</f>
        <v>0.21688319100912348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5513.5487794865103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2.567522319567905E-2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5513.5487794865103</v>
      </c>
      <c r="AH41" s="123">
        <f t="shared" si="35"/>
        <v>1</v>
      </c>
      <c r="AI41" s="112">
        <f t="shared" si="35"/>
        <v>5513.5487794865103</v>
      </c>
      <c r="AJ41" s="148">
        <f t="shared" si="36"/>
        <v>0</v>
      </c>
      <c r="AK41" s="147">
        <f t="shared" si="37"/>
        <v>5513.5487794865103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606.99619590677162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2.8266300765885182E-3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151.7490489766929</v>
      </c>
      <c r="AB43" s="156">
        <f>Poor!AB43</f>
        <v>0.25</v>
      </c>
      <c r="AC43" s="147">
        <f t="shared" si="39"/>
        <v>151.7490489766929</v>
      </c>
      <c r="AD43" s="156">
        <f>Poor!AD43</f>
        <v>0.25</v>
      </c>
      <c r="AE43" s="147">
        <f t="shared" si="40"/>
        <v>151.7490489766929</v>
      </c>
      <c r="AF43" s="122">
        <f t="shared" si="31"/>
        <v>0.25</v>
      </c>
      <c r="AG43" s="147">
        <f t="shared" si="34"/>
        <v>151.7490489766929</v>
      </c>
      <c r="AH43" s="123">
        <f t="shared" si="35"/>
        <v>1</v>
      </c>
      <c r="AI43" s="112">
        <f t="shared" si="35"/>
        <v>606.99619590677162</v>
      </c>
      <c r="AJ43" s="148">
        <f t="shared" si="36"/>
        <v>303.49809795338581</v>
      </c>
      <c r="AK43" s="147">
        <f t="shared" si="37"/>
        <v>303.49809795338581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208252.79999999999</v>
      </c>
      <c r="J65" s="39">
        <f>SUM(J37:J64)</f>
        <v>212004.77516332321</v>
      </c>
      <c r="K65" s="40">
        <f>SUM(K37:K64)</f>
        <v>1.0000000000000002</v>
      </c>
      <c r="L65" s="22">
        <f>SUM(L37:L64)</f>
        <v>0.98719020964692528</v>
      </c>
      <c r="M65" s="24">
        <f>SUM(M37:M64)</f>
        <v>0.98725342580083641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45670.178491426421</v>
      </c>
      <c r="AB65" s="137"/>
      <c r="AC65" s="153">
        <f>SUM(AC37:AC64)</f>
        <v>42287.319606526966</v>
      </c>
      <c r="AD65" s="137"/>
      <c r="AE65" s="153">
        <f>SUM(AE37:AE64)</f>
        <v>45995.949048976698</v>
      </c>
      <c r="AF65" s="137"/>
      <c r="AG65" s="153">
        <f>SUM(AG37:AG64)</f>
        <v>78051.328016393119</v>
      </c>
      <c r="AH65" s="137"/>
      <c r="AI65" s="153">
        <f>SUM(AI37:AI64)</f>
        <v>212004.77516332321</v>
      </c>
      <c r="AJ65" s="153">
        <f>SUM(AJ37:AJ64)</f>
        <v>87957.498097953387</v>
      </c>
      <c r="AK65" s="153">
        <f>SUM(AK37:AK64)</f>
        <v>124047.27706536981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 t="shared" ref="J70:J77" si="47"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18382.826666666671</v>
      </c>
      <c r="J71" s="51">
        <f t="shared" si="47"/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187342.62645476655</v>
      </c>
      <c r="J74" s="51">
        <f t="shared" si="47"/>
        <v>5090.5830233139359</v>
      </c>
      <c r="K74" s="40">
        <f>B74/B$76</f>
        <v>2.7766116637823381E-2</v>
      </c>
      <c r="L74" s="22">
        <f>(L128*G$37*F$9/F$7)/B$130</f>
        <v>2.655362588049745E-2</v>
      </c>
      <c r="M74" s="24">
        <f>J74/B$76</f>
        <v>2.3705577033435173E-2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1648.7496010352197</v>
      </c>
      <c r="AD74" s="156"/>
      <c r="AE74" s="147">
        <f>AE30*$I$83/4</f>
        <v>2149.0035738317865</v>
      </c>
      <c r="AF74" s="156"/>
      <c r="AG74" s="147">
        <f>AG30*$I$83/4</f>
        <v>1292.8298484469315</v>
      </c>
      <c r="AH74" s="155"/>
      <c r="AI74" s="147">
        <f>SUM(AA74,AC74,AE74,AG74)</f>
        <v>5090.5830233139377</v>
      </c>
      <c r="AJ74" s="148">
        <f>(AA74+AC74)</f>
        <v>1648.7496010352197</v>
      </c>
      <c r="AK74" s="147">
        <f>(AE74+AG74)</f>
        <v>3441.833422278718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 t="shared" si="47"/>
        <v>121667.27192810918</v>
      </c>
      <c r="K75" s="40">
        <f>B75/B$76</f>
        <v>0.64878292866648568</v>
      </c>
      <c r="L75" s="22">
        <f>(L129*G$37*F$9/F$7)/B$130</f>
        <v>0.56366291204920382</v>
      </c>
      <c r="M75" s="24">
        <f>J75/B$76</f>
        <v>0.56657417705017732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40442.635105118061</v>
      </c>
      <c r="AB75" s="158"/>
      <c r="AC75" s="149">
        <f>AA75+AC65-SUM(AC70,AC74)</f>
        <v>75853.661724301448</v>
      </c>
      <c r="AD75" s="158"/>
      <c r="AE75" s="149">
        <f>AC75+AE65-SUM(AE70,AE74)</f>
        <v>114473.063813138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186004.01859477581</v>
      </c>
      <c r="AJ75" s="151">
        <f>AJ76-SUM(AJ70,AJ74)</f>
        <v>75853.661724301433</v>
      </c>
      <c r="AK75" s="149">
        <f>AJ75+AK76-SUM(AK70,AK74)</f>
        <v>186004.01859477581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208252.79999999999</v>
      </c>
      <c r="J76" s="51">
        <f t="shared" si="47"/>
        <v>212004.77516332321</v>
      </c>
      <c r="K76" s="40">
        <f>SUM(K70:K75)</f>
        <v>0.79825713336624071</v>
      </c>
      <c r="L76" s="22">
        <f>SUM(L70:L75)</f>
        <v>0.7491336270190897</v>
      </c>
      <c r="M76" s="24">
        <f>SUM(M70:M75)</f>
        <v>0.74919684317300095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45670.178491426421</v>
      </c>
      <c r="AB76" s="137"/>
      <c r="AC76" s="153">
        <f>AC65</f>
        <v>42287.319606526966</v>
      </c>
      <c r="AD76" s="137"/>
      <c r="AE76" s="153">
        <f>AE65</f>
        <v>45995.949048976698</v>
      </c>
      <c r="AF76" s="137"/>
      <c r="AG76" s="153">
        <f>AG65</f>
        <v>78051.328016393119</v>
      </c>
      <c r="AH76" s="137"/>
      <c r="AI76" s="153">
        <f>SUM(AA76,AC76,AE76,AG76)</f>
        <v>212004.77516332321</v>
      </c>
      <c r="AJ76" s="154">
        <f>SUM(AA76,AC76)</f>
        <v>87957.498097953387</v>
      </c>
      <c r="AK76" s="154">
        <f>SUM(AE76,AG76)</f>
        <v>124047.27706536982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40442.635105118061</v>
      </c>
      <c r="AD78" s="112"/>
      <c r="AE78" s="112">
        <f>AC75</f>
        <v>75853.661724301448</v>
      </c>
      <c r="AF78" s="112"/>
      <c r="AG78" s="112">
        <f>AE75</f>
        <v>114473.063813138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40442.635105118061</v>
      </c>
      <c r="AB79" s="112"/>
      <c r="AC79" s="112">
        <f>AA79-AA74+AC65-AC70</f>
        <v>77502.411325336667</v>
      </c>
      <c r="AD79" s="112"/>
      <c r="AE79" s="112">
        <f>AC79-AC74+AE65-AE70</f>
        <v>116622.06738696978</v>
      </c>
      <c r="AF79" s="112"/>
      <c r="AG79" s="112">
        <f>AE79-AE74+AG65-AG70</f>
        <v>187296.84844322276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1.8987325953798975</v>
      </c>
      <c r="C91" s="75">
        <f t="shared" si="48"/>
        <v>0</v>
      </c>
      <c r="D91" s="24">
        <f>(B91+C91)</f>
        <v>1.8987325953798975</v>
      </c>
      <c r="H91" s="24">
        <f>(E37*F37/G37*F$7/F$9)</f>
        <v>0.57212121212121214</v>
      </c>
      <c r="I91" s="22">
        <f>(D91*H91)</f>
        <v>1.0863051939628019</v>
      </c>
      <c r="J91" s="24">
        <f>IF(I$32&lt;=1+I$131,I91,L91+J$33*(I91-L91))</f>
        <v>1.0863051939628019</v>
      </c>
      <c r="K91" s="22">
        <f>(B91)</f>
        <v>1.8987325953798975</v>
      </c>
      <c r="L91" s="22">
        <f>(K91*H91)</f>
        <v>1.0863051939628019</v>
      </c>
      <c r="M91" s="226">
        <f>(J91)</f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0.67963582832390068</v>
      </c>
      <c r="C92" s="75">
        <f t="shared" si="48"/>
        <v>0.21238619635121897</v>
      </c>
      <c r="D92" s="24">
        <f t="shared" ref="D92:D118" si="50">(B92+C92)</f>
        <v>0.8920220246751196</v>
      </c>
      <c r="H92" s="24">
        <f t="shared" ref="H92:H118" si="51">(E38*F38/G38*F$7/F$9)</f>
        <v>0.57212121212121214</v>
      </c>
      <c r="I92" s="22">
        <f t="shared" ref="I92:I118" si="52">(D92*H92)</f>
        <v>0.51034472199594727</v>
      </c>
      <c r="J92" s="24">
        <f t="shared" ref="J92:J118" si="53">IF(I$32&lt;=1+I$131,I92,L92+J$33*(I92-L92))</f>
        <v>0.38839283516494494</v>
      </c>
      <c r="K92" s="22">
        <f t="shared" ref="K92:K118" si="54">(B92)</f>
        <v>0.67963582832390068</v>
      </c>
      <c r="L92" s="22">
        <f t="shared" ref="L92:L118" si="55">(K92*H92)</f>
        <v>0.38883407390167413</v>
      </c>
      <c r="M92" s="226">
        <f t="shared" ref="M92:M118" si="56">(J92)</f>
        <v>0.38839283516494494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Sheep sales - local: no. sold</v>
      </c>
      <c r="B93" s="75">
        <f t="shared" si="48"/>
        <v>0.2038907484971702</v>
      </c>
      <c r="C93" s="75">
        <f t="shared" si="48"/>
        <v>0</v>
      </c>
      <c r="D93" s="24">
        <f t="shared" si="50"/>
        <v>0.2038907484971702</v>
      </c>
      <c r="H93" s="24">
        <f t="shared" si="51"/>
        <v>0.57212121212121214</v>
      </c>
      <c r="I93" s="22">
        <f t="shared" si="52"/>
        <v>0.11665022217050224</v>
      </c>
      <c r="J93" s="24">
        <f t="shared" si="53"/>
        <v>0.11665022217050224</v>
      </c>
      <c r="K93" s="22">
        <f t="shared" si="54"/>
        <v>0.2038907484971702</v>
      </c>
      <c r="L93" s="22">
        <f t="shared" si="55"/>
        <v>0.11665022217050224</v>
      </c>
      <c r="M93" s="226">
        <f t="shared" si="56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Chicken sales: no. sold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6">
        <f t="shared" si="56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0.30583612274575533</v>
      </c>
      <c r="C95" s="75">
        <f t="shared" si="48"/>
        <v>-0.30583612274575533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0.28387918876898077</v>
      </c>
      <c r="K95" s="22">
        <f t="shared" si="54"/>
        <v>0.30583612274575533</v>
      </c>
      <c r="L95" s="22">
        <f t="shared" si="55"/>
        <v>0.28285207473334706</v>
      </c>
      <c r="M95" s="226">
        <f t="shared" si="56"/>
        <v>0.28387918876898077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0.50972687124292548</v>
      </c>
      <c r="C96" s="75">
        <f t="shared" si="48"/>
        <v>0</v>
      </c>
      <c r="D96" s="24">
        <f t="shared" si="50"/>
        <v>0.50972687124292548</v>
      </c>
      <c r="H96" s="24">
        <f t="shared" si="51"/>
        <v>0.84848484848484851</v>
      </c>
      <c r="I96" s="22">
        <f t="shared" si="52"/>
        <v>0.4324955271152095</v>
      </c>
      <c r="J96" s="24">
        <f t="shared" si="53"/>
        <v>0.4324955271152095</v>
      </c>
      <c r="K96" s="22">
        <f t="shared" si="54"/>
        <v>0.50972687124292548</v>
      </c>
      <c r="L96" s="22">
        <f t="shared" si="55"/>
        <v>0.4324955271152095</v>
      </c>
      <c r="M96" s="226">
        <f t="shared" si="56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potatoes: kg produced</v>
      </c>
      <c r="B97" s="75">
        <f t="shared" si="48"/>
        <v>3.6700334729490636E-2</v>
      </c>
      <c r="C97" s="75">
        <f t="shared" si="48"/>
        <v>-3.6700334729490636E-2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3.125275472686026E-2</v>
      </c>
      <c r="K97" s="22">
        <f t="shared" si="54"/>
        <v>3.6700334729490636E-2</v>
      </c>
      <c r="L97" s="22">
        <f t="shared" si="55"/>
        <v>3.1139677952295084E-2</v>
      </c>
      <c r="M97" s="226">
        <f t="shared" si="56"/>
        <v>3.125275472686026E-2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6">
        <f t="shared" si="56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Construction cash income -- see Data2</v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0.67272727272727284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6">
        <f t="shared" si="56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Domestic work cash income -- see Data2</v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0.67272727272727284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6">
        <f t="shared" si="56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Labour migration(formal employment): no. people per HH</v>
      </c>
      <c r="B101" s="75">
        <f t="shared" si="48"/>
        <v>6.4225585776608618</v>
      </c>
      <c r="C101" s="75">
        <f t="shared" si="48"/>
        <v>0</v>
      </c>
      <c r="D101" s="24">
        <f t="shared" si="50"/>
        <v>6.4225585776608618</v>
      </c>
      <c r="H101" s="24">
        <f t="shared" si="51"/>
        <v>0.57212121212121214</v>
      </c>
      <c r="I101" s="22">
        <f t="shared" si="52"/>
        <v>3.6744819983708203</v>
      </c>
      <c r="J101" s="24">
        <f t="shared" si="53"/>
        <v>3.6744819983708203</v>
      </c>
      <c r="K101" s="22">
        <f t="shared" si="54"/>
        <v>6.4225585776608618</v>
      </c>
      <c r="L101" s="22">
        <f t="shared" si="55"/>
        <v>3.6744819983708203</v>
      </c>
      <c r="M101" s="226">
        <f t="shared" si="56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Small business -- see Data2</v>
      </c>
      <c r="B102" s="75">
        <f t="shared" si="48"/>
        <v>5.3266458044885718</v>
      </c>
      <c r="C102" s="75">
        <f t="shared" si="48"/>
        <v>0</v>
      </c>
      <c r="D102" s="24">
        <f t="shared" si="50"/>
        <v>5.3266458044885718</v>
      </c>
      <c r="H102" s="24">
        <f t="shared" si="51"/>
        <v>0.57212121212121214</v>
      </c>
      <c r="I102" s="22">
        <f t="shared" si="52"/>
        <v>3.047487054204371</v>
      </c>
      <c r="J102" s="24">
        <f t="shared" si="53"/>
        <v>3.047487054204371</v>
      </c>
      <c r="K102" s="22">
        <f t="shared" si="54"/>
        <v>5.3266458044885718</v>
      </c>
      <c r="L102" s="22">
        <f t="shared" si="55"/>
        <v>3.047487054204371</v>
      </c>
      <c r="M102" s="226">
        <f t="shared" si="56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Social development -- see Data2</v>
      </c>
      <c r="B103" s="75">
        <f t="shared" si="48"/>
        <v>0.64735312647851539</v>
      </c>
      <c r="C103" s="75">
        <f t="shared" si="48"/>
        <v>0</v>
      </c>
      <c r="D103" s="24">
        <f t="shared" si="50"/>
        <v>0.64735312647851539</v>
      </c>
      <c r="H103" s="24">
        <f t="shared" si="51"/>
        <v>0.7151515151515152</v>
      </c>
      <c r="I103" s="22">
        <f t="shared" si="52"/>
        <v>0.46295556923918074</v>
      </c>
      <c r="J103" s="24">
        <f t="shared" si="53"/>
        <v>0.46295556923918074</v>
      </c>
      <c r="K103" s="22">
        <f t="shared" si="54"/>
        <v>0.64735312647851539</v>
      </c>
      <c r="L103" s="22">
        <f t="shared" si="55"/>
        <v>0.46295556923918074</v>
      </c>
      <c r="M103" s="226">
        <f t="shared" si="56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>Public works -- see Data2</v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0.7151515151515152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6">
        <f t="shared" si="56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>Gifts/social support: type (Child support, Pension and Foster Care)</v>
      </c>
      <c r="B105" s="75">
        <f t="shared" si="48"/>
        <v>1.4476243143299086</v>
      </c>
      <c r="C105" s="75">
        <f t="shared" si="48"/>
        <v>0</v>
      </c>
      <c r="D105" s="24">
        <f t="shared" si="50"/>
        <v>1.4476243143299086</v>
      </c>
      <c r="H105" s="24">
        <f t="shared" si="51"/>
        <v>0.60606060606060608</v>
      </c>
      <c r="I105" s="22">
        <f t="shared" si="52"/>
        <v>0.87734806929085374</v>
      </c>
      <c r="J105" s="24">
        <f t="shared" si="53"/>
        <v>0.87734806929085374</v>
      </c>
      <c r="K105" s="22">
        <f t="shared" si="54"/>
        <v>1.4476243143299086</v>
      </c>
      <c r="L105" s="22">
        <f t="shared" si="55"/>
        <v>0.87734806929085374</v>
      </c>
      <c r="M105" s="226">
        <f t="shared" si="56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>Remittances: no. times per year</v>
      </c>
      <c r="B106" s="75">
        <f t="shared" si="48"/>
        <v>0.76459030686438834</v>
      </c>
      <c r="C106" s="75">
        <f t="shared" si="48"/>
        <v>0</v>
      </c>
      <c r="D106" s="24">
        <f t="shared" si="50"/>
        <v>0.76459030686438834</v>
      </c>
      <c r="H106" s="24">
        <f t="shared" si="51"/>
        <v>0.67272727272727284</v>
      </c>
      <c r="I106" s="22">
        <f t="shared" si="52"/>
        <v>0.51436075189058861</v>
      </c>
      <c r="J106" s="24">
        <f t="shared" si="53"/>
        <v>0.51436075189058861</v>
      </c>
      <c r="K106" s="22">
        <f t="shared" si="54"/>
        <v>0.76459030686438834</v>
      </c>
      <c r="L106" s="22">
        <f t="shared" si="55"/>
        <v>0.51436075189058861</v>
      </c>
      <c r="M106" s="226">
        <f t="shared" si="56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6">
        <f t="shared" si="56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6">
        <f t="shared" si="56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6">
        <f t="shared" si="56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6">
        <f t="shared" si="56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6">
        <f t="shared" si="56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6">
        <f t="shared" si="56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6">
        <f t="shared" si="56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6">
        <f t="shared" si="56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6">
        <f t="shared" si="56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6">
        <f t="shared" si="56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6">
        <f t="shared" si="56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6">
        <f t="shared" si="56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10.722429108240275</v>
      </c>
      <c r="J119" s="24">
        <f>SUM(J91:J118)</f>
        <v>10.915609164905115</v>
      </c>
      <c r="K119" s="22">
        <f>SUM(K91:K118)</f>
        <v>18.243294630741381</v>
      </c>
      <c r="L119" s="22">
        <f>SUM(L91:L118)</f>
        <v>10.914910212831645</v>
      </c>
      <c r="M119" s="57">
        <f>(J119)</f>
        <v>10.915609164905115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 t="shared" ref="K124:K130" si="58">(B124)</f>
        <v>1.268866349804576</v>
      </c>
      <c r="L124" s="29">
        <f>IF(SUMPRODUCT($B$124:$B124,$H$124:$H124)&lt;L$119,($B124*$H124),L$119)</f>
        <v>1.0766138725614585</v>
      </c>
      <c r="M124" s="57">
        <f t="shared" si="57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si="58"/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58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>(J126)</f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 t="shared" si="58"/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57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9.6458152356788176</v>
      </c>
      <c r="J128" s="227">
        <f>(J30)</f>
        <v>0.26210171285617834</v>
      </c>
      <c r="K128" s="22">
        <f t="shared" si="58"/>
        <v>0.5065454465753424</v>
      </c>
      <c r="L128" s="22">
        <f>IF(L124=L119,0,(L119-L124)/(B119-B124)*K128)</f>
        <v>0.29359128512266336</v>
      </c>
      <c r="M128" s="57">
        <f t="shared" si="57"/>
        <v>0.26210171285617834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6.2643512982401335</v>
      </c>
      <c r="K129" s="29">
        <f t="shared" si="58"/>
        <v>11.835938119057971</v>
      </c>
      <c r="L129" s="60">
        <f>IF(SUM(L124:L128)&gt;L130,0,L130-SUM(L124:L128))</f>
        <v>6.2321627739001775</v>
      </c>
      <c r="M129" s="57">
        <f t="shared" si="57"/>
        <v>6.2643512982401335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10.722429108240275</v>
      </c>
      <c r="J130" s="227">
        <f>(J119)</f>
        <v>10.915609164905115</v>
      </c>
      <c r="K130" s="22">
        <f t="shared" si="58"/>
        <v>18.243294630741381</v>
      </c>
      <c r="L130" s="22">
        <f>(L119)</f>
        <v>10.914910212831645</v>
      </c>
      <c r="M130" s="57">
        <f t="shared" si="57"/>
        <v>10.915609164905115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4883.6953495484686</v>
      </c>
      <c r="H72" s="109">
        <f>Middle!T7</f>
        <v>3943.4073594293845</v>
      </c>
      <c r="I72" s="109">
        <f>Rich!T7</f>
        <v>2911.7833146536182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2279.4359789650775</v>
      </c>
      <c r="H73" s="109">
        <f>Middle!T8</f>
        <v>35901.226092411365</v>
      </c>
      <c r="I73" s="109">
        <f>Rich!T8</f>
        <v>14520.544975393279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8734.4862069534993</v>
      </c>
      <c r="H76" s="109">
        <f>Middle!T11</f>
        <v>27153.213631611568</v>
      </c>
      <c r="I76" s="109">
        <f>Rich!T11</f>
        <v>30907.43018792992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40842.398998525372</v>
      </c>
      <c r="G88" s="109">
        <f>Poor!T23</f>
        <v>67770.469451347803</v>
      </c>
      <c r="H88" s="109">
        <f>Middle!T23</f>
        <v>116889.53871681353</v>
      </c>
      <c r="I88" s="109">
        <f>Rich!T23</f>
        <v>216593.12522844065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13509.834640203349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46247.754640203362</v>
      </c>
      <c r="G100" s="238">
        <f t="shared" si="0"/>
        <v>19319.684187380917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2016-06-04T22:23:19Z</dcterms:modified>
  <cp:category/>
</cp:coreProperties>
</file>