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60" windowWidth="17700" windowHeight="160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E37" i="7"/>
  <c r="F37" i="7"/>
  <c r="G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G40" i="1"/>
  <c r="G40" i="7"/>
  <c r="F40" i="7"/>
  <c r="E40" i="7"/>
  <c r="H94" i="7"/>
  <c r="I94" i="7"/>
  <c r="B41" i="7"/>
  <c r="B95" i="7"/>
  <c r="C41" i="7"/>
  <c r="C95" i="7"/>
  <c r="D95" i="7"/>
  <c r="G41" i="1"/>
  <c r="G41" i="7"/>
  <c r="E41" i="7"/>
  <c r="F41" i="7"/>
  <c r="H95" i="7"/>
  <c r="I95" i="7"/>
  <c r="B42" i="7"/>
  <c r="B96" i="7"/>
  <c r="C42" i="7"/>
  <c r="C96" i="7"/>
  <c r="D96" i="7"/>
  <c r="G42" i="1"/>
  <c r="G42" i="7"/>
  <c r="E42" i="7"/>
  <c r="F42" i="7"/>
  <c r="H96" i="7"/>
  <c r="I96" i="7"/>
  <c r="B43" i="7"/>
  <c r="B97" i="7"/>
  <c r="C43" i="7"/>
  <c r="C97" i="7"/>
  <c r="D97" i="7"/>
  <c r="G43" i="1"/>
  <c r="G43" i="7"/>
  <c r="E43" i="7"/>
  <c r="F43" i="7"/>
  <c r="H97" i="7"/>
  <c r="I97" i="7"/>
  <c r="B44" i="7"/>
  <c r="B98" i="7"/>
  <c r="C44" i="7"/>
  <c r="C98" i="7"/>
  <c r="D98" i="7"/>
  <c r="G44" i="1"/>
  <c r="G44" i="7"/>
  <c r="E44" i="7"/>
  <c r="F44" i="7"/>
  <c r="H98" i="7"/>
  <c r="I98" i="7"/>
  <c r="B45" i="7"/>
  <c r="B99" i="7"/>
  <c r="C45" i="7"/>
  <c r="C99" i="7"/>
  <c r="D99" i="7"/>
  <c r="G45" i="1"/>
  <c r="G45" i="7"/>
  <c r="E45" i="7"/>
  <c r="F45" i="7"/>
  <c r="H99" i="7"/>
  <c r="I99" i="7"/>
  <c r="B46" i="7"/>
  <c r="B100" i="7"/>
  <c r="C46" i="7"/>
  <c r="C100" i="7"/>
  <c r="D100" i="7"/>
  <c r="G46" i="1"/>
  <c r="G46" i="7"/>
  <c r="E46" i="7"/>
  <c r="F46" i="7"/>
  <c r="H100" i="7"/>
  <c r="I100" i="7"/>
  <c r="B47" i="7"/>
  <c r="B101" i="7"/>
  <c r="C47" i="7"/>
  <c r="C101" i="7"/>
  <c r="D101" i="7"/>
  <c r="E47" i="7"/>
  <c r="G47" i="1"/>
  <c r="G47" i="7"/>
  <c r="F47" i="7"/>
  <c r="H101" i="7"/>
  <c r="I101" i="7"/>
  <c r="B48" i="7"/>
  <c r="B102" i="7"/>
  <c r="C48" i="7"/>
  <c r="C102" i="7"/>
  <c r="D102" i="7"/>
  <c r="E48" i="7"/>
  <c r="G48" i="1"/>
  <c r="G48" i="7"/>
  <c r="F48" i="7"/>
  <c r="H102" i="7"/>
  <c r="I102" i="7"/>
  <c r="B49" i="7"/>
  <c r="B103" i="7"/>
  <c r="C49" i="7"/>
  <c r="C103" i="7"/>
  <c r="D103" i="7"/>
  <c r="G49" i="1"/>
  <c r="G49" i="7"/>
  <c r="F49" i="7"/>
  <c r="H103" i="7"/>
  <c r="I103" i="7"/>
  <c r="B50" i="7"/>
  <c r="B104" i="7"/>
  <c r="C50" i="7"/>
  <c r="C104" i="7"/>
  <c r="D104" i="7"/>
  <c r="G50" i="1"/>
  <c r="G50" i="7"/>
  <c r="F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F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F70" i="7"/>
  <c r="H124" i="7"/>
  <c r="I124" i="7"/>
  <c r="I30" i="7"/>
  <c r="I32" i="7"/>
  <c r="B71" i="7"/>
  <c r="B125" i="7"/>
  <c r="I128" i="7"/>
  <c r="F71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70" i="8"/>
  <c r="B71" i="8"/>
  <c r="B72" i="8"/>
  <c r="B29" i="8"/>
  <c r="C29" i="8"/>
  <c r="D29" i="8"/>
  <c r="B80" i="8"/>
  <c r="B82" i="8"/>
  <c r="B81" i="8"/>
  <c r="B83" i="8"/>
  <c r="G37" i="8"/>
  <c r="H83" i="8"/>
  <c r="I83" i="8"/>
  <c r="F70" i="8"/>
  <c r="H70" i="8"/>
  <c r="F71" i="8"/>
  <c r="H71" i="8"/>
  <c r="F72" i="8"/>
  <c r="H72" i="8"/>
  <c r="T26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8"/>
  <c r="F37" i="8"/>
  <c r="H91" i="8"/>
  <c r="I91" i="8"/>
  <c r="B38" i="8"/>
  <c r="B92" i="8"/>
  <c r="C38" i="8"/>
  <c r="C92" i="8"/>
  <c r="D92" i="8"/>
  <c r="E38" i="8"/>
  <c r="G38" i="8"/>
  <c r="F38" i="8"/>
  <c r="H92" i="8"/>
  <c r="I92" i="8"/>
  <c r="B39" i="8"/>
  <c r="B93" i="8"/>
  <c r="C39" i="8"/>
  <c r="C93" i="8"/>
  <c r="D93" i="8"/>
  <c r="E39" i="8"/>
  <c r="G39" i="8"/>
  <c r="F39" i="8"/>
  <c r="H93" i="8"/>
  <c r="I93" i="8"/>
  <c r="B40" i="8"/>
  <c r="B94" i="8"/>
  <c r="C40" i="8"/>
  <c r="C94" i="8"/>
  <c r="D94" i="8"/>
  <c r="G40" i="8"/>
  <c r="F40" i="8"/>
  <c r="E40" i="8"/>
  <c r="H94" i="8"/>
  <c r="I94" i="8"/>
  <c r="B41" i="8"/>
  <c r="B95" i="8"/>
  <c r="C41" i="8"/>
  <c r="C95" i="8"/>
  <c r="D95" i="8"/>
  <c r="G41" i="8"/>
  <c r="E41" i="8"/>
  <c r="F41" i="8"/>
  <c r="H95" i="8"/>
  <c r="I95" i="8"/>
  <c r="B42" i="8"/>
  <c r="B96" i="8"/>
  <c r="C42" i="8"/>
  <c r="C96" i="8"/>
  <c r="D96" i="8"/>
  <c r="G42" i="8"/>
  <c r="E42" i="8"/>
  <c r="F42" i="8"/>
  <c r="H96" i="8"/>
  <c r="I96" i="8"/>
  <c r="B43" i="8"/>
  <c r="B97" i="8"/>
  <c r="C43" i="8"/>
  <c r="C97" i="8"/>
  <c r="D97" i="8"/>
  <c r="G43" i="8"/>
  <c r="E43" i="8"/>
  <c r="F43" i="8"/>
  <c r="H97" i="8"/>
  <c r="I97" i="8"/>
  <c r="B44" i="8"/>
  <c r="B98" i="8"/>
  <c r="C44" i="8"/>
  <c r="C98" i="8"/>
  <c r="D98" i="8"/>
  <c r="G44" i="8"/>
  <c r="E44" i="8"/>
  <c r="F44" i="8"/>
  <c r="H98" i="8"/>
  <c r="I98" i="8"/>
  <c r="B45" i="8"/>
  <c r="B99" i="8"/>
  <c r="C45" i="8"/>
  <c r="C99" i="8"/>
  <c r="D99" i="8"/>
  <c r="G45" i="8"/>
  <c r="E45" i="8"/>
  <c r="F45" i="8"/>
  <c r="H99" i="8"/>
  <c r="I99" i="8"/>
  <c r="B46" i="8"/>
  <c r="B100" i="8"/>
  <c r="C46" i="8"/>
  <c r="C100" i="8"/>
  <c r="D100" i="8"/>
  <c r="G46" i="8"/>
  <c r="E46" i="8"/>
  <c r="F46" i="8"/>
  <c r="H100" i="8"/>
  <c r="I100" i="8"/>
  <c r="B47" i="8"/>
  <c r="B101" i="8"/>
  <c r="C47" i="8"/>
  <c r="C101" i="8"/>
  <c r="D101" i="8"/>
  <c r="E47" i="8"/>
  <c r="G47" i="8"/>
  <c r="F47" i="8"/>
  <c r="H101" i="8"/>
  <c r="I101" i="8"/>
  <c r="B48" i="8"/>
  <c r="B102" i="8"/>
  <c r="C48" i="8"/>
  <c r="C102" i="8"/>
  <c r="D102" i="8"/>
  <c r="E48" i="8"/>
  <c r="G48" i="8"/>
  <c r="F48" i="8"/>
  <c r="H102" i="8"/>
  <c r="I102" i="8"/>
  <c r="B49" i="8"/>
  <c r="B103" i="8"/>
  <c r="C49" i="8"/>
  <c r="C103" i="8"/>
  <c r="D103" i="8"/>
  <c r="G49" i="8"/>
  <c r="F49" i="8"/>
  <c r="H103" i="8"/>
  <c r="I103" i="8"/>
  <c r="B50" i="8"/>
  <c r="B104" i="8"/>
  <c r="C50" i="8"/>
  <c r="C104" i="8"/>
  <c r="D104" i="8"/>
  <c r="G50" i="8"/>
  <c r="F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F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F40" i="12"/>
  <c r="E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F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E48" i="12"/>
  <c r="F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F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F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<sst xmlns="http://schemas.openxmlformats.org/spreadsheetml/2006/main" count="790" uniqueCount="145">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</sst>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0.00499887235367372</c:v>
                </c:pt>
                <c:pt idx="2" formatCode="0.0%">
                  <c:v>0.00499887235367372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0.0578445133561644</c:v>
                </c:pt>
                <c:pt idx="2" formatCode="0.0%">
                  <c:v>0.0578445133561644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0.00186137932752179</c:v>
                </c:pt>
                <c:pt idx="2" formatCode="0.0%">
                  <c:v>0.00387052342305762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0.0065772789235315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0.209294007245687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0.294689816854807</c:v>
                </c:pt>
                <c:pt idx="2" formatCode="0.0%">
                  <c:v>0.588150322325235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8753336"/>
        <c:axId val="2078746520"/>
      </c:barChart>
      <c:catAx>
        <c:axId val="207875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8746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8746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8753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0.109933620589263</c:v>
                </c:pt>
                <c:pt idx="2">
                  <c:v>0.109933620589263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0.0412251077209736</c:v>
                </c:pt>
                <c:pt idx="2">
                  <c:v>0.0648240145620165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0.0109933620589263</c:v>
                </c:pt>
                <c:pt idx="2">
                  <c:v>0.0109933620589263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0.0117386747408874</c:v>
                </c:pt>
                <c:pt idx="2">
                  <c:v>0.00165914164945886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0.0562478164667521</c:v>
                </c:pt>
                <c:pt idx="2">
                  <c:v>0.056247816466752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0.00815185745894957</c:v>
                </c:pt>
                <c:pt idx="2">
                  <c:v>0.0011521817010131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0.105536275765692</c:v>
                </c:pt>
                <c:pt idx="2">
                  <c:v>0.105536275765692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0.104711773611273</c:v>
                </c:pt>
                <c:pt idx="2">
                  <c:v>0.104711773611273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399624"/>
        <c:axId val="2079392872"/>
      </c:barChart>
      <c:catAx>
        <c:axId val="207939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392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392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399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0.061406245634296</c:v>
                </c:pt>
                <c:pt idx="2">
                  <c:v>0.061406245634296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0.021979864209144</c:v>
                </c:pt>
                <c:pt idx="2">
                  <c:v>0.0222406848394742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0.0065939592627432</c:v>
                </c:pt>
                <c:pt idx="2">
                  <c:v>0.0065939592627432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0.0070410073483529</c:v>
                </c:pt>
                <c:pt idx="2">
                  <c:v>0.00677364409882124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0.00782334149816989</c:v>
                </c:pt>
                <c:pt idx="2">
                  <c:v>0.00782334149816989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0.000563280587868232</c:v>
                </c:pt>
                <c:pt idx="2">
                  <c:v>0.000541891527905699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0.166167773421129</c:v>
                </c:pt>
                <c:pt idx="2">
                  <c:v>0.166167773421129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0.0418716413184193</c:v>
                </c:pt>
                <c:pt idx="2">
                  <c:v>0.0418716413184193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640712"/>
        <c:axId val="2086642120"/>
      </c:barChart>
      <c:catAx>
        <c:axId val="2086640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642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642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640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0.023837313700844</c:v>
                </c:pt>
                <c:pt idx="2">
                  <c:v>0.023837313700844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0.0151481414975759</c:v>
                </c:pt>
                <c:pt idx="2">
                  <c:v>0.0151481414975759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0.0187358592206859</c:v>
                </c:pt>
                <c:pt idx="2">
                  <c:v>0.0187358592206859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0.0956724726162686</c:v>
                </c:pt>
                <c:pt idx="2">
                  <c:v>0.0956724726162686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0.856871969833004</c:v>
                </c:pt>
                <c:pt idx="2">
                  <c:v>0.856871969833004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502952"/>
        <c:axId val="2086493672"/>
      </c:barChart>
      <c:catAx>
        <c:axId val="208650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493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493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502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414.0773225620311</c:v>
                </c:pt>
                <c:pt idx="5">
                  <c:v>1305.918536947162</c:v>
                </c:pt>
                <c:pt idx="6">
                  <c:v>5379.225145642626</c:v>
                </c:pt>
                <c:pt idx="7">
                  <c:v>896.0397790998251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444.2485180890382</c:v>
                </c:pt>
                <c:pt idx="6">
                  <c:v>5795.895241262886</c:v>
                </c:pt>
                <c:pt idx="7">
                  <c:v>3250.952751554597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758.5714285714286</c:v>
                </c:pt>
                <c:pt idx="5">
                  <c:v>5075.860807619005</c:v>
                </c:pt>
                <c:pt idx="6">
                  <c:v>19982.21500621756</c:v>
                </c:pt>
                <c:pt idx="7">
                  <c:v>19378.50914379836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6369592"/>
        <c:axId val="208637296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369592"/>
        <c:axId val="2086372968"/>
      </c:lineChart>
      <c:catAx>
        <c:axId val="208636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372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372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369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6237928"/>
        <c:axId val="20862412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37928"/>
        <c:axId val="2086241256"/>
      </c:lineChart>
      <c:catAx>
        <c:axId val="208623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241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241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237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6137672"/>
        <c:axId val="208613072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137672"/>
        <c:axId val="2086130728"/>
      </c:lineChart>
      <c:catAx>
        <c:axId val="20861376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130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130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137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0.344854738053252</c:v>
                </c:pt>
                <c:pt idx="2">
                  <c:v>0.344854738053252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0.14141119561426</c:v>
                </c:pt>
                <c:pt idx="2">
                  <c:v>0.0214091437067264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0.107370926250068</c:v>
                </c:pt>
                <c:pt idx="2">
                  <c:v>0.214293950012703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-0.203443542438992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057304"/>
        <c:axId val="2086050216"/>
      </c:barChart>
      <c:catAx>
        <c:axId val="208605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050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050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057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0.189744813874087</c:v>
                </c:pt>
                <c:pt idx="2">
                  <c:v>0.160048641695385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993656"/>
        <c:axId val="2085997016"/>
      </c:barChart>
      <c:catAx>
        <c:axId val="208599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5997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5997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5993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0.299543496370337</c:v>
                </c:pt>
                <c:pt idx="2">
                  <c:v>0.279129584417376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917128"/>
        <c:axId val="2085908088"/>
      </c:barChart>
      <c:catAx>
        <c:axId val="208591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5908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5908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5917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0.657080332270758</c:v>
                </c:pt>
                <c:pt idx="2">
                  <c:v>0.657080332270758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0.35318542459762</c:v>
                </c:pt>
                <c:pt idx="2">
                  <c:v>0.35318542459762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0.169720341541311</c:v>
                </c:pt>
                <c:pt idx="2">
                  <c:v>0.35318542459762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-0.577661100137667</c:v>
                </c:pt>
                <c:pt idx="2">
                  <c:v>-0.577661100137667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839464"/>
        <c:axId val="2085842808"/>
      </c:barChart>
      <c:catAx>
        <c:axId val="208583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5842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5842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5839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0.0160914428037716</c:v>
                </c:pt>
                <c:pt idx="2" formatCode="0.0%">
                  <c:v>0.0160914428037716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0.012051667674791</c:v>
                </c:pt>
                <c:pt idx="2" formatCode="0.0%">
                  <c:v>0.012051667674791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0.0202785322896282</c:v>
                </c:pt>
                <c:pt idx="2" formatCode="0.0%">
                  <c:v>0.19440222322636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0.0225242540473225</c:v>
                </c:pt>
                <c:pt idx="2" formatCode="0.0%">
                  <c:v>0.0762483680553499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0.00214133184226723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0.232115988485638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0.15859567713401</c:v>
                </c:pt>
                <c:pt idx="2" formatCode="0.0%">
                  <c:v>0.341588757903521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8472760"/>
        <c:axId val="2078465144"/>
      </c:barChart>
      <c:catAx>
        <c:axId val="207847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8465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8465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8472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459192"/>
        <c:axId val="211647908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459192"/>
        <c:axId val="211647908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459192"/>
        <c:axId val="2116479080"/>
      </c:scatterChart>
      <c:catAx>
        <c:axId val="21164591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4790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64790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4591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282936"/>
        <c:axId val="211628101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82936"/>
        <c:axId val="2116281016"/>
      </c:lineChart>
      <c:catAx>
        <c:axId val="21162829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2810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62810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2829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430344"/>
        <c:axId val="-214568608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700792"/>
        <c:axId val="-2145899608"/>
      </c:scatterChart>
      <c:valAx>
        <c:axId val="-214543034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686088"/>
        <c:crosses val="autoZero"/>
        <c:crossBetween val="midCat"/>
      </c:valAx>
      <c:valAx>
        <c:axId val="-21456860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430344"/>
        <c:crosses val="autoZero"/>
        <c:crossBetween val="midCat"/>
      </c:valAx>
      <c:valAx>
        <c:axId val="-21457007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45899608"/>
        <c:crosses val="autoZero"/>
        <c:crossBetween val="midCat"/>
      </c:valAx>
      <c:valAx>
        <c:axId val="-214589960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70079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953944"/>
        <c:axId val="-214601045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53944"/>
        <c:axId val="-2146010456"/>
      </c:lineChart>
      <c:catAx>
        <c:axId val="-214595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0104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60104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95394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0.0168960149439601</c:v>
                </c:pt>
                <c:pt idx="2" formatCode="0.0%">
                  <c:v>0.0168960149439601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0.0176329193648817</c:v>
                </c:pt>
                <c:pt idx="2" formatCode="0.0%">
                  <c:v>0.0176329193648817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0.0177437157534247</c:v>
                </c:pt>
                <c:pt idx="2" formatCode="0.0%">
                  <c:v>0.027850261453263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0.0067885599003736</c:v>
                </c:pt>
                <c:pt idx="2" formatCode="0.0%">
                  <c:v>0.00723759122006228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0.0318827091327527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0.458289352330187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0.203765648678931</c:v>
                </c:pt>
                <c:pt idx="2" formatCode="0.0%">
                  <c:v>0.429164099873697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0343944"/>
        <c:axId val="2080347240"/>
      </c:barChart>
      <c:catAx>
        <c:axId val="208034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34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347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343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0.00202506004269703</c:v>
                </c:pt>
                <c:pt idx="2" formatCode="0.0%">
                  <c:v>0.00202506004269703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0.0137894019569472</c:v>
                </c:pt>
                <c:pt idx="2" formatCode="0.0%">
                  <c:v>0.0137894019569472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0.0050053897882939</c:v>
                </c:pt>
                <c:pt idx="2" formatCode="0.0%">
                  <c:v>0.0050053897882939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0.278083615024335</c:v>
                </c:pt>
                <c:pt idx="2" formatCode="0.0%">
                  <c:v>0.578687732737711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0220168"/>
        <c:axId val="2080223464"/>
      </c:barChart>
      <c:catAx>
        <c:axId val="208022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223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223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0220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0.00319146948941469</c:v>
                </c:pt>
                <c:pt idx="1">
                  <c:v>0.00319146948941469</c:v>
                </c:pt>
                <c:pt idx="2">
                  <c:v>0.00619520547945205</c:v>
                </c:pt>
                <c:pt idx="3">
                  <c:v>0.00619520547945205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0.0199954894146949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0.231378053424657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0.0154820936922305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0.209294007245687</c:v>
                </c:pt>
                <c:pt idx="1">
                  <c:v>0.209294007245687</c:v>
                </c:pt>
                <c:pt idx="2">
                  <c:v>0.209294007245687</c:v>
                </c:pt>
                <c:pt idx="3">
                  <c:v>0.209294007245687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0.392935374814468</c:v>
                </c:pt>
                <c:pt idx="1">
                  <c:v>0.661889625293747</c:v>
                </c:pt>
                <c:pt idx="2">
                  <c:v>0.65888588930371</c:v>
                </c:pt>
                <c:pt idx="3">
                  <c:v>0.638890399889015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0122504"/>
        <c:axId val="2080125816"/>
      </c:barChart>
      <c:catAx>
        <c:axId val="20801225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1258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0125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122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0.00810024017078812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0.0551576078277886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0.0200215591531756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0.571036278492327</c:v>
                </c:pt>
                <c:pt idx="1">
                  <c:v>0.656315607010384</c:v>
                </c:pt>
                <c:pt idx="2">
                  <c:v>0.547768306740725</c:v>
                </c:pt>
                <c:pt idx="3">
                  <c:v>0.539630738707409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998648"/>
        <c:axId val="2080001960"/>
      </c:barChart>
      <c:catAx>
        <c:axId val="20799986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0019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0001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998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0.0109421811065647</c:v>
                </c:pt>
                <c:pt idx="1">
                  <c:v>0.0109421811065647</c:v>
                </c:pt>
                <c:pt idx="2">
                  <c:v>0.0212407045009785</c:v>
                </c:pt>
                <c:pt idx="3">
                  <c:v>0.0212407045009785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0.0482066706991638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0.446238982877829</c:v>
                </c:pt>
                <c:pt idx="1">
                  <c:v>0.331369910027609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0.0144902079063615</c:v>
                </c:pt>
                <c:pt idx="1">
                  <c:v>0.0107601959363711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0.175023688733721</c:v>
                </c:pt>
                <c:pt idx="1">
                  <c:v>0.129969783487679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0.232115988485638</c:v>
                </c:pt>
                <c:pt idx="1">
                  <c:v>0.232115988485638</c:v>
                </c:pt>
                <c:pt idx="2">
                  <c:v>0.232115988485638</c:v>
                </c:pt>
                <c:pt idx="3">
                  <c:v>0.232115988485638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0.163652990066252</c:v>
                </c:pt>
                <c:pt idx="2">
                  <c:v>0.625454356123497</c:v>
                </c:pt>
                <c:pt idx="3">
                  <c:v>0.577247685424334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891544"/>
        <c:axId val="2079885112"/>
      </c:barChart>
      <c:catAx>
        <c:axId val="20798915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8851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79885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891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0.0114892901618929</c:v>
                </c:pt>
                <c:pt idx="1">
                  <c:v>0.0114892901618929</c:v>
                </c:pt>
                <c:pt idx="2">
                  <c:v>0.0223027397260274</c:v>
                </c:pt>
                <c:pt idx="3">
                  <c:v>0.0223027397260274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0.0705316774595268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0.111401045813052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0.0289503648802491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0.458289352330187</c:v>
                </c:pt>
                <c:pt idx="1">
                  <c:v>0.458289352330187</c:v>
                </c:pt>
                <c:pt idx="2">
                  <c:v>0.458289352330187</c:v>
                </c:pt>
                <c:pt idx="3">
                  <c:v>0.458289352330187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0.313799030957084</c:v>
                </c:pt>
                <c:pt idx="1">
                  <c:v>0.498338648375167</c:v>
                </c:pt>
                <c:pt idx="2">
                  <c:v>0.487525198811033</c:v>
                </c:pt>
                <c:pt idx="3">
                  <c:v>0.416993521351506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820312"/>
        <c:axId val="2079823624"/>
      </c:barChart>
      <c:catAx>
        <c:axId val="20798203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8236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79823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820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0.074710163959029</c:v>
                </c:pt>
                <c:pt idx="2">
                  <c:v>0.074710163959029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0.033204517315124</c:v>
                </c:pt>
                <c:pt idx="2">
                  <c:v>0.0205110270442165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0.00787903800697857</c:v>
                </c:pt>
                <c:pt idx="2">
                  <c:v>0.00787903800697857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0.000840430720744381</c:v>
                </c:pt>
                <c:pt idx="2">
                  <c:v>0.000454892846753429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0.028735977188309</c:v>
                </c:pt>
                <c:pt idx="2">
                  <c:v>0.028735977188309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0.0229054890631449</c:v>
                </c:pt>
                <c:pt idx="2">
                  <c:v>0.0229054890631449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0.48744231418602</c:v>
                </c:pt>
                <c:pt idx="2">
                  <c:v>0.48744231418602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577336"/>
        <c:axId val="2079576232"/>
      </c:barChart>
      <c:catAx>
        <c:axId val="207957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576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576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577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2.0250600426970295E-3</v>
      </c>
      <c r="J7" s="24">
        <f t="shared" si="3"/>
        <v>2.0250600426970295E-3</v>
      </c>
      <c r="K7" s="22">
        <f t="shared" si="4"/>
        <v>1.0125300213485146E-2</v>
      </c>
      <c r="L7" s="22">
        <f t="shared" si="5"/>
        <v>2.0250600426970295E-3</v>
      </c>
      <c r="M7" s="177">
        <f t="shared" si="6"/>
        <v>2.0250600426970295E-3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1471.2865959745848</v>
      </c>
      <c r="S7" s="221">
        <f>IF($B$81=0,0,(SUMIF($N$6:$N$28,$U7,L$6:L$28)+SUMIF($N$91:$N$118,$U7,L$91:L$118))*$I$83*Poor!$B$81/$B$81)</f>
        <v>414.0773225620311</v>
      </c>
      <c r="T7" s="221">
        <f>IF($B$81=0,0,(SUMIF($N$6:$N$28,$U7,M$6:M$28)+SUMIF($N$91:$N$118,$U7,M$91:M$118))*$I$83*Poor!$B$81/$B$81)</f>
        <v>414.0773225620311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8.1002401707881179E-3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8.1002401707881179E-3</v>
      </c>
      <c r="AH7" s="123">
        <f t="shared" ref="AH7:AH30" si="12">SUM(Z7,AB7,AD7,AF7)</f>
        <v>1</v>
      </c>
      <c r="AI7" s="183">
        <f t="shared" ref="AI7:AI30" si="13">SUM(AA7,AC7,AE7,AG7)/4</f>
        <v>2.0250600426970295E-3</v>
      </c>
      <c r="AJ7" s="120">
        <f t="shared" ref="AJ7:AJ31" si="14">(AA7+AC7)/2</f>
        <v>0</v>
      </c>
      <c r="AK7" s="119">
        <f t="shared" ref="AK7:AK31" si="15">(AE7+AG7)/2</f>
        <v>4.0501200853940589E-3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1.3789401956947162E-2</v>
      </c>
      <c r="J8" s="24">
        <f t="shared" si="3"/>
        <v>1.3789401956947162E-2</v>
      </c>
      <c r="K8" s="22">
        <f t="shared" si="4"/>
        <v>4.5964673189823876E-2</v>
      </c>
      <c r="L8" s="22">
        <f t="shared" si="5"/>
        <v>1.3789401956947162E-2</v>
      </c>
      <c r="M8" s="223">
        <f t="shared" si="6"/>
        <v>1.3789401956947162E-2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5.5157607827788648E-2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5.5157607827788648E-2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1.3789401956947162E-2</v>
      </c>
      <c r="AJ8" s="120">
        <f t="shared" si="14"/>
        <v>2.7578803913894324E-2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2.5250403842732617E-3</v>
      </c>
      <c r="J9" s="24">
        <f t="shared" si="3"/>
        <v>2.5250403842732617E-3</v>
      </c>
      <c r="K9" s="22">
        <f t="shared" si="4"/>
        <v>1.2625201921366307E-2</v>
      </c>
      <c r="L9" s="22">
        <f t="shared" si="5"/>
        <v>2.5250403842732617E-3</v>
      </c>
      <c r="M9" s="223">
        <f t="shared" si="6"/>
        <v>2.5250403842732617E-3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178.16053949785783</v>
      </c>
      <c r="S9" s="221">
        <f>IF($B$81=0,0,(SUMIF($N$6:$N$28,$U9,L$6:L$28)+SUMIF($N$91:$N$118,$U9,L$91:L$118))*$I$83*Poor!$B$81/$B$81)</f>
        <v>39.331052674964965</v>
      </c>
      <c r="T9" s="221">
        <f>IF($B$81=0,0,(SUMIF($N$6:$N$28,$U9,M$6:M$28)+SUMIF($N$91:$N$118,$U9,M$91:M$118))*$I$83*Poor!$B$81/$B$81)</f>
        <v>39.331052674964965</v>
      </c>
      <c r="U9" s="222">
        <v>3</v>
      </c>
      <c r="V9" s="56"/>
      <c r="W9" s="115"/>
      <c r="X9" s="118">
        <f>Poor!X9</f>
        <v>1</v>
      </c>
      <c r="Y9" s="183">
        <f t="shared" si="9"/>
        <v>1.0100161537093047E-2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1.0100161537093047E-2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2.5250403842732617E-3</v>
      </c>
      <c r="AJ9" s="120">
        <f t="shared" si="14"/>
        <v>5.0500807685465235E-3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0.2</v>
      </c>
      <c r="H10" s="24">
        <f t="shared" si="1"/>
        <v>0.2</v>
      </c>
      <c r="I10" s="22">
        <f t="shared" si="2"/>
        <v>5.0053897882938979E-3</v>
      </c>
      <c r="J10" s="24">
        <f t="shared" si="3"/>
        <v>5.0053897882938979E-3</v>
      </c>
      <c r="K10" s="22">
        <f t="shared" si="4"/>
        <v>2.5026948941469486E-2</v>
      </c>
      <c r="L10" s="22">
        <f t="shared" si="5"/>
        <v>5.0053897882938979E-3</v>
      </c>
      <c r="M10" s="223">
        <f t="shared" si="6"/>
        <v>5.0053897882938979E-3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2.0021559153175592E-2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2.0021559153175592E-2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5.0053897882938979E-3</v>
      </c>
      <c r="AJ10" s="120">
        <f t="shared" si="14"/>
        <v>1.0010779576587796E-2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1921.9158048747584</v>
      </c>
      <c r="S11" s="221">
        <f>IF($B$81=0,0,(SUMIF($N$6:$N$28,$U11,L$6:L$28)+SUMIF($N$91:$N$118,$U11,L$91:L$118))*$I$83*Poor!$B$81/$B$81)</f>
        <v>758.57142857142856</v>
      </c>
      <c r="T11" s="221">
        <f>IF($B$81=0,0,(SUMIF($N$6:$N$28,$U11,M$6:M$28)+SUMIF($N$91:$N$118,$U11,M$91:M$118))*$I$83*Poor!$B$81/$B$81)</f>
        <v>758.57142857142856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11104.402428165269</v>
      </c>
      <c r="S13" s="221">
        <f>IF($B$81=0,0,(SUMIF($N$6:$N$28,$U13,L$6:L$28)+SUMIF($N$91:$N$118,$U13,L$91:L$118))*$I$83*Poor!$B$81/$B$81)</f>
        <v>4122.8571428571431</v>
      </c>
      <c r="T13" s="221">
        <f>IF($B$81=0,0,(SUMIF($N$6:$N$28,$U13,M$6:M$28)+SUMIF($N$91:$N$118,$U13,M$91:M$118))*$I$83*Poor!$B$81/$B$81)</f>
        <v>4122.8571428571431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34543.233399615659</v>
      </c>
      <c r="S20" s="221">
        <f>IF($B$81=0,0,(SUMIF($N$6:$N$28,$U20,L$6:L$28)+SUMIF($N$91:$N$118,$U20,L$91:L$118))*$I$83*Poor!$B$81/$B$81)</f>
        <v>27268.114285714288</v>
      </c>
      <c r="T20" s="221">
        <f>IF($B$81=0,0,(SUMIF($N$6:$N$28,$U20,M$6:M$28)+SUMIF($N$91:$N$118,$U20,M$91:M$118))*$I$83*Poor!$B$81/$B$81)</f>
        <v>27268.114285714288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51313.710785378913</v>
      </c>
      <c r="S23" s="179">
        <f>SUM(S7:S22)</f>
        <v>34915.113872928079</v>
      </c>
      <c r="T23" s="179">
        <f>SUM(T7:T22)</f>
        <v>34915.113872928079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0.57868773273771112</v>
      </c>
      <c r="J30" s="230">
        <f>IF(I$32&lt;=1,I30,1-SUM(J6:J29))</f>
        <v>0.57868773273771112</v>
      </c>
      <c r="K30" s="22">
        <f t="shared" si="4"/>
        <v>0.68939859227895406</v>
      </c>
      <c r="L30" s="22">
        <f>IF(L124=L119,0,IF(K30="",0,(L119-L124)/(B119-B124)*K30))</f>
        <v>0.27808361502433498</v>
      </c>
      <c r="M30" s="175">
        <f t="shared" si="6"/>
        <v>0.57868773273771112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1054.2930991339817</v>
      </c>
      <c r="T30" s="233">
        <f t="shared" si="24"/>
        <v>1054.2930991339817</v>
      </c>
      <c r="V30" s="56"/>
      <c r="W30" s="110"/>
      <c r="X30" s="118"/>
      <c r="Y30" s="183">
        <f>M30*4</f>
        <v>2.3147509309508445</v>
      </c>
      <c r="Z30" s="122">
        <f>IF($Y30=0,0,AA30/($Y$30))</f>
        <v>0.24669448054083234</v>
      </c>
      <c r="AA30" s="187">
        <f>IF(AA79*4/$I$83+SUM(AA6:AA29)&lt;1,AA79*4/$I$83,1-SUM(AA6:AA29))</f>
        <v>0.57103627849232663</v>
      </c>
      <c r="AB30" s="122">
        <f>IF($Y30=0,0,AC30/($Y$30))</f>
        <v>0.28353616721121055</v>
      </c>
      <c r="AC30" s="187">
        <f>IF(AC79*4/$I$83+SUM(AC6:AC29)&lt;1,AC79*4/$I$83,1-SUM(AC6:AC29))</f>
        <v>0.65631560701038394</v>
      </c>
      <c r="AD30" s="122">
        <f>IF($Y30=0,0,AE30/($Y$30))</f>
        <v>0.23664243932962375</v>
      </c>
      <c r="AE30" s="187">
        <f>IF(AE79*4/$I$83+SUM(AE6:AE29)&lt;1,AE79*4/$I$83,1-SUM(AE6:AE29))</f>
        <v>0.5477683067407253</v>
      </c>
      <c r="AF30" s="122">
        <f>IF($Y30=0,0,AG30/($Y$30))</f>
        <v>0.23312691291833362</v>
      </c>
      <c r="AG30" s="187">
        <f>IF(AG79*4/$I$83+SUM(AG6:AG29)&lt;1,AG79*4/$I$83,1-SUM(AG6:AG29))</f>
        <v>0.53963073870740919</v>
      </c>
      <c r="AH30" s="123">
        <f t="shared" si="12"/>
        <v>1.0000000000000002</v>
      </c>
      <c r="AI30" s="183">
        <f t="shared" si="13"/>
        <v>0.57868773273771124</v>
      </c>
      <c r="AJ30" s="120">
        <f t="shared" si="14"/>
        <v>0.61367594275135529</v>
      </c>
      <c r="AK30" s="119">
        <f t="shared" si="15"/>
        <v>0.5436995227240673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5.4282982100461452E-2</v>
      </c>
      <c r="K31" s="22" t="str">
        <f t="shared" si="4"/>
        <v/>
      </c>
      <c r="L31" s="22">
        <f>(1-SUM(L6:L30))</f>
        <v>0.33193584315629721</v>
      </c>
      <c r="M31" s="240">
        <f t="shared" si="6"/>
        <v>5.4282982100461452E-2</v>
      </c>
      <c r="N31" s="167">
        <f>M31*I83</f>
        <v>922.50646174222766</v>
      </c>
      <c r="P31" s="22"/>
      <c r="Q31" s="237" t="s">
        <v>142</v>
      </c>
      <c r="R31" s="233">
        <f t="shared" si="24"/>
        <v>3038.5228533498084</v>
      </c>
      <c r="S31" s="233">
        <f t="shared" si="24"/>
        <v>19437.119765800642</v>
      </c>
      <c r="T31" s="233">
        <f>IF(T25&gt;T$23,T25-T$23,0)</f>
        <v>19437.119765800642</v>
      </c>
      <c r="V31" s="56"/>
      <c r="W31" s="129" t="s">
        <v>84</v>
      </c>
      <c r="X31" s="130"/>
      <c r="Y31" s="121">
        <f>M31*4</f>
        <v>0.21713192840184581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0.10854730026965864</v>
      </c>
      <c r="AF31" s="134"/>
      <c r="AG31" s="133">
        <f>1-AG32+IF($Y32&lt;0,$Y32/4,0)</f>
        <v>0.10858462813218661</v>
      </c>
      <c r="AH31" s="123"/>
      <c r="AI31" s="182">
        <f>SUM(AA31,AC31,AE31,AG31)/4</f>
        <v>5.4282982100461313E-2</v>
      </c>
      <c r="AJ31" s="135">
        <f t="shared" si="14"/>
        <v>0</v>
      </c>
      <c r="AK31" s="136">
        <f t="shared" si="15"/>
        <v>0.10856596420092263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0.94571701789953855</v>
      </c>
      <c r="J32" s="17"/>
      <c r="L32" s="22">
        <f>SUM(L6:L30)</f>
        <v>0.66806415684370279</v>
      </c>
      <c r="M32" s="23"/>
      <c r="N32" s="56"/>
      <c r="O32" s="2"/>
      <c r="P32" s="22"/>
      <c r="Q32" s="233" t="s">
        <v>143</v>
      </c>
      <c r="R32" s="233">
        <f t="shared" si="24"/>
        <v>35776.442853349821</v>
      </c>
      <c r="S32" s="233">
        <f t="shared" si="24"/>
        <v>52175.039765800655</v>
      </c>
      <c r="T32" s="233">
        <f t="shared" si="24"/>
        <v>52175.039765800655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0.89145269973034136</v>
      </c>
      <c r="AF32" s="137"/>
      <c r="AG32" s="139">
        <f>SUM(AG6:AG30)</f>
        <v>0.89141537186781339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2.2140711783988674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16084.97333333333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663.75</v>
      </c>
      <c r="K38" s="40">
        <f t="shared" ref="K38:K64" si="33">(B38/B$65)</f>
        <v>4.040222661159993E-2</v>
      </c>
      <c r="L38" s="22">
        <f t="shared" ref="L38:L64" si="34">(K38*H38)</f>
        <v>2.3837313700843958E-2</v>
      </c>
      <c r="M38" s="24">
        <f t="shared" ref="M38:M64" si="35">J38/B$65</f>
        <v>2.3837313700843958E-2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0.20102378949434591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133.4295402768721</v>
      </c>
      <c r="AB38" s="122">
        <f>IF($J38=0,0,AC38/($J38))</f>
        <v>0.74688843317310594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495.74719751864905</v>
      </c>
      <c r="AD38" s="122">
        <f>IF($J38=0,0,AE38/($J38))</f>
        <v>5.2087777332548178E-2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34.573262204478851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663.75</v>
      </c>
      <c r="AJ38" s="148">
        <f t="shared" ref="AJ38:AJ64" si="38">(AA38+AC38)</f>
        <v>629.17673779552115</v>
      </c>
      <c r="AK38" s="147">
        <f t="shared" ref="AK38:AK64" si="39">(AE38+AG38)</f>
        <v>34.573262204478851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421.8</v>
      </c>
      <c r="J44" s="38">
        <f t="shared" si="32"/>
        <v>421.80000000000007</v>
      </c>
      <c r="K44" s="40">
        <f t="shared" si="33"/>
        <v>2.7293948644280839E-2</v>
      </c>
      <c r="L44" s="22">
        <f t="shared" si="34"/>
        <v>1.5148141497575866E-2</v>
      </c>
      <c r="M44" s="24">
        <f t="shared" si="35"/>
        <v>1.5148141497575868E-2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105.45000000000002</v>
      </c>
      <c r="AB44" s="156">
        <f>Poor!AB44</f>
        <v>0.25</v>
      </c>
      <c r="AC44" s="147">
        <f t="shared" si="41"/>
        <v>105.45000000000002</v>
      </c>
      <c r="AD44" s="156">
        <f>Poor!AD44</f>
        <v>0.25</v>
      </c>
      <c r="AE44" s="147">
        <f t="shared" si="42"/>
        <v>105.45000000000002</v>
      </c>
      <c r="AF44" s="122">
        <f t="shared" si="29"/>
        <v>0.25</v>
      </c>
      <c r="AG44" s="147">
        <f t="shared" si="36"/>
        <v>105.45000000000002</v>
      </c>
      <c r="AH44" s="123">
        <f t="shared" si="37"/>
        <v>1</v>
      </c>
      <c r="AI44" s="112">
        <f t="shared" si="37"/>
        <v>421.80000000000007</v>
      </c>
      <c r="AJ44" s="148">
        <f t="shared" si="38"/>
        <v>210.90000000000003</v>
      </c>
      <c r="AK44" s="147">
        <f t="shared" si="39"/>
        <v>210.90000000000003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521.70000000000005</v>
      </c>
      <c r="J45" s="38">
        <f t="shared" si="32"/>
        <v>521.70000000000005</v>
      </c>
      <c r="K45" s="40">
        <f t="shared" si="33"/>
        <v>3.3758304902136826E-2</v>
      </c>
      <c r="L45" s="22">
        <f t="shared" si="34"/>
        <v>1.8735859220685939E-2</v>
      </c>
      <c r="M45" s="24">
        <f t="shared" si="35"/>
        <v>1.8735859220685942E-2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130.42500000000001</v>
      </c>
      <c r="AB45" s="156">
        <f>Poor!AB45</f>
        <v>0.25</v>
      </c>
      <c r="AC45" s="147">
        <f t="shared" si="41"/>
        <v>130.42500000000001</v>
      </c>
      <c r="AD45" s="156">
        <f>Poor!AD45</f>
        <v>0.25</v>
      </c>
      <c r="AE45" s="147">
        <f t="shared" si="42"/>
        <v>130.42500000000001</v>
      </c>
      <c r="AF45" s="122">
        <f t="shared" si="29"/>
        <v>0.25</v>
      </c>
      <c r="AG45" s="147">
        <f t="shared" si="36"/>
        <v>130.42500000000001</v>
      </c>
      <c r="AH45" s="123">
        <f t="shared" si="37"/>
        <v>1</v>
      </c>
      <c r="AI45" s="112">
        <f t="shared" si="37"/>
        <v>521.70000000000005</v>
      </c>
      <c r="AJ45" s="148">
        <f t="shared" si="38"/>
        <v>260.85000000000002</v>
      </c>
      <c r="AK45" s="147">
        <f t="shared" si="39"/>
        <v>260.85000000000002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2664.0000000000005</v>
      </c>
      <c r="J46" s="38">
        <f t="shared" si="32"/>
        <v>2664.0000000000005</v>
      </c>
      <c r="K46" s="40">
        <f t="shared" si="33"/>
        <v>0.17238283354282635</v>
      </c>
      <c r="L46" s="22">
        <f t="shared" si="34"/>
        <v>9.5672472616268628E-2</v>
      </c>
      <c r="M46" s="24">
        <f t="shared" si="35"/>
        <v>9.5672472616268642E-2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666.00000000000011</v>
      </c>
      <c r="AB46" s="156">
        <f>Poor!AB46</f>
        <v>0.25</v>
      </c>
      <c r="AC46" s="147">
        <f t="shared" si="41"/>
        <v>666.00000000000011</v>
      </c>
      <c r="AD46" s="156">
        <f>Poor!AD46</f>
        <v>0.25</v>
      </c>
      <c r="AE46" s="147">
        <f t="shared" si="42"/>
        <v>666.00000000000011</v>
      </c>
      <c r="AF46" s="122">
        <f t="shared" si="29"/>
        <v>0.25</v>
      </c>
      <c r="AG46" s="147">
        <f t="shared" si="36"/>
        <v>666.00000000000011</v>
      </c>
      <c r="AH46" s="123">
        <f t="shared" si="37"/>
        <v>1</v>
      </c>
      <c r="AI46" s="112">
        <f t="shared" si="37"/>
        <v>2664.0000000000005</v>
      </c>
      <c r="AJ46" s="148">
        <f t="shared" si="38"/>
        <v>1332.0000000000002</v>
      </c>
      <c r="AK46" s="147">
        <f t="shared" si="39"/>
        <v>1332.0000000000002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23859.599999999999</v>
      </c>
      <c r="J49" s="38">
        <f t="shared" si="32"/>
        <v>23859.600000000002</v>
      </c>
      <c r="K49" s="40">
        <f t="shared" si="33"/>
        <v>0.72616268629915603</v>
      </c>
      <c r="L49" s="22">
        <f t="shared" si="34"/>
        <v>0.85687196983300407</v>
      </c>
      <c r="M49" s="24">
        <f t="shared" si="35"/>
        <v>0.85687196983300418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5964.9000000000005</v>
      </c>
      <c r="AB49" s="156">
        <f>Poor!AB49</f>
        <v>0.25</v>
      </c>
      <c r="AC49" s="147">
        <f t="shared" si="41"/>
        <v>5964.9000000000005</v>
      </c>
      <c r="AD49" s="156">
        <f>Poor!AD49</f>
        <v>0.25</v>
      </c>
      <c r="AE49" s="147">
        <f t="shared" si="42"/>
        <v>5964.9000000000005</v>
      </c>
      <c r="AF49" s="122">
        <f t="shared" si="29"/>
        <v>0.25</v>
      </c>
      <c r="AG49" s="147">
        <f t="shared" si="36"/>
        <v>5964.9000000000005</v>
      </c>
      <c r="AH49" s="123">
        <f t="shared" si="37"/>
        <v>1</v>
      </c>
      <c r="AI49" s="112">
        <f t="shared" si="37"/>
        <v>23859.600000000002</v>
      </c>
      <c r="AJ49" s="148">
        <f t="shared" si="38"/>
        <v>11929.800000000001</v>
      </c>
      <c r="AK49" s="147">
        <f t="shared" si="39"/>
        <v>11929.800000000001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28130.85</v>
      </c>
      <c r="J65" s="39">
        <f>SUM(J37:J64)</f>
        <v>28130.850000000002</v>
      </c>
      <c r="K65" s="40">
        <f>SUM(K37:K64)</f>
        <v>1</v>
      </c>
      <c r="L65" s="22">
        <f>SUM(L37:L64)</f>
        <v>1.0102657568683784</v>
      </c>
      <c r="M65" s="24">
        <f>SUM(M37:M64)</f>
        <v>1.0102657568683786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7000.2045402768726</v>
      </c>
      <c r="AB65" s="137"/>
      <c r="AC65" s="153">
        <f>SUM(AC37:AC64)</f>
        <v>7362.5221975186496</v>
      </c>
      <c r="AD65" s="137"/>
      <c r="AE65" s="153">
        <f>SUM(AE37:AE64)</f>
        <v>6901.3482622044794</v>
      </c>
      <c r="AF65" s="137"/>
      <c r="AG65" s="153">
        <f>SUM(AG37:AG64)</f>
        <v>6866.7750000000005</v>
      </c>
      <c r="AH65" s="137"/>
      <c r="AI65" s="153">
        <f>SUM(AI37:AI64)</f>
        <v>28130.850000000002</v>
      </c>
      <c r="AJ65" s="153">
        <f>SUM(AJ37:AJ64)</f>
        <v>14362.726737795521</v>
      </c>
      <c r="AK65" s="153">
        <f>SUM(AK37:AK64)</f>
        <v>13768.123262204481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0.46934309447911304</v>
      </c>
      <c r="L70" s="22">
        <f t="shared" ref="L70:L74" si="45">(L124*G$37*F$9/F$7)/B$130</f>
        <v>0.65708033227075802</v>
      </c>
      <c r="M70" s="24">
        <f>J70/B$76</f>
        <v>0.65708033227075813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9834.4481479207407</v>
      </c>
      <c r="J71" s="51">
        <f t="shared" si="44"/>
        <v>9834.4481479207407</v>
      </c>
      <c r="K71" s="40">
        <f t="shared" ref="K71:K72" si="47">B71/B$76</f>
        <v>0.48954330520141259</v>
      </c>
      <c r="L71" s="22">
        <f t="shared" si="45"/>
        <v>0.35318542459762031</v>
      </c>
      <c r="M71" s="24">
        <f t="shared" ref="M71:M72" si="48">J71/B$76</f>
        <v>0.35318542459762042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9834.4481479207407</v>
      </c>
      <c r="J74" s="51">
        <f t="shared" si="44"/>
        <v>9834.4481479207407</v>
      </c>
      <c r="K74" s="40">
        <f>B74/B$76</f>
        <v>0.2550027973234395</v>
      </c>
      <c r="L74" s="22">
        <f t="shared" si="45"/>
        <v>0.16972034154131052</v>
      </c>
      <c r="M74" s="24">
        <f>J74/B$76</f>
        <v>0.35318542459762042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2426.1040772570577</v>
      </c>
      <c r="AB74" s="156"/>
      <c r="AC74" s="147">
        <f>AC30*$I$83/4</f>
        <v>2788.4217344988347</v>
      </c>
      <c r="AD74" s="156"/>
      <c r="AE74" s="147">
        <f>AE30*$I$83/4</f>
        <v>2327.2477991846645</v>
      </c>
      <c r="AF74" s="156"/>
      <c r="AG74" s="147">
        <f>AG30*$I$83/4</f>
        <v>2292.6745369801856</v>
      </c>
      <c r="AH74" s="155"/>
      <c r="AI74" s="147">
        <f>SUM(AA74,AC74,AE74,AG74)</f>
        <v>9834.4481479207425</v>
      </c>
      <c r="AJ74" s="148">
        <f>(AA74+AC74)</f>
        <v>5214.5258117558924</v>
      </c>
      <c r="AK74" s="147">
        <f>(AE74+AG74)</f>
        <v>4619.9223361648501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28130.850000000002</v>
      </c>
      <c r="J76" s="51">
        <f t="shared" si="44"/>
        <v>28130.850000000002</v>
      </c>
      <c r="K76" s="40">
        <f>SUM(K70:K75)</f>
        <v>2.2319893945259621</v>
      </c>
      <c r="L76" s="22">
        <f>SUM(L70:L75)</f>
        <v>1.1799860984096888</v>
      </c>
      <c r="M76" s="24">
        <f>SUM(M70:M75)</f>
        <v>1.3634511814659991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7000.2045402768726</v>
      </c>
      <c r="AB76" s="137"/>
      <c r="AC76" s="153">
        <f>AC65</f>
        <v>7362.5221975186496</v>
      </c>
      <c r="AD76" s="137"/>
      <c r="AE76" s="153">
        <f>AE65</f>
        <v>6901.3482622044794</v>
      </c>
      <c r="AF76" s="137"/>
      <c r="AG76" s="153">
        <f>AG65</f>
        <v>6866.7750000000005</v>
      </c>
      <c r="AH76" s="137"/>
      <c r="AI76" s="153">
        <f>SUM(AA76,AC76,AE76,AG76)</f>
        <v>28130.850000000002</v>
      </c>
      <c r="AJ76" s="154">
        <f>SUM(AA76,AC76)</f>
        <v>14362.726737795521</v>
      </c>
      <c r="AK76" s="154">
        <f>SUM(AE76,AG76)</f>
        <v>13768.123262204481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16084.973333333328</v>
      </c>
      <c r="K77" s="40"/>
      <c r="L77" s="22">
        <f>-(L131*G$37*F$9/F$7)/B$130</f>
        <v>-0.57766110013766658</v>
      </c>
      <c r="M77" s="24">
        <f>-J77/B$76</f>
        <v>-0.57766110013766669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461.17393531417059</v>
      </c>
      <c r="AF77" s="112"/>
      <c r="AG77" s="111">
        <f>AG31*$I$83/4</f>
        <v>461.33252642805479</v>
      </c>
      <c r="AH77" s="110"/>
      <c r="AI77" s="154">
        <f>SUM(AA77,AC77,AE77,AG77)</f>
        <v>922.50646174222538</v>
      </c>
      <c r="AJ77" s="153">
        <f>SUM(AA77,AC77)</f>
        <v>0</v>
      </c>
      <c r="AK77" s="160">
        <f>SUM(AE77,AG77)</f>
        <v>922.50646174222538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2426.1040772570577</v>
      </c>
      <c r="AB79" s="112"/>
      <c r="AC79" s="112">
        <f>AA79-AA74+AC65-AC70</f>
        <v>2788.4217344988347</v>
      </c>
      <c r="AD79" s="112"/>
      <c r="AE79" s="112">
        <f>AC79-AC74+AE65-AE70</f>
        <v>2327.2477991846645</v>
      </c>
      <c r="AF79" s="112"/>
      <c r="AG79" s="112">
        <f>AE79-AE74+AG65-AG70</f>
        <v>2292.6745369801856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0.1092271866949126</v>
      </c>
      <c r="C92" s="75">
        <f t="shared" si="51"/>
        <v>0</v>
      </c>
      <c r="D92" s="24">
        <f t="shared" si="52"/>
        <v>0.1092271866949126</v>
      </c>
      <c r="H92" s="24">
        <f t="shared" si="53"/>
        <v>0.3575757575757576</v>
      </c>
      <c r="I92" s="22">
        <f t="shared" si="54"/>
        <v>3.9056994030302085E-2</v>
      </c>
      <c r="J92" s="24">
        <f t="shared" si="55"/>
        <v>3.9056994030302085E-2</v>
      </c>
      <c r="K92" s="22">
        <f t="shared" si="56"/>
        <v>0.1092271866949126</v>
      </c>
      <c r="L92" s="22">
        <f t="shared" si="57"/>
        <v>3.9056994030302085E-2</v>
      </c>
      <c r="M92" s="226">
        <f t="shared" si="49"/>
        <v>3.9056994030302085E-2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7.3789032789452078E-2</v>
      </c>
      <c r="C98" s="75">
        <f t="shared" si="51"/>
        <v>0</v>
      </c>
      <c r="D98" s="24">
        <f t="shared" si="52"/>
        <v>7.3789032789452078E-2</v>
      </c>
      <c r="H98" s="24">
        <f t="shared" si="53"/>
        <v>0.33636363636363642</v>
      </c>
      <c r="I98" s="22">
        <f t="shared" si="54"/>
        <v>2.4819947392815702E-2</v>
      </c>
      <c r="J98" s="24">
        <f t="shared" si="55"/>
        <v>2.4819947392815702E-2</v>
      </c>
      <c r="K98" s="22">
        <f t="shared" si="56"/>
        <v>7.3789032789452078E-2</v>
      </c>
      <c r="L98" s="22">
        <f t="shared" si="57"/>
        <v>2.4819947392815702E-2</v>
      </c>
      <c r="M98" s="227">
        <f t="shared" si="49"/>
        <v>2.4819947392815702E-2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Construction cash income -- see Data2</v>
      </c>
      <c r="B99" s="75">
        <f t="shared" si="51"/>
        <v>9.1265382660638092E-2</v>
      </c>
      <c r="C99" s="75">
        <f t="shared" si="51"/>
        <v>0</v>
      </c>
      <c r="D99" s="24">
        <f t="shared" si="52"/>
        <v>9.1265382660638092E-2</v>
      </c>
      <c r="H99" s="24">
        <f t="shared" si="53"/>
        <v>0.33636363636363642</v>
      </c>
      <c r="I99" s="22">
        <f t="shared" si="54"/>
        <v>3.0698355985850998E-2</v>
      </c>
      <c r="J99" s="24">
        <f t="shared" si="55"/>
        <v>3.0698355985850998E-2</v>
      </c>
      <c r="K99" s="22">
        <f t="shared" si="56"/>
        <v>9.1265382660638092E-2</v>
      </c>
      <c r="L99" s="22">
        <f t="shared" si="57"/>
        <v>3.0698355985850998E-2</v>
      </c>
      <c r="M99" s="227">
        <f t="shared" si="49"/>
        <v>3.0698355985850998E-2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Domestic work cash income -- see Data2</v>
      </c>
      <c r="B100" s="75">
        <f t="shared" si="51"/>
        <v>0.46603599656496048</v>
      </c>
      <c r="C100" s="75">
        <f t="shared" si="51"/>
        <v>0</v>
      </c>
      <c r="D100" s="24">
        <f t="shared" si="52"/>
        <v>0.46603599656496048</v>
      </c>
      <c r="H100" s="24">
        <f t="shared" si="53"/>
        <v>0.33636363636363642</v>
      </c>
      <c r="I100" s="22">
        <f t="shared" si="54"/>
        <v>0.15675756248094128</v>
      </c>
      <c r="J100" s="24">
        <f>IF(I$32&lt;=1+I131,I100,L100+J$33*(I100-L100))</f>
        <v>0.15675756248094128</v>
      </c>
      <c r="K100" s="22">
        <f t="shared" si="56"/>
        <v>0.46603599656496048</v>
      </c>
      <c r="L100" s="22">
        <f t="shared" si="57"/>
        <v>0.15675756248094128</v>
      </c>
      <c r="M100" s="227">
        <f t="shared" si="49"/>
        <v>0.15675756248094128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Labour migration(formal employment): no. people per HH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0.28606060606060607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0.57212121212121214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1.9631766355298961</v>
      </c>
      <c r="C103" s="75">
        <f t="shared" si="51"/>
        <v>0</v>
      </c>
      <c r="D103" s="24">
        <f t="shared" si="52"/>
        <v>1.9631766355298961</v>
      </c>
      <c r="H103" s="24">
        <f t="shared" si="53"/>
        <v>0.7151515151515152</v>
      </c>
      <c r="I103" s="22">
        <f t="shared" si="54"/>
        <v>1.4039687454092591</v>
      </c>
      <c r="J103" s="24">
        <f>IF(I$32&lt;=1+I131,I103,L103+J$33*(I103-L103))</f>
        <v>1.4039687454092591</v>
      </c>
      <c r="K103" s="22">
        <f t="shared" si="56"/>
        <v>1.9631766355298961</v>
      </c>
      <c r="L103" s="22">
        <f t="shared" si="57"/>
        <v>1.4039687454092591</v>
      </c>
      <c r="M103" s="227">
        <f t="shared" si="49"/>
        <v>1.4039687454092591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0.7151515151515152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Gifts/social support: type (Child support, Pension and Foster Care)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1.6553016052991691</v>
      </c>
      <c r="J119" s="24">
        <f>SUM(J91:J118)</f>
        <v>1.6553016052991691</v>
      </c>
      <c r="K119" s="22">
        <f>SUM(K91:K118)</f>
        <v>2.7034942342398596</v>
      </c>
      <c r="L119" s="22">
        <f>SUM(L91:L118)</f>
        <v>1.6553016052991691</v>
      </c>
      <c r="M119" s="57">
        <f t="shared" si="49"/>
        <v>1.6553016052991691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66"/>
        <v>1.076613872561458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0.57868773273771112</v>
      </c>
      <c r="J125" s="236">
        <f>IF(SUMPRODUCT($B$124:$B125,$H$124:$H125)&lt;J$119,($B125*$H125),IF(SUMPRODUCT($B$124:$B124,$H$124:$H124)&lt;J$119,J$119-SUMPRODUCT($B$124:$B124,$H$124:$H124),0))</f>
        <v>0.57868773273771112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0.57868773273771112</v>
      </c>
      <c r="M125" s="239">
        <f t="shared" si="66"/>
        <v>0.57868773273771112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0.57868773273771112</v>
      </c>
      <c r="J128" s="227">
        <f>(J30)</f>
        <v>0.57868773273771112</v>
      </c>
      <c r="K128" s="29">
        <f>(B128)</f>
        <v>0.68939859227895406</v>
      </c>
      <c r="L128" s="29">
        <f>IF(L124=L119,0,(L119-L124)/(B119-B124)*K128)</f>
        <v>0.27808361502433498</v>
      </c>
      <c r="M128" s="239">
        <f t="shared" si="66"/>
        <v>0.57868773273771112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1.6553016052991691</v>
      </c>
      <c r="J130" s="227">
        <f>(J119)</f>
        <v>1.6553016052991691</v>
      </c>
      <c r="K130" s="29">
        <f>(B130)</f>
        <v>2.7034942342398596</v>
      </c>
      <c r="L130" s="29">
        <f>(L119)</f>
        <v>1.6553016052991691</v>
      </c>
      <c r="M130" s="239">
        <f t="shared" si="66"/>
        <v>1.6553016052991691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0.94648694155565805</v>
      </c>
      <c r="K131" s="29"/>
      <c r="L131" s="29">
        <f>IF(I131&lt;SUM(L126:L127),0,I131-(SUM(L126:L127)))</f>
        <v>0.94648694155565805</v>
      </c>
      <c r="M131" s="236">
        <f>IF(I131&lt;SUM(M126:M127),0,I131-(SUM(M126:M127)))</f>
        <v>0.94648694155565805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331" priority="3" operator="greaterThan">
      <formula>0</formula>
    </cfRule>
  </conditionalFormatting>
  <conditionalFormatting sqref="R32:T32">
    <cfRule type="cellIs" dxfId="330" priority="2" operator="greaterThan">
      <formula>0</formula>
    </cfRule>
  </conditionalFormatting>
  <conditionalFormatting sqref="R30:T30">
    <cfRule type="cellIs" dxfId="32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E48" sqref="E4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4.6933374844333742E-3</v>
      </c>
      <c r="J6" s="24">
        <f t="shared" ref="J6:J13" si="3">IF(I$32&lt;=1+I$131,I6,B6*H6+J$33*(I6-B6*H6))</f>
        <v>4.6933374844333742E-3</v>
      </c>
      <c r="K6" s="22">
        <f t="shared" ref="K6:K31" si="4">B6</f>
        <v>2.3466687422166871E-2</v>
      </c>
      <c r="L6" s="22">
        <f t="shared" ref="L6:L29" si="5">IF(K6="","",K6*H6)</f>
        <v>4.6933374844333742E-3</v>
      </c>
      <c r="M6" s="223">
        <f t="shared" ref="M6:M31" si="6">J6</f>
        <v>4.6933374844333742E-3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1.8773349937733497E-2</v>
      </c>
      <c r="Z6" s="116">
        <v>0.17</v>
      </c>
      <c r="AA6" s="121">
        <f>$M6*Z6*4</f>
        <v>3.1914694894146947E-3</v>
      </c>
      <c r="AB6" s="116">
        <v>0.17</v>
      </c>
      <c r="AC6" s="121">
        <f t="shared" ref="AC6:AC29" si="7">$M6*AB6*4</f>
        <v>3.1914694894146947E-3</v>
      </c>
      <c r="AD6" s="116">
        <v>0.33</v>
      </c>
      <c r="AE6" s="121">
        <f t="shared" ref="AE6:AE29" si="8">$M6*AD6*4</f>
        <v>6.1952054794520541E-3</v>
      </c>
      <c r="AF6" s="122">
        <f>1-SUM(Z6,AB6,AD6)</f>
        <v>0.32999999999999996</v>
      </c>
      <c r="AG6" s="121">
        <f>$M6*AF6*4</f>
        <v>6.1952054794520532E-3</v>
      </c>
      <c r="AH6" s="123">
        <f>SUM(Z6,AB6,AD6,AF6)</f>
        <v>1</v>
      </c>
      <c r="AI6" s="183">
        <f>SUM(AA6,AC6,AE6,AG6)/4</f>
        <v>4.6933374844333742E-3</v>
      </c>
      <c r="AJ6" s="120">
        <f>(AA6+AC6)/2</f>
        <v>3.1914694894146947E-3</v>
      </c>
      <c r="AK6" s="119">
        <f>(AE6+AG6)/2</f>
        <v>6.1952054794520532E-3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4.9988723536737237E-3</v>
      </c>
      <c r="J7" s="24">
        <f t="shared" si="3"/>
        <v>4.9988723536737237E-3</v>
      </c>
      <c r="K7" s="22">
        <f t="shared" si="4"/>
        <v>2.4994361768368618E-2</v>
      </c>
      <c r="L7" s="22">
        <f t="shared" si="5"/>
        <v>4.9988723536737237E-3</v>
      </c>
      <c r="M7" s="223">
        <f t="shared" si="6"/>
        <v>4.9988723536737237E-3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4042.401206537601</v>
      </c>
      <c r="S7" s="221">
        <f>IF($B$81=0,0,(SUMIF($N$6:$N$28,$U7,L$6:L$28)+SUMIF($N$91:$N$118,$U7,L$91:L$118))*$I$83*Poor!$B$81/$B$81)</f>
        <v>1266.8966064428832</v>
      </c>
      <c r="T7" s="221">
        <f>IF($B$81=0,0,(SUMIF($N$6:$N$28,$U7,M$6:M$28)+SUMIF($N$91:$N$118,$U7,M$91:M$118))*$I$83*Poor!$B$81/$B$81)</f>
        <v>1305.9185369471618</v>
      </c>
      <c r="U7" s="222">
        <v>1</v>
      </c>
      <c r="V7" s="56"/>
      <c r="W7" s="115"/>
      <c r="X7" s="124">
        <v>4</v>
      </c>
      <c r="Y7" s="183">
        <f t="shared" ref="Y7:Y29" si="9">M7*4</f>
        <v>1.9995489414694895E-2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1.9995489414694895E-2</v>
      </c>
      <c r="AH7" s="123">
        <f t="shared" ref="AH7:AH30" si="12">SUM(Z7,AB7,AD7,AF7)</f>
        <v>1</v>
      </c>
      <c r="AI7" s="183">
        <f t="shared" ref="AI7:AI30" si="13">SUM(AA7,AC7,AE7,AG7)/4</f>
        <v>4.9988723536737237E-3</v>
      </c>
      <c r="AJ7" s="120">
        <f t="shared" ref="AJ7:AJ31" si="14">(AA7+AC7)/2</f>
        <v>0</v>
      </c>
      <c r="AK7" s="119">
        <f t="shared" ref="AK7:AK31" si="15">(AE7+AG7)/2</f>
        <v>9.9977447073474474E-3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5.7844513356164376E-2</v>
      </c>
      <c r="J8" s="24">
        <f t="shared" si="3"/>
        <v>5.7844513356164376E-2</v>
      </c>
      <c r="K8" s="22">
        <f t="shared" si="4"/>
        <v>0.19281504452054793</v>
      </c>
      <c r="L8" s="22">
        <f t="shared" si="5"/>
        <v>5.7844513356164376E-2</v>
      </c>
      <c r="M8" s="223">
        <f t="shared" si="6"/>
        <v>5.7844513356164376E-2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2481.4068502938544</v>
      </c>
      <c r="S8" s="221">
        <f>IF($B$81=0,0,(SUMIF($N$6:$N$28,$U8,L$6:L$28)+SUMIF($N$91:$N$118,$U8,L$91:L$118))*$I$83*Poor!$B$81/$B$81)</f>
        <v>464.79999999999984</v>
      </c>
      <c r="T8" s="221">
        <f>IF($B$81=0,0,(SUMIF($N$6:$N$28,$U8,M$6:M$28)+SUMIF($N$91:$N$118,$U8,M$91:M$118))*$I$83*Poor!$B$81/$B$81)</f>
        <v>444.24851808903816</v>
      </c>
      <c r="U8" s="222">
        <v>2</v>
      </c>
      <c r="V8" s="184"/>
      <c r="W8" s="115"/>
      <c r="X8" s="124">
        <v>1</v>
      </c>
      <c r="Y8" s="183">
        <f t="shared" si="9"/>
        <v>0.2313780534246575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0.2313780534246575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5.7844513356164376E-2</v>
      </c>
      <c r="AJ8" s="120">
        <f t="shared" si="14"/>
        <v>0.11568902671232875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5.5235258405977586E-3</v>
      </c>
      <c r="J9" s="24">
        <f t="shared" si="3"/>
        <v>5.5235258405977586E-3</v>
      </c>
      <c r="K9" s="22">
        <f t="shared" si="4"/>
        <v>2.761762920298879E-2</v>
      </c>
      <c r="L9" s="22">
        <f t="shared" si="5"/>
        <v>5.5235258405977586E-3</v>
      </c>
      <c r="M9" s="223">
        <f t="shared" si="6"/>
        <v>5.5235258405977586E-3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852.70031370716697</v>
      </c>
      <c r="S9" s="221">
        <f>IF($B$81=0,0,(SUMIF($N$6:$N$28,$U9,L$6:L$28)+SUMIF($N$91:$N$118,$U9,L$91:L$118))*$I$83*Poor!$B$81/$B$81)</f>
        <v>188.24371013301172</v>
      </c>
      <c r="T9" s="221">
        <f>IF($B$81=0,0,(SUMIF($N$6:$N$28,$U9,M$6:M$28)+SUMIF($N$91:$N$118,$U9,M$91:M$118))*$I$83*Poor!$B$81/$B$81)</f>
        <v>188.24371013301172</v>
      </c>
      <c r="U9" s="222">
        <v>3</v>
      </c>
      <c r="V9" s="56"/>
      <c r="W9" s="115"/>
      <c r="X9" s="124">
        <v>1</v>
      </c>
      <c r="Y9" s="183">
        <f t="shared" si="9"/>
        <v>2.2094103362391034E-2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2.2094103362391034E-2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5.5235258405977586E-3</v>
      </c>
      <c r="AJ9" s="120">
        <f t="shared" si="14"/>
        <v>1.1047051681195517E-2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0.2</v>
      </c>
      <c r="H10" s="24">
        <f t="shared" si="1"/>
        <v>0.2</v>
      </c>
      <c r="I10" s="22">
        <f t="shared" si="2"/>
        <v>6.2410953922789544E-3</v>
      </c>
      <c r="J10" s="24">
        <f t="shared" si="3"/>
        <v>3.8705234230576252E-3</v>
      </c>
      <c r="K10" s="22">
        <f t="shared" si="4"/>
        <v>9.3068966376089659E-3</v>
      </c>
      <c r="L10" s="22">
        <f t="shared" si="5"/>
        <v>1.8613793275217934E-3</v>
      </c>
      <c r="M10" s="223">
        <f t="shared" si="6"/>
        <v>3.8705234230576252E-3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1.5482093692230501E-2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1.5482093692230501E-2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3.8705234230576252E-3</v>
      </c>
      <c r="AJ10" s="120">
        <f t="shared" si="14"/>
        <v>7.7410468461152505E-3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14574.528186966918</v>
      </c>
      <c r="S11" s="221">
        <f>IF($B$81=0,0,(SUMIF($N$6:$N$28,$U11,L$6:L$28)+SUMIF($N$91:$N$118,$U11,L$91:L$118))*$I$83*Poor!$B$81/$B$81)</f>
        <v>5752.5</v>
      </c>
      <c r="T11" s="221">
        <f>IF($B$81=0,0,(SUMIF($N$6:$N$28,$U11,M$6:M$28)+SUMIF($N$91:$N$118,$U11,M$91:M$118))*$I$83*Poor!$B$81/$B$81)</f>
        <v>5075.8608076190048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7414.3240828057342</v>
      </c>
      <c r="S13" s="221">
        <f>IF($B$81=0,0,(SUMIF($N$6:$N$28,$U13,L$6:L$28)+SUMIF($N$91:$N$118,$U13,L$91:L$118))*$I$83*Poor!$B$81/$B$81)</f>
        <v>2752.8000000000006</v>
      </c>
      <c r="T13" s="221">
        <f>IF($B$81=0,0,(SUMIF($N$6:$N$28,$U13,M$6:M$28)+SUMIF($N$91:$N$118,$U13,M$91:M$118))*$I$83*Poor!$B$81/$B$81)</f>
        <v>2752.8000000000006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22296.785890953695</v>
      </c>
      <c r="S15" s="221">
        <f>IF($B$81=0,0,(SUMIF($N$6:$N$28,$U15,L$6:L$28)+SUMIF($N$91:$N$118,$U15,L$91:L$118))*$I$83*Poor!$B$81/$B$81)</f>
        <v>17600.879999999997</v>
      </c>
      <c r="T15" s="221">
        <f>IF($B$81=0,0,(SUMIF($N$6:$N$28,$U15,M$6:M$28)+SUMIF($N$91:$N$118,$U15,M$91:M$118))*$I$83*Poor!$B$81/$B$81)</f>
        <v>17600.879999999997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2094.7120172507839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32916.011351488363</v>
      </c>
      <c r="S20" s="221">
        <f>IF($B$81=0,0,(SUMIF($N$6:$N$28,$U20,L$6:L$28)+SUMIF($N$91:$N$118,$U20,L$91:L$118))*$I$83*Poor!$B$81/$B$81)</f>
        <v>25983.599999999999</v>
      </c>
      <c r="T20" s="221">
        <f>IF($B$81=0,0,(SUMIF($N$6:$N$28,$U20,M$6:M$28)+SUMIF($N$91:$N$118,$U20,M$91:M$118))*$I$83*Poor!$B$81/$B$81)</f>
        <v>25983.599999999999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86672.869900004123</v>
      </c>
      <c r="S23" s="179">
        <f>SUM(S7:S22)</f>
        <v>56321.882957124122</v>
      </c>
      <c r="T23" s="179">
        <f>SUM(T7:T22)</f>
        <v>55663.71421333644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6.5772789235314993E-3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6.5772789235314993E-3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2.6309115694125997E-2</v>
      </c>
      <c r="Z27" s="116">
        <v>0.25</v>
      </c>
      <c r="AA27" s="121">
        <f t="shared" si="16"/>
        <v>6.5772789235314993E-3</v>
      </c>
      <c r="AB27" s="116">
        <v>0.25</v>
      </c>
      <c r="AC27" s="121">
        <f t="shared" si="7"/>
        <v>6.5772789235314993E-3</v>
      </c>
      <c r="AD27" s="116">
        <v>0.25</v>
      </c>
      <c r="AE27" s="121">
        <f t="shared" si="8"/>
        <v>6.5772789235314993E-3</v>
      </c>
      <c r="AF27" s="122">
        <f t="shared" si="10"/>
        <v>0.25</v>
      </c>
      <c r="AG27" s="121">
        <f t="shared" si="11"/>
        <v>6.5772789235314993E-3</v>
      </c>
      <c r="AH27" s="123">
        <f t="shared" si="12"/>
        <v>1</v>
      </c>
      <c r="AI27" s="183">
        <f t="shared" si="13"/>
        <v>6.5772789235314993E-3</v>
      </c>
      <c r="AJ27" s="120">
        <f t="shared" si="14"/>
        <v>6.5772789235314993E-3</v>
      </c>
      <c r="AK27" s="119">
        <f t="shared" si="15"/>
        <v>6.5772789235314993E-3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0.20929400724568742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0.20929400724568742</v>
      </c>
      <c r="N29" s="228"/>
      <c r="P29" s="22"/>
      <c r="V29" s="56"/>
      <c r="W29" s="110"/>
      <c r="X29" s="118"/>
      <c r="Y29" s="183">
        <f t="shared" si="9"/>
        <v>0.83717602898274968</v>
      </c>
      <c r="Z29" s="116">
        <v>0.25</v>
      </c>
      <c r="AA29" s="121">
        <f t="shared" si="16"/>
        <v>0.20929400724568742</v>
      </c>
      <c r="AB29" s="116">
        <v>0.25</v>
      </c>
      <c r="AC29" s="121">
        <f t="shared" si="7"/>
        <v>0.20929400724568742</v>
      </c>
      <c r="AD29" s="116">
        <v>0.25</v>
      </c>
      <c r="AE29" s="121">
        <f t="shared" si="8"/>
        <v>0.20929400724568742</v>
      </c>
      <c r="AF29" s="122">
        <f t="shared" si="10"/>
        <v>0.25</v>
      </c>
      <c r="AG29" s="121">
        <f t="shared" si="11"/>
        <v>0.20929400724568742</v>
      </c>
      <c r="AH29" s="123">
        <f t="shared" si="12"/>
        <v>1</v>
      </c>
      <c r="AI29" s="183">
        <f t="shared" si="13"/>
        <v>0.20929400724568742</v>
      </c>
      <c r="AJ29" s="120">
        <f t="shared" si="14"/>
        <v>0.20929400724568742</v>
      </c>
      <c r="AK29" s="119">
        <f t="shared" si="15"/>
        <v>0.20929400724568742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1.5510425652133939</v>
      </c>
      <c r="J30" s="230">
        <f>IF(I$32&lt;=1,I30,1-SUM(J6:J29))</f>
        <v>0.58815032232523512</v>
      </c>
      <c r="K30" s="22">
        <f t="shared" si="4"/>
        <v>0.58958408107098381</v>
      </c>
      <c r="L30" s="22">
        <f>IF(L124=L119,0,IF(K30="",0,(L119-L124)/(B119-B124)*K30))</f>
        <v>0.29468981685480711</v>
      </c>
      <c r="M30" s="175">
        <f t="shared" si="6"/>
        <v>0.58815032232523512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2.3526012893009405</v>
      </c>
      <c r="Z30" s="122">
        <f>IF($Y30=0,0,AA30/($Y$30))</f>
        <v>0.16702166091697856</v>
      </c>
      <c r="AA30" s="187">
        <f>IF(AA79*4/$I$83+SUM(AA6:AA29)&lt;1,AA79*4/$I$83,1-SUM(AA6:AA29))</f>
        <v>0.39293537481446827</v>
      </c>
      <c r="AB30" s="122">
        <f>IF($Y30=0,0,AC30/($Y$30))</f>
        <v>0.28134373142778624</v>
      </c>
      <c r="AC30" s="187">
        <f>IF(AC79*4/$I$83+SUM(AC6:AC29)&lt;1,AC79*4/$I$83,1-SUM(AC6:AC29))</f>
        <v>0.6618896252937474</v>
      </c>
      <c r="AD30" s="122">
        <f>IF($Y30=0,0,AE30/($Y$30))</f>
        <v>0.28006695919965829</v>
      </c>
      <c r="AE30" s="187">
        <f>IF(AE79*4/$I$83+SUM(AE6:AE29)&lt;1,AE79*4/$I$83,1-SUM(AE6:AE29))</f>
        <v>0.65888588930370995</v>
      </c>
      <c r="AF30" s="122">
        <f>IF($Y30=0,0,AG30/($Y$30))</f>
        <v>0.27156764845557702</v>
      </c>
      <c r="AG30" s="187">
        <f>IF(AG79*4/$I$83+SUM(AG6:AG29)&lt;1,AG79*4/$I$83,1-SUM(AG6:AG29))</f>
        <v>0.63889039988901508</v>
      </c>
      <c r="AH30" s="123">
        <f t="shared" si="12"/>
        <v>1</v>
      </c>
      <c r="AI30" s="183">
        <f t="shared" si="13"/>
        <v>0.58815032232523523</v>
      </c>
      <c r="AJ30" s="120">
        <f t="shared" si="14"/>
        <v>0.52741250005410789</v>
      </c>
      <c r="AK30" s="119">
        <f t="shared" si="15"/>
        <v>0.64888814459636257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0.30289871235411181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1.9740283026301582</v>
      </c>
      <c r="J32" s="17"/>
      <c r="L32" s="22">
        <f>SUM(L6:L30)</f>
        <v>0.69710128764588819</v>
      </c>
      <c r="M32" s="23"/>
      <c r="N32" s="56"/>
      <c r="O32" s="2"/>
      <c r="P32" s="22"/>
      <c r="Q32" s="233" t="s">
        <v>143</v>
      </c>
      <c r="R32" s="233">
        <f t="shared" si="50"/>
        <v>417.28373872459633</v>
      </c>
      <c r="S32" s="233">
        <f t="shared" si="50"/>
        <v>30768.270681604597</v>
      </c>
      <c r="T32" s="233">
        <f t="shared" si="50"/>
        <v>31426.43942539228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0.45873843551253851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3982.5</v>
      </c>
      <c r="J37" s="38">
        <f t="shared" ref="J37:J49" si="53">J91*I$83</f>
        <v>3982.5</v>
      </c>
      <c r="K37" s="40">
        <f t="shared" ref="K37:K49" si="54">(B37/B$65)</f>
        <v>0.12662739654072713</v>
      </c>
      <c r="L37" s="22">
        <f t="shared" ref="L37:L49" si="55">(K37*H37)</f>
        <v>7.4710163959029005E-2</v>
      </c>
      <c r="M37" s="24">
        <f t="shared" ref="M37:M49" si="56">J37/B$65</f>
        <v>7.4710163959029005E-2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0.24650278605480966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981.69734546327948</v>
      </c>
      <c r="AD37" s="122">
        <f>IF($J37=0,0,AE37/($J37))</f>
        <v>0.20225713523767447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805.4890410840386</v>
      </c>
      <c r="AF37" s="122">
        <f t="shared" ref="AF37:AF64" si="57">1-SUM(Z37,AB37,AD37)</f>
        <v>0.5512400787075159</v>
      </c>
      <c r="AG37" s="147">
        <f>$J37*AF37</f>
        <v>2195.3136134526821</v>
      </c>
      <c r="AH37" s="123">
        <f>SUM(Z37,AB37,AD37,AF37)</f>
        <v>1</v>
      </c>
      <c r="AI37" s="112">
        <f>SUM(AA37,AC37,AE37,AG37)</f>
        <v>3982.5</v>
      </c>
      <c r="AJ37" s="148">
        <f>(AA37+AC37)</f>
        <v>981.69734546327948</v>
      </c>
      <c r="AK37" s="147">
        <f>(AE37+AG37)</f>
        <v>3000.8026545367206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1093.3608076190058</v>
      </c>
      <c r="K38" s="40">
        <f t="shared" si="54"/>
        <v>5.6278842906989833E-2</v>
      </c>
      <c r="L38" s="22">
        <f t="shared" si="55"/>
        <v>3.3204517315123999E-2</v>
      </c>
      <c r="M38" s="24">
        <f t="shared" si="56"/>
        <v>2.051102704421652E-2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0.24650278605480966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269.51648524122169</v>
      </c>
      <c r="AD38" s="122">
        <f>IF($J38=0,0,AE38/($J38))</f>
        <v>0.2022571352376745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221.14002473017024</v>
      </c>
      <c r="AF38" s="122">
        <f t="shared" si="57"/>
        <v>0.55124007870751579</v>
      </c>
      <c r="AG38" s="147">
        <f t="shared" ref="AG38:AG64" si="60">$J38*AF38</f>
        <v>602.70429764761377</v>
      </c>
      <c r="AH38" s="123">
        <f t="shared" ref="AH38:AI58" si="61">SUM(Z38,AB38,AD38,AF38)</f>
        <v>1</v>
      </c>
      <c r="AI38" s="112">
        <f t="shared" si="61"/>
        <v>1093.3608076190058</v>
      </c>
      <c r="AJ38" s="148">
        <f t="shared" ref="AJ38:AJ64" si="62">(AA38+AC38)</f>
        <v>269.51648524122169</v>
      </c>
      <c r="AK38" s="147">
        <f t="shared" ref="AK38:AK64" si="63">(AE38+AG38)</f>
        <v>823.84432237778401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419.99999999999994</v>
      </c>
      <c r="J42" s="38">
        <f t="shared" si="53"/>
        <v>419.99999999999989</v>
      </c>
      <c r="K42" s="40">
        <f t="shared" si="54"/>
        <v>2.8139421453494916E-2</v>
      </c>
      <c r="L42" s="22">
        <f t="shared" si="55"/>
        <v>7.8790380069785754E-3</v>
      </c>
      <c r="M42" s="24">
        <f t="shared" si="56"/>
        <v>7.8790380069785736E-3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104.99999999999997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209.99999999999994</v>
      </c>
      <c r="AF42" s="122">
        <f t="shared" si="57"/>
        <v>0.25</v>
      </c>
      <c r="AG42" s="147">
        <f t="shared" si="60"/>
        <v>104.99999999999997</v>
      </c>
      <c r="AH42" s="123">
        <f t="shared" si="61"/>
        <v>1</v>
      </c>
      <c r="AI42" s="112">
        <f t="shared" si="61"/>
        <v>419.99999999999989</v>
      </c>
      <c r="AJ42" s="148">
        <f t="shared" si="62"/>
        <v>104.99999999999997</v>
      </c>
      <c r="AK42" s="147">
        <f t="shared" si="63"/>
        <v>314.99999999999989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24.248518089038271</v>
      </c>
      <c r="K43" s="40">
        <f t="shared" si="54"/>
        <v>3.0015382883727911E-3</v>
      </c>
      <c r="L43" s="22">
        <f t="shared" si="55"/>
        <v>8.4043072074438147E-4</v>
      </c>
      <c r="M43" s="24">
        <f t="shared" si="56"/>
        <v>4.5489284675342869E-4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6.0621295222595677</v>
      </c>
      <c r="AB43" s="116">
        <v>0.25</v>
      </c>
      <c r="AC43" s="147">
        <f t="shared" si="65"/>
        <v>6.0621295222595677</v>
      </c>
      <c r="AD43" s="116">
        <v>0.25</v>
      </c>
      <c r="AE43" s="147">
        <f t="shared" si="66"/>
        <v>6.0621295222595677</v>
      </c>
      <c r="AF43" s="122">
        <f t="shared" si="57"/>
        <v>0.25</v>
      </c>
      <c r="AG43" s="147">
        <f t="shared" si="60"/>
        <v>6.0621295222595677</v>
      </c>
      <c r="AH43" s="123">
        <f t="shared" si="61"/>
        <v>1</v>
      </c>
      <c r="AI43" s="112">
        <f t="shared" si="61"/>
        <v>24.248518089038271</v>
      </c>
      <c r="AJ43" s="148">
        <f t="shared" si="62"/>
        <v>12.124259044519135</v>
      </c>
      <c r="AK43" s="147">
        <f t="shared" si="63"/>
        <v>12.124259044519135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1531.8000000000002</v>
      </c>
      <c r="J44" s="38">
        <f t="shared" si="53"/>
        <v>1531.8000000000002</v>
      </c>
      <c r="K44" s="40">
        <f t="shared" si="54"/>
        <v>5.1776535474430646E-2</v>
      </c>
      <c r="L44" s="22">
        <f t="shared" si="55"/>
        <v>2.873597718830901E-2</v>
      </c>
      <c r="M44" s="24">
        <f t="shared" si="56"/>
        <v>2.873597718830901E-2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382.95000000000005</v>
      </c>
      <c r="AB44" s="116">
        <v>0.25</v>
      </c>
      <c r="AC44" s="147">
        <f t="shared" si="65"/>
        <v>382.95000000000005</v>
      </c>
      <c r="AD44" s="116">
        <v>0.25</v>
      </c>
      <c r="AE44" s="147">
        <f t="shared" si="66"/>
        <v>382.95000000000005</v>
      </c>
      <c r="AF44" s="122">
        <f t="shared" si="57"/>
        <v>0.25</v>
      </c>
      <c r="AG44" s="147">
        <f t="shared" si="60"/>
        <v>382.95000000000005</v>
      </c>
      <c r="AH44" s="123">
        <f t="shared" si="61"/>
        <v>1</v>
      </c>
      <c r="AI44" s="112">
        <f t="shared" si="61"/>
        <v>1531.8000000000002</v>
      </c>
      <c r="AJ44" s="148">
        <f t="shared" si="62"/>
        <v>765.90000000000009</v>
      </c>
      <c r="AK44" s="147">
        <f t="shared" si="63"/>
        <v>765.90000000000009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0.5</v>
      </c>
      <c r="F46" s="26">
        <v>1.1100000000000001</v>
      </c>
      <c r="G46" s="22">
        <f t="shared" si="59"/>
        <v>1.65</v>
      </c>
      <c r="H46" s="24">
        <f t="shared" si="51"/>
        <v>0.55500000000000005</v>
      </c>
      <c r="I46" s="39">
        <f t="shared" si="52"/>
        <v>1221</v>
      </c>
      <c r="J46" s="38">
        <f t="shared" si="53"/>
        <v>1221</v>
      </c>
      <c r="K46" s="40">
        <f t="shared" si="54"/>
        <v>4.1271151465125874E-2</v>
      </c>
      <c r="L46" s="22">
        <f t="shared" si="55"/>
        <v>2.2905489063144862E-2</v>
      </c>
      <c r="M46" s="24">
        <f t="shared" si="56"/>
        <v>2.2905489063144862E-2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305.25</v>
      </c>
      <c r="AB46" s="116">
        <v>0.25</v>
      </c>
      <c r="AC46" s="147">
        <f t="shared" si="65"/>
        <v>305.25</v>
      </c>
      <c r="AD46" s="116">
        <v>0.25</v>
      </c>
      <c r="AE46" s="147">
        <f t="shared" si="66"/>
        <v>305.25</v>
      </c>
      <c r="AF46" s="122">
        <f t="shared" si="57"/>
        <v>0.25</v>
      </c>
      <c r="AG46" s="147">
        <f t="shared" si="60"/>
        <v>305.25</v>
      </c>
      <c r="AH46" s="123">
        <f t="shared" si="61"/>
        <v>1</v>
      </c>
      <c r="AI46" s="112">
        <f t="shared" si="61"/>
        <v>1221</v>
      </c>
      <c r="AJ46" s="148">
        <f t="shared" si="62"/>
        <v>610.5</v>
      </c>
      <c r="AK46" s="147">
        <f t="shared" si="63"/>
        <v>610.5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0.4</v>
      </c>
      <c r="F47" s="26">
        <v>1.18</v>
      </c>
      <c r="G47" s="22">
        <f t="shared" si="59"/>
        <v>1.65</v>
      </c>
      <c r="H47" s="24">
        <f t="shared" si="51"/>
        <v>0.47199999999999998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7">SUM(B49,C49)</f>
        <v>22020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25983.599999999999</v>
      </c>
      <c r="J49" s="38">
        <f t="shared" si="53"/>
        <v>25983.599999999999</v>
      </c>
      <c r="K49" s="40">
        <f t="shared" si="54"/>
        <v>0.41308670693730537</v>
      </c>
      <c r="L49" s="22">
        <f t="shared" si="55"/>
        <v>0.4874423141860203</v>
      </c>
      <c r="M49" s="24">
        <f t="shared" si="56"/>
        <v>0.4874423141860203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6495.9</v>
      </c>
      <c r="AB49" s="116">
        <v>0.25</v>
      </c>
      <c r="AC49" s="147">
        <f t="shared" si="65"/>
        <v>6495.9</v>
      </c>
      <c r="AD49" s="116">
        <v>0.25</v>
      </c>
      <c r="AE49" s="147">
        <f t="shared" si="66"/>
        <v>6495.9</v>
      </c>
      <c r="AF49" s="122">
        <f t="shared" si="57"/>
        <v>0.25</v>
      </c>
      <c r="AG49" s="147">
        <f t="shared" si="60"/>
        <v>6495.9</v>
      </c>
      <c r="AH49" s="123">
        <f t="shared" si="61"/>
        <v>1</v>
      </c>
      <c r="AI49" s="112">
        <f t="shared" si="61"/>
        <v>25983.599999999999</v>
      </c>
      <c r="AJ49" s="148">
        <f t="shared" si="62"/>
        <v>12991.8</v>
      </c>
      <c r="AK49" s="147">
        <f t="shared" si="63"/>
        <v>12991.8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7"/>
        <v>14916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17600.879999999997</v>
      </c>
      <c r="J50" s="38">
        <f t="shared" ref="J50:J64" si="70">J104*I$83</f>
        <v>17600.879999999997</v>
      </c>
      <c r="K50" s="40">
        <f t="shared" ref="K50:K64" si="71">(B50/B$65)</f>
        <v>0.27981840693355342</v>
      </c>
      <c r="L50" s="22">
        <f t="shared" ref="L50:L64" si="72">(K50*H50)</f>
        <v>0.33018572018159303</v>
      </c>
      <c r="M50" s="24">
        <f t="shared" ref="M50:M64" si="73">J50/B$65</f>
        <v>0.33018572018159303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51034.78</v>
      </c>
      <c r="J65" s="39">
        <f>SUM(J37:J64)</f>
        <v>51857.389325708042</v>
      </c>
      <c r="K65" s="40">
        <f>SUM(K37:K64)</f>
        <v>1</v>
      </c>
      <c r="L65" s="22">
        <f>SUM(L37:L64)</f>
        <v>0.9859036506209431</v>
      </c>
      <c r="M65" s="24">
        <f>SUM(M37:M64)</f>
        <v>0.97282462247604462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7295.1621295222594</v>
      </c>
      <c r="AB65" s="137"/>
      <c r="AC65" s="153">
        <f>SUM(AC37:AC64)</f>
        <v>8441.3759602267601</v>
      </c>
      <c r="AD65" s="137"/>
      <c r="AE65" s="153">
        <f>SUM(AE37:AE64)</f>
        <v>8426.7911953364674</v>
      </c>
      <c r="AF65" s="137"/>
      <c r="AG65" s="153">
        <f>SUM(AG37:AG64)</f>
        <v>10093.180040622556</v>
      </c>
      <c r="AH65" s="137"/>
      <c r="AI65" s="153">
        <f>SUM(AI37:AI64)</f>
        <v>34256.509325708044</v>
      </c>
      <c r="AJ65" s="153">
        <f>SUM(AJ37:AJ64)</f>
        <v>15736.538089749019</v>
      </c>
      <c r="AK65" s="153">
        <f>SUM(AK37:AK64)</f>
        <v>18519.971235959023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5">J124*I$83</f>
        <v>20910.17354523344</v>
      </c>
      <c r="K70" s="40">
        <f>B70/B$76</f>
        <v>0.2801905647881161</v>
      </c>
      <c r="L70" s="22">
        <f t="shared" ref="L70:L75" si="76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18382.826666666671</v>
      </c>
      <c r="J71" s="51">
        <f t="shared" si="75"/>
        <v>18382.826666666671</v>
      </c>
      <c r="K71" s="40">
        <f t="shared" ref="K71:K72" si="78">B71/B$76</f>
        <v>0.29224977801123075</v>
      </c>
      <c r="L71" s="22">
        <f t="shared" si="76"/>
        <v>0.34485473805325234</v>
      </c>
      <c r="M71" s="24">
        <f t="shared" ref="M71:M72" si="79">J71/B$76</f>
        <v>0.3448547380532524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1141.2358144307589</v>
      </c>
      <c r="K72" s="40">
        <f t="shared" si="78"/>
        <v>0.52046673920384201</v>
      </c>
      <c r="L72" s="22">
        <f t="shared" si="76"/>
        <v>0.14141119561426002</v>
      </c>
      <c r="M72" s="24">
        <f t="shared" si="79"/>
        <v>2.1409143706726426E-2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8.7344764191648216E-2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30124.606454766563</v>
      </c>
      <c r="J74" s="51">
        <f t="shared" si="75"/>
        <v>11423.153299377171</v>
      </c>
      <c r="K74" s="40">
        <f>B74/B$76</f>
        <v>0.1301917232581698</v>
      </c>
      <c r="L74" s="22">
        <f t="shared" si="76"/>
        <v>0.10737092625006842</v>
      </c>
      <c r="M74" s="24">
        <f>J74/B$76</f>
        <v>0.21429395001270346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1907.9140369712388</v>
      </c>
      <c r="AB74" s="156"/>
      <c r="AC74" s="147">
        <f>AC30*$I$83/4</f>
        <v>3213.8325739184011</v>
      </c>
      <c r="AD74" s="156"/>
      <c r="AE74" s="147">
        <f>AE30*$I$83/4</f>
        <v>3199.2478090281079</v>
      </c>
      <c r="AF74" s="156"/>
      <c r="AG74" s="147">
        <f>AG30*$I$83/4</f>
        <v>3102.1588794594245</v>
      </c>
      <c r="AH74" s="155"/>
      <c r="AI74" s="147">
        <f>SUM(AA74,AC74,AE74,AG74)</f>
        <v>11423.153299377173</v>
      </c>
      <c r="AJ74" s="148">
        <f>(AA74+AC74)</f>
        <v>5121.7466108896397</v>
      </c>
      <c r="AK74" s="147">
        <f>(AE74+AG74)</f>
        <v>6301.4066884875319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1923.1824810974319</v>
      </c>
      <c r="AB75" s="158"/>
      <c r="AC75" s="149">
        <f>AA75+AC65-SUM(AC70,AC74)</f>
        <v>1923.1824810974322</v>
      </c>
      <c r="AD75" s="158"/>
      <c r="AE75" s="149">
        <f>AC75+AE65-SUM(AE70,AE74)</f>
        <v>1923.1824810974322</v>
      </c>
      <c r="AF75" s="158"/>
      <c r="AG75" s="149">
        <f>IF(SUM(AG6:AG29)+((AG65-AG70-$J$75)*4/I$83)&lt;1,0,AG65-AG70-$J$75-(1-SUM(AG6:AG29))*I$83/4)</f>
        <v>1763.4777748547713</v>
      </c>
      <c r="AH75" s="134"/>
      <c r="AI75" s="149">
        <f>AI76-SUM(AI70,AI74)</f>
        <v>1923.1824810974322</v>
      </c>
      <c r="AJ75" s="151">
        <f>AJ76-SUM(AJ70,AJ74)</f>
        <v>159.70470624265909</v>
      </c>
      <c r="AK75" s="149">
        <f>AJ75+AK76-SUM(AK70,AK74)</f>
        <v>1923.1824810974322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51034.78</v>
      </c>
      <c r="J76" s="51">
        <f t="shared" si="75"/>
        <v>51857.389325708042</v>
      </c>
      <c r="K76" s="40">
        <f>SUM(K70:K75)</f>
        <v>1.310443569453007</v>
      </c>
      <c r="L76" s="22">
        <f>SUM(L70:L75)</f>
        <v>0.98590365062094332</v>
      </c>
      <c r="M76" s="24">
        <f>SUM(M70:M75)</f>
        <v>0.97282462247604473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7295.1621295222594</v>
      </c>
      <c r="AB76" s="137"/>
      <c r="AC76" s="153">
        <f>AC65</f>
        <v>8441.3759602267601</v>
      </c>
      <c r="AD76" s="137"/>
      <c r="AE76" s="153">
        <f>AE65</f>
        <v>8426.7911953364674</v>
      </c>
      <c r="AF76" s="137"/>
      <c r="AG76" s="153">
        <f>AG65</f>
        <v>10093.180040622556</v>
      </c>
      <c r="AH76" s="137"/>
      <c r="AI76" s="153">
        <f>SUM(AA76,AC76,AE76,AG76)</f>
        <v>34256.509325708044</v>
      </c>
      <c r="AJ76" s="154">
        <f>SUM(AA76,AC76)</f>
        <v>15736.538089749019</v>
      </c>
      <c r="AK76" s="154">
        <f>SUM(AE76,AG76)</f>
        <v>18519.971235959023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18382.826666666668</v>
      </c>
      <c r="J77" s="100">
        <f t="shared" si="75"/>
        <v>0</v>
      </c>
      <c r="K77" s="40"/>
      <c r="L77" s="22">
        <f>-(L131*G$37*F$9/F$7)/B$130</f>
        <v>-0.20344354243899232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1763.4777748547713</v>
      </c>
      <c r="AB78" s="112"/>
      <c r="AC78" s="112">
        <f>IF(AA75&lt;0,0,AA75)</f>
        <v>1923.1824810974319</v>
      </c>
      <c r="AD78" s="112"/>
      <c r="AE78" s="112">
        <f>AC75</f>
        <v>1923.1824810974322</v>
      </c>
      <c r="AF78" s="112"/>
      <c r="AG78" s="112">
        <f>AE75</f>
        <v>1923.1824810974322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3831.0965180686708</v>
      </c>
      <c r="AB79" s="112"/>
      <c r="AC79" s="112">
        <f>AA79-AA74+AC65-AC70</f>
        <v>5137.0150550158323</v>
      </c>
      <c r="AD79" s="112"/>
      <c r="AE79" s="112">
        <f>AC79-AC74+AE65-AE70</f>
        <v>5122.4302901255396</v>
      </c>
      <c r="AF79" s="112"/>
      <c r="AG79" s="112">
        <f>AE79-AE74+AG65-AG70</f>
        <v>6788.8191354116279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0.57344273014829117</v>
      </c>
      <c r="C91" s="60">
        <f t="shared" si="81"/>
        <v>0</v>
      </c>
      <c r="D91" s="24">
        <f>SUM(B91,C91)</f>
        <v>0.57344273014829117</v>
      </c>
      <c r="H91" s="24">
        <f>(E37*F37/G37*F$7/F$9)</f>
        <v>0.3575757575757576</v>
      </c>
      <c r="I91" s="22">
        <f t="shared" ref="I91" si="82">(D91*H91)</f>
        <v>0.20504921865908596</v>
      </c>
      <c r="J91" s="24">
        <f>IF(I$32&lt;=1+I$131,I91,L91+J$33*(I91-L91))</f>
        <v>0.20504921865908596</v>
      </c>
      <c r="K91" s="22">
        <f t="shared" ref="K91" si="83">IF(B91="",0,B91)</f>
        <v>0.57344273014829117</v>
      </c>
      <c r="L91" s="22">
        <f t="shared" ref="L91" si="84">(K91*H91)</f>
        <v>0.20504921865908596</v>
      </c>
      <c r="M91" s="226">
        <f t="shared" si="80"/>
        <v>0.20504921865908596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0.25486343562146274</v>
      </c>
      <c r="C92" s="60">
        <f t="shared" si="81"/>
        <v>-0.21238619635121897</v>
      </c>
      <c r="D92" s="24">
        <f t="shared" ref="D92:D118" si="86">SUM(B92,C92)</f>
        <v>4.2477239270243772E-2</v>
      </c>
      <c r="H92" s="24">
        <f t="shared" ref="H92:H118" si="87">(E38*F38/G38*F$7/F$9)</f>
        <v>0.3575757575757576</v>
      </c>
      <c r="I92" s="22">
        <f t="shared" ref="I92:I118" si="88">(D92*H92)</f>
        <v>1.5188831011784138E-2</v>
      </c>
      <c r="J92" s="24">
        <f t="shared" ref="J92:J118" si="89">IF(I$32&lt;=1+I$131,I92,L92+J$33*(I92-L92))</f>
        <v>5.6294483192653941E-2</v>
      </c>
      <c r="K92" s="22">
        <f t="shared" ref="K92:K118" si="90">IF(B92="",0,B92)</f>
        <v>0.25486343562146274</v>
      </c>
      <c r="L92" s="22">
        <f t="shared" ref="L92:L118" si="91">(K92*H92)</f>
        <v>9.1132986070704872E-2</v>
      </c>
      <c r="M92" s="226">
        <f t="shared" ref="M92:M118" si="92">(J92)</f>
        <v>5.6294483192653941E-2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0.12743171781073137</v>
      </c>
      <c r="C96" s="60">
        <f t="shared" si="81"/>
        <v>0</v>
      </c>
      <c r="D96" s="24">
        <f t="shared" si="86"/>
        <v>0.12743171781073137</v>
      </c>
      <c r="H96" s="24">
        <f t="shared" si="87"/>
        <v>0.16969696969696968</v>
      </c>
      <c r="I96" s="22">
        <f t="shared" si="88"/>
        <v>2.1624776355760471E-2</v>
      </c>
      <c r="J96" s="24">
        <f t="shared" si="89"/>
        <v>2.1624776355760471E-2</v>
      </c>
      <c r="K96" s="22">
        <f t="shared" si="90"/>
        <v>0.12743171781073137</v>
      </c>
      <c r="L96" s="22">
        <f t="shared" si="91"/>
        <v>2.1624776355760471E-2</v>
      </c>
      <c r="M96" s="226">
        <f t="shared" si="92"/>
        <v>2.1624776355760471E-2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1.3592716566478013E-2</v>
      </c>
      <c r="C97" s="60">
        <f t="shared" si="81"/>
        <v>-1.3592716566478013E-2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1.248497096747774E-3</v>
      </c>
      <c r="K97" s="22">
        <f t="shared" si="90"/>
        <v>1.3592716566478013E-2</v>
      </c>
      <c r="L97" s="22">
        <f t="shared" si="91"/>
        <v>2.3066428112811172E-3</v>
      </c>
      <c r="M97" s="226">
        <f t="shared" si="92"/>
        <v>1.248497096747774E-3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0.23447436077174574</v>
      </c>
      <c r="C98" s="60">
        <f t="shared" si="81"/>
        <v>0</v>
      </c>
      <c r="D98" s="24">
        <f t="shared" si="86"/>
        <v>0.23447436077174574</v>
      </c>
      <c r="H98" s="24">
        <f t="shared" si="87"/>
        <v>0.33636363636363642</v>
      </c>
      <c r="I98" s="22">
        <f t="shared" si="88"/>
        <v>7.8868648623223583E-2</v>
      </c>
      <c r="J98" s="24">
        <f t="shared" si="89"/>
        <v>7.8868648623223583E-2</v>
      </c>
      <c r="K98" s="22">
        <f t="shared" si="90"/>
        <v>0.23447436077174574</v>
      </c>
      <c r="L98" s="22">
        <f t="shared" si="91"/>
        <v>7.8868648623223583E-2</v>
      </c>
      <c r="M98" s="226">
        <f t="shared" si="92"/>
        <v>7.8868648623223583E-2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Construction cash income -- see Data2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0.33636363636363642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Domestic work cash income -- see Data2</v>
      </c>
      <c r="B100" s="60">
        <f t="shared" si="81"/>
        <v>0.1868998527890727</v>
      </c>
      <c r="C100" s="60">
        <f t="shared" si="81"/>
        <v>0</v>
      </c>
      <c r="D100" s="24">
        <f t="shared" si="86"/>
        <v>0.1868998527890727</v>
      </c>
      <c r="H100" s="24">
        <f t="shared" si="87"/>
        <v>0.33636363636363642</v>
      </c>
      <c r="I100" s="22">
        <f t="shared" si="88"/>
        <v>6.2866314119960826E-2</v>
      </c>
      <c r="J100" s="24">
        <f t="shared" si="89"/>
        <v>6.2866314119960826E-2</v>
      </c>
      <c r="K100" s="22">
        <f t="shared" si="90"/>
        <v>0.1868998527890727</v>
      </c>
      <c r="L100" s="22">
        <f t="shared" si="91"/>
        <v>6.2866314119960826E-2</v>
      </c>
      <c r="M100" s="226">
        <f t="shared" si="92"/>
        <v>6.2866314119960826E-2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Labour migration(formal employment): no. people per HH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0.28606060606060607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Small business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0.57212121212121214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Social development -- see Data2</v>
      </c>
      <c r="B103" s="60">
        <f t="shared" si="81"/>
        <v>1.8706976174615366</v>
      </c>
      <c r="C103" s="60">
        <f t="shared" si="81"/>
        <v>0</v>
      </c>
      <c r="D103" s="24">
        <f t="shared" si="86"/>
        <v>1.8706976174615366</v>
      </c>
      <c r="H103" s="24">
        <f t="shared" si="87"/>
        <v>0.7151515151515152</v>
      </c>
      <c r="I103" s="22">
        <f t="shared" si="88"/>
        <v>1.3378322355179475</v>
      </c>
      <c r="J103" s="24">
        <f t="shared" si="89"/>
        <v>1.3378322355179475</v>
      </c>
      <c r="K103" s="22">
        <f t="shared" si="90"/>
        <v>1.8706976174615366</v>
      </c>
      <c r="L103" s="22">
        <f t="shared" si="91"/>
        <v>1.3378322355179475</v>
      </c>
      <c r="M103" s="226">
        <f t="shared" si="92"/>
        <v>1.3378322355179475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Public works -- see Data2</v>
      </c>
      <c r="B104" s="60">
        <f t="shared" si="81"/>
        <v>1.2671810019099128</v>
      </c>
      <c r="C104" s="60">
        <f t="shared" si="81"/>
        <v>0</v>
      </c>
      <c r="D104" s="24">
        <f t="shared" si="86"/>
        <v>1.2671810019099128</v>
      </c>
      <c r="H104" s="24">
        <f t="shared" si="87"/>
        <v>0.7151515151515152</v>
      </c>
      <c r="I104" s="22">
        <f t="shared" si="88"/>
        <v>0.90622641348708921</v>
      </c>
      <c r="J104" s="24">
        <f t="shared" si="89"/>
        <v>0.90622641348708921</v>
      </c>
      <c r="K104" s="22">
        <f t="shared" si="90"/>
        <v>1.2671810019099128</v>
      </c>
      <c r="L104" s="22">
        <f t="shared" si="91"/>
        <v>0.90622641348708921</v>
      </c>
      <c r="M104" s="226">
        <f t="shared" si="92"/>
        <v>0.90622641348708921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Gifts/social support: type (Child support, Pension and Foster Care)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0.67272727272727284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2.6276564377748519</v>
      </c>
      <c r="J119" s="24">
        <f>SUM(J91:J118)</f>
        <v>2.6700105870524693</v>
      </c>
      <c r="K119" s="22">
        <f>SUM(K91:K118)</f>
        <v>4.5285834330792314</v>
      </c>
      <c r="L119" s="22">
        <f>SUM(L91:L118)</f>
        <v>2.7059072356450535</v>
      </c>
      <c r="M119" s="57">
        <f t="shared" si="80"/>
        <v>2.6700105870524693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9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239">
        <f t="shared" si="93"/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5.8759450610117447E-2</v>
      </c>
      <c r="K126" s="29">
        <f t="shared" ref="K126:K127" si="94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0.38811660467312992</v>
      </c>
      <c r="M126" s="239">
        <f t="shared" si="93"/>
        <v>5.8759450610117447E-2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1.5510425652133939</v>
      </c>
      <c r="J128" s="227">
        <f>(J30)</f>
        <v>0.58815032232523512</v>
      </c>
      <c r="K128" s="29">
        <f>(B128)</f>
        <v>0.58958408107098381</v>
      </c>
      <c r="L128" s="29">
        <f>IF(L124=L119,0,(L119-L124)/(B119-B124)*K128)</f>
        <v>0.29468981685480711</v>
      </c>
      <c r="M128" s="239">
        <f t="shared" si="93"/>
        <v>0.58815032232523512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2.6276564377748519</v>
      </c>
      <c r="J130" s="227">
        <f>(J119)</f>
        <v>2.6700105870524693</v>
      </c>
      <c r="K130" s="29">
        <f>(B130)</f>
        <v>4.5285834330792314</v>
      </c>
      <c r="L130" s="29">
        <f>(L119)</f>
        <v>2.7059072356450535</v>
      </c>
      <c r="M130" s="239">
        <f t="shared" si="93"/>
        <v>2.6700105870524693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0.55837033688252857</v>
      </c>
      <c r="M131" s="236">
        <f>IF(I131&lt;SUM(M126:M127),0,I131-(SUM(M126:M127)))</f>
        <v>0.88772749094554104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28" priority="116" operator="equal">
      <formula>16</formula>
    </cfRule>
    <cfRule type="cellIs" dxfId="327" priority="117" operator="equal">
      <formula>15</formula>
    </cfRule>
    <cfRule type="cellIs" dxfId="326" priority="118" operator="equal">
      <formula>14</formula>
    </cfRule>
    <cfRule type="cellIs" dxfId="325" priority="119" operator="equal">
      <formula>13</formula>
    </cfRule>
    <cfRule type="cellIs" dxfId="324" priority="120" operator="equal">
      <formula>12</formula>
    </cfRule>
    <cfRule type="cellIs" dxfId="323" priority="121" operator="equal">
      <formula>11</formula>
    </cfRule>
    <cfRule type="cellIs" dxfId="322" priority="122" operator="equal">
      <formula>10</formula>
    </cfRule>
    <cfRule type="cellIs" dxfId="321" priority="123" operator="equal">
      <formula>9</formula>
    </cfRule>
    <cfRule type="cellIs" dxfId="320" priority="124" operator="equal">
      <formula>8</formula>
    </cfRule>
    <cfRule type="cellIs" dxfId="319" priority="125" operator="equal">
      <formula>7</formula>
    </cfRule>
    <cfRule type="cellIs" dxfId="318" priority="126" operator="equal">
      <formula>6</formula>
    </cfRule>
    <cfRule type="cellIs" dxfId="317" priority="127" operator="equal">
      <formula>5</formula>
    </cfRule>
    <cfRule type="cellIs" dxfId="316" priority="128" operator="equal">
      <formula>4</formula>
    </cfRule>
    <cfRule type="cellIs" dxfId="315" priority="129" operator="equal">
      <formula>3</formula>
    </cfRule>
    <cfRule type="cellIs" dxfId="314" priority="130" operator="equal">
      <formula>2</formula>
    </cfRule>
    <cfRule type="cellIs" dxfId="313" priority="131" operator="equal">
      <formula>1</formula>
    </cfRule>
  </conditionalFormatting>
  <conditionalFormatting sqref="N112:N118">
    <cfRule type="cellIs" dxfId="312" priority="52" operator="equal">
      <formula>16</formula>
    </cfRule>
    <cfRule type="cellIs" dxfId="311" priority="53" operator="equal">
      <formula>15</formula>
    </cfRule>
    <cfRule type="cellIs" dxfId="310" priority="54" operator="equal">
      <formula>14</formula>
    </cfRule>
    <cfRule type="cellIs" dxfId="309" priority="55" operator="equal">
      <formula>13</formula>
    </cfRule>
    <cfRule type="cellIs" dxfId="308" priority="56" operator="equal">
      <formula>12</formula>
    </cfRule>
    <cfRule type="cellIs" dxfId="307" priority="57" operator="equal">
      <formula>11</formula>
    </cfRule>
    <cfRule type="cellIs" dxfId="306" priority="58" operator="equal">
      <formula>10</formula>
    </cfRule>
    <cfRule type="cellIs" dxfId="305" priority="59" operator="equal">
      <formula>9</formula>
    </cfRule>
    <cfRule type="cellIs" dxfId="304" priority="60" operator="equal">
      <formula>8</formula>
    </cfRule>
    <cfRule type="cellIs" dxfId="303" priority="61" operator="equal">
      <formula>7</formula>
    </cfRule>
    <cfRule type="cellIs" dxfId="302" priority="62" operator="equal">
      <formula>6</formula>
    </cfRule>
    <cfRule type="cellIs" dxfId="301" priority="63" operator="equal">
      <formula>5</formula>
    </cfRule>
    <cfRule type="cellIs" dxfId="300" priority="64" operator="equal">
      <formula>4</formula>
    </cfRule>
    <cfRule type="cellIs" dxfId="299" priority="65" operator="equal">
      <formula>3</formula>
    </cfRule>
    <cfRule type="cellIs" dxfId="298" priority="66" operator="equal">
      <formula>2</formula>
    </cfRule>
    <cfRule type="cellIs" dxfId="297" priority="67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1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6:N26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1.6091442803771571E-2</v>
      </c>
      <c r="J6" s="24">
        <f t="shared" ref="J6:J13" si="3">IF(I$32&lt;=1+I$131,I6,B6*H6+J$33*(I6-B6*H6))</f>
        <v>1.6091442803771571E-2</v>
      </c>
      <c r="K6" s="22">
        <f t="shared" ref="K6:K31" si="4">B6</f>
        <v>8.0457214018857859E-2</v>
      </c>
      <c r="L6" s="22">
        <f t="shared" ref="L6:L29" si="5">IF(K6="","",K6*H6)</f>
        <v>1.6091442803771571E-2</v>
      </c>
      <c r="M6" s="223">
        <f t="shared" ref="M6:M31" si="6">J6</f>
        <v>1.6091442803771571E-2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6.4365771215086284E-2</v>
      </c>
      <c r="Z6" s="156">
        <f>Poor!Z6</f>
        <v>0.17</v>
      </c>
      <c r="AA6" s="121">
        <f>$M6*Z6*4</f>
        <v>1.0942181106564669E-2</v>
      </c>
      <c r="AB6" s="156">
        <f>Poor!AB6</f>
        <v>0.17</v>
      </c>
      <c r="AC6" s="121">
        <f t="shared" ref="AC6:AC29" si="7">$M6*AB6*4</f>
        <v>1.0942181106564669E-2</v>
      </c>
      <c r="AD6" s="156">
        <f>Poor!AD6</f>
        <v>0.33</v>
      </c>
      <c r="AE6" s="121">
        <f t="shared" ref="AE6:AE29" si="8">$M6*AD6*4</f>
        <v>2.1240704500978473E-2</v>
      </c>
      <c r="AF6" s="122">
        <f>1-SUM(Z6,AB6,AD6)</f>
        <v>0.32999999999999996</v>
      </c>
      <c r="AG6" s="121">
        <f>$M6*AF6*4</f>
        <v>2.124070450097847E-2</v>
      </c>
      <c r="AH6" s="123">
        <f>SUM(Z6,AB6,AD6,AF6)</f>
        <v>1</v>
      </c>
      <c r="AI6" s="183">
        <f>SUM(AA6,AC6,AE6,AG6)/4</f>
        <v>1.6091442803771571E-2</v>
      </c>
      <c r="AJ6" s="120">
        <f>(AA6+AC6)/2</f>
        <v>1.0942181106564669E-2</v>
      </c>
      <c r="AK6" s="119">
        <f>(AE6+AG6)/2</f>
        <v>2.1240704500978473E-2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1.2051667674790961E-2</v>
      </c>
      <c r="J7" s="24">
        <f t="shared" si="3"/>
        <v>1.2051667674790961E-2</v>
      </c>
      <c r="K7" s="22">
        <f t="shared" si="4"/>
        <v>6.0258338373954806E-2</v>
      </c>
      <c r="L7" s="22">
        <f t="shared" si="5"/>
        <v>1.2051667674790961E-2</v>
      </c>
      <c r="M7" s="223">
        <f t="shared" si="6"/>
        <v>1.2051667674790961E-2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3726.3812702696764</v>
      </c>
      <c r="S7" s="221">
        <f>IF($B$81=0,0,(SUMIF($N$6:$N$28,$U7,L$6:L$28)+SUMIF($N$91:$N$118,$U7,L$91:L$118))*$I$83*Poor!$B$81/$B$81)</f>
        <v>953.92721411942591</v>
      </c>
      <c r="T7" s="221">
        <f>IF($B$81=0,0,(SUMIF($N$6:$N$28,$U7,M$6:M$28)+SUMIF($N$91:$N$118,$U7,M$91:M$118))*$I$83*Poor!$B$81/$B$81)</f>
        <v>5379.2251456426266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4.8206670699163845E-2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4.8206670699163845E-2</v>
      </c>
      <c r="AH7" s="123">
        <f t="shared" ref="AH7:AH30" si="12">SUM(Z7,AB7,AD7,AF7)</f>
        <v>1</v>
      </c>
      <c r="AI7" s="183">
        <f t="shared" ref="AI7:AI30" si="13">SUM(AA7,AC7,AE7,AG7)/4</f>
        <v>1.2051667674790961E-2</v>
      </c>
      <c r="AJ7" s="120">
        <f t="shared" ref="AJ7:AJ31" si="14">(AA7+AC7)/2</f>
        <v>0</v>
      </c>
      <c r="AK7" s="119">
        <f t="shared" ref="AK7:AK31" si="15">(AE7+AG7)/2</f>
        <v>2.4103335349581922E-2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0.22306385518590999</v>
      </c>
      <c r="J8" s="24">
        <f t="shared" si="3"/>
        <v>0.19440222322635958</v>
      </c>
      <c r="K8" s="22">
        <f t="shared" si="4"/>
        <v>6.759510763209392E-2</v>
      </c>
      <c r="L8" s="22">
        <f t="shared" si="5"/>
        <v>2.0278532289628174E-2</v>
      </c>
      <c r="M8" s="223">
        <f t="shared" si="6"/>
        <v>0.19440222322635958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37840.38673597858</v>
      </c>
      <c r="S8" s="221">
        <f>IF($B$81=0,0,(SUMIF($N$6:$N$28,$U8,L$6:L$28)+SUMIF($N$91:$N$118,$U8,L$91:L$118))*$I$83*Poor!$B$81/$B$81)</f>
        <v>7471.9999999999982</v>
      </c>
      <c r="T8" s="221">
        <f>IF($B$81=0,0,(SUMIF($N$6:$N$28,$U8,M$6:M$28)+SUMIF($N$91:$N$118,$U8,M$91:M$118))*$I$83*Poor!$B$81/$B$81)</f>
        <v>5795.8952412628869</v>
      </c>
      <c r="U8" s="222">
        <v>2</v>
      </c>
      <c r="V8" s="56"/>
      <c r="W8" s="115"/>
      <c r="X8" s="118">
        <f>Poor!X8</f>
        <v>1</v>
      </c>
      <c r="Y8" s="183">
        <f t="shared" si="9"/>
        <v>0.77760889290543833</v>
      </c>
      <c r="Z8" s="125">
        <f>IF($Y8=0,0,AA8/$Y8)</f>
        <v>0.57386044186109142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0.44623898287782893</v>
      </c>
      <c r="AB8" s="125">
        <f>IF($Y8=0,0,AC8/$Y8)</f>
        <v>0.42613955813890864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0.3313699100276094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0.19440222322635958</v>
      </c>
      <c r="AJ8" s="120">
        <f t="shared" si="14"/>
        <v>0.38880444645271917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6.3126009606831526E-3</v>
      </c>
      <c r="J9" s="24">
        <f t="shared" si="3"/>
        <v>6.3126009606831526E-3</v>
      </c>
      <c r="K9" s="22">
        <f t="shared" si="4"/>
        <v>3.1563004803415763E-2</v>
      </c>
      <c r="L9" s="22">
        <f t="shared" si="5"/>
        <v>6.3126009606831526E-3</v>
      </c>
      <c r="M9" s="223">
        <f t="shared" si="6"/>
        <v>6.3126009606831526E-3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2475.9718923349787</v>
      </c>
      <c r="S9" s="221">
        <f>IF($B$81=0,0,(SUMIF($N$6:$N$28,$U9,L$6:L$28)+SUMIF($N$91:$N$118,$U9,L$91:L$118))*$I$83*Poor!$B$81/$B$81)</f>
        <v>546.60016855377023</v>
      </c>
      <c r="T9" s="221">
        <f>IF($B$81=0,0,(SUMIF($N$6:$N$28,$U9,M$6:M$28)+SUMIF($N$91:$N$118,$U9,M$91:M$118))*$I$83*Poor!$B$81/$B$81)</f>
        <v>546.60016855377023</v>
      </c>
      <c r="U9" s="222">
        <v>3</v>
      </c>
      <c r="V9" s="56"/>
      <c r="W9" s="115"/>
      <c r="X9" s="118">
        <f>Poor!X9</f>
        <v>1</v>
      </c>
      <c r="Y9" s="183">
        <f t="shared" si="9"/>
        <v>2.5250403842732611E-2</v>
      </c>
      <c r="Z9" s="125">
        <f>IF($Y9=0,0,AA9/$Y9)</f>
        <v>0.57386044186109131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1.4490207906361534E-2</v>
      </c>
      <c r="AB9" s="125">
        <f>IF($Y9=0,0,AC9/$Y9)</f>
        <v>0.42613955813890869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1.0760195936371076E-2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6.3126009606831526E-3</v>
      </c>
      <c r="AJ9" s="120">
        <f t="shared" si="14"/>
        <v>1.2625201921366305E-2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0.2</v>
      </c>
      <c r="H10" s="24">
        <f t="shared" si="1"/>
        <v>0.2</v>
      </c>
      <c r="I10" s="22">
        <f t="shared" si="2"/>
        <v>8.5091626400996268E-2</v>
      </c>
      <c r="J10" s="24">
        <f t="shared" si="3"/>
        <v>7.6248368055349861E-2</v>
      </c>
      <c r="K10" s="22">
        <f t="shared" si="4"/>
        <v>0.11262127023661268</v>
      </c>
      <c r="L10" s="22">
        <f t="shared" si="5"/>
        <v>2.2524254047322539E-2</v>
      </c>
      <c r="M10" s="223">
        <f t="shared" si="6"/>
        <v>7.6248368055349861E-2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0.30499347222139944</v>
      </c>
      <c r="Z10" s="125">
        <f>IF($Y10=0,0,AA10/$Y10)</f>
        <v>0.57386044186109131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0.17502368873372076</v>
      </c>
      <c r="AB10" s="125">
        <f>IF($Y10=0,0,AC10/$Y10)</f>
        <v>0.42613955813890869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0.12996978348767868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7.6248368055349861E-2</v>
      </c>
      <c r="AJ10" s="120">
        <f t="shared" si="14"/>
        <v>0.15249673611069972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42538.403147894649</v>
      </c>
      <c r="S11" s="221">
        <f>IF($B$81=0,0,(SUMIF($N$6:$N$28,$U11,L$6:L$28)+SUMIF($N$91:$N$118,$U11,L$91:L$118))*$I$83*Poor!$B$81/$B$81)</f>
        <v>17666.285714285714</v>
      </c>
      <c r="T11" s="221">
        <f>IF($B$81=0,0,(SUMIF($N$6:$N$28,$U11,M$6:M$28)+SUMIF($N$91:$N$118,$U11,M$91:M$118))*$I$83*Poor!$B$81/$B$81)</f>
        <v>19982.215006217557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32800.696403195871</v>
      </c>
      <c r="S13" s="221">
        <f>IF($B$81=0,0,(SUMIF($N$6:$N$28,$U13,L$6:L$28)+SUMIF($N$91:$N$118,$U13,L$91:L$118))*$I$83*Poor!$B$81/$B$81)</f>
        <v>10357.028571428571</v>
      </c>
      <c r="T13" s="221">
        <f>IF($B$81=0,0,(SUMIF($N$6:$N$28,$U13,M$6:M$28)+SUMIF($N$91:$N$118,$U13,M$91:M$118))*$I$83*Poor!$B$81/$B$81)</f>
        <v>10357.028571428571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13017.776385018364</v>
      </c>
      <c r="S17" s="221">
        <f>IF($B$81=0,0,(SUMIF($N$6:$N$28,$U17,L$6:L$28)+SUMIF($N$91:$N$118,$U17,L$91:L$118))*$I$83*Poor!$B$81/$B$81)</f>
        <v>10276.114285714286</v>
      </c>
      <c r="T17" s="221">
        <f>IF($B$81=0,0,(SUMIF($N$6:$N$28,$U17,M$6:M$28)+SUMIF($N$91:$N$118,$U17,M$91:M$118))*$I$83*Poor!$B$81/$B$81)</f>
        <v>10276.114285714286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20500.435251997424</v>
      </c>
      <c r="S21" s="221">
        <f>IF($B$81=0,0,(SUMIF($N$6:$N$28,$U21,L$6:L$28)+SUMIF($N$91:$N$118,$U21,L$91:L$118))*$I$83*Poor!$B$81/$B$81)</f>
        <v>15222.857142857143</v>
      </c>
      <c r="T21" s="221">
        <f>IF($B$81=0,0,(SUMIF($N$6:$N$28,$U21,M$6:M$28)+SUMIF($N$91:$N$118,$U21,M$91:M$118))*$I$83*Poor!$B$81/$B$81)</f>
        <v>15222.857142857143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154994.76310394032</v>
      </c>
      <c r="S23" s="179">
        <f>SUM(S7:S22)</f>
        <v>64806.975737507135</v>
      </c>
      <c r="T23" s="179">
        <f>SUM(T7:T22)</f>
        <v>69872.098202225068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2.1413318422672349E-3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2.1413318422672349E-3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8.5653273690689397E-3</v>
      </c>
      <c r="Z27" s="156">
        <f>Poor!Z27</f>
        <v>0.25</v>
      </c>
      <c r="AA27" s="121">
        <f t="shared" si="16"/>
        <v>2.1413318422672349E-3</v>
      </c>
      <c r="AB27" s="156">
        <f>Poor!AB27</f>
        <v>0.25</v>
      </c>
      <c r="AC27" s="121">
        <f t="shared" si="7"/>
        <v>2.1413318422672349E-3</v>
      </c>
      <c r="AD27" s="156">
        <f>Poor!AD27</f>
        <v>0.25</v>
      </c>
      <c r="AE27" s="121">
        <f t="shared" si="8"/>
        <v>2.1413318422672349E-3</v>
      </c>
      <c r="AF27" s="122">
        <f t="shared" si="10"/>
        <v>0.25</v>
      </c>
      <c r="AG27" s="121">
        <f t="shared" si="11"/>
        <v>2.1413318422672349E-3</v>
      </c>
      <c r="AH27" s="123">
        <f t="shared" si="12"/>
        <v>1</v>
      </c>
      <c r="AI27" s="183">
        <f t="shared" si="13"/>
        <v>2.1413318422672349E-3</v>
      </c>
      <c r="AJ27" s="120">
        <f t="shared" si="14"/>
        <v>2.1413318422672349E-3</v>
      </c>
      <c r="AK27" s="119">
        <f t="shared" si="15"/>
        <v>2.1413318422672349E-3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0.23211598848563789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0.23211598848563789</v>
      </c>
      <c r="N29" s="228"/>
      <c r="P29" s="22"/>
      <c r="V29" s="56"/>
      <c r="W29" s="110"/>
      <c r="X29" s="118"/>
      <c r="Y29" s="183">
        <f t="shared" si="9"/>
        <v>0.92846395394255155</v>
      </c>
      <c r="Z29" s="156">
        <f>Poor!Z29</f>
        <v>0.25</v>
      </c>
      <c r="AA29" s="121">
        <f t="shared" si="16"/>
        <v>0.23211598848563789</v>
      </c>
      <c r="AB29" s="156">
        <f>Poor!AB29</f>
        <v>0.25</v>
      </c>
      <c r="AC29" s="121">
        <f t="shared" si="7"/>
        <v>0.23211598848563789</v>
      </c>
      <c r="AD29" s="156">
        <f>Poor!AD29</f>
        <v>0.25</v>
      </c>
      <c r="AE29" s="121">
        <f t="shared" si="8"/>
        <v>0.23211598848563789</v>
      </c>
      <c r="AF29" s="122">
        <f t="shared" si="10"/>
        <v>0.25</v>
      </c>
      <c r="AG29" s="121">
        <f t="shared" si="11"/>
        <v>0.23211598848563789</v>
      </c>
      <c r="AH29" s="123">
        <f t="shared" si="12"/>
        <v>1</v>
      </c>
      <c r="AI29" s="183">
        <f t="shared" si="13"/>
        <v>0.23211598848563789</v>
      </c>
      <c r="AJ29" s="120">
        <f t="shared" si="14"/>
        <v>0.23211598848563789</v>
      </c>
      <c r="AK29" s="119">
        <f t="shared" si="15"/>
        <v>0.23211598848563789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2.1021988302709023</v>
      </c>
      <c r="J30" s="230">
        <f>IF(I$32&lt;=1,I30,1-SUM(J6:J29))</f>
        <v>0.34158875790352072</v>
      </c>
      <c r="K30" s="22">
        <f t="shared" si="4"/>
        <v>0.54316672549368428</v>
      </c>
      <c r="L30" s="22">
        <f>IF(L124=L119,0,IF(K30="",0,(L119-L124)/(B119-B124)*K30))</f>
        <v>0.15859567713401013</v>
      </c>
      <c r="M30" s="175">
        <f t="shared" si="6"/>
        <v>0.34158875790352072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1.3663550316140829</v>
      </c>
      <c r="Z30" s="122">
        <f>IF($Y30=0,0,AA30/($Y$30))</f>
        <v>-1.6250871829609963E-16</v>
      </c>
      <c r="AA30" s="187">
        <f>IF(AA79*4/$I$84+SUM(AA6:AA29)&lt;1,AA79*4/$I$84,1-SUM(AA6:AA29))</f>
        <v>-2.2204460492503131E-16</v>
      </c>
      <c r="AB30" s="122">
        <f>IF($Y30=0,0,AC30/($Y$30))</f>
        <v>0.11977340169994311</v>
      </c>
      <c r="AC30" s="187">
        <f>IF(AC79*4/$I$84+SUM(AC6:AC29)&lt;1,AC79*4/$I$84,1-SUM(AC6:AC29))</f>
        <v>0.163652990066252</v>
      </c>
      <c r="AD30" s="122">
        <f>IF($Y30=0,0,AE30/($Y$30))</f>
        <v>0.45775390850256875</v>
      </c>
      <c r="AE30" s="187">
        <f>IF(AE79*4/$I$84+SUM(AE6:AE29)&lt;1,AE79*4/$I$84,1-SUM(AE6:AE29))</f>
        <v>0.62545435612349731</v>
      </c>
      <c r="AF30" s="122">
        <f>IF($Y30=0,0,AG30/($Y$30))</f>
        <v>0.42247268979748814</v>
      </c>
      <c r="AG30" s="187">
        <f>IF(AG79*4/$I$84+SUM(AG6:AG29)&lt;1,AG79*4/$I$84,1-SUM(AG6:AG29))</f>
        <v>0.57724768542433358</v>
      </c>
      <c r="AH30" s="123">
        <f t="shared" si="12"/>
        <v>0.99999999999999978</v>
      </c>
      <c r="AI30" s="183">
        <f t="shared" si="13"/>
        <v>0.34158875790352067</v>
      </c>
      <c r="AJ30" s="120">
        <f t="shared" si="14"/>
        <v>8.182649503312589E-2</v>
      </c>
      <c r="AK30" s="119">
        <f t="shared" si="15"/>
        <v>0.60135102077391545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0.35239463087761291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2.7884944162866705</v>
      </c>
      <c r="J32" s="17"/>
      <c r="L32" s="22">
        <f>SUM(L6:L30)</f>
        <v>0.64760536912238709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22283.177901221599</v>
      </c>
      <c r="T32" s="233">
        <f t="shared" si="24"/>
        <v>17218.055436503666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0.85866022476286463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9440</v>
      </c>
      <c r="J37" s="38">
        <f>J91*I$83</f>
        <v>9440</v>
      </c>
      <c r="K37" s="40">
        <f>(B37/B$65)</f>
        <v>0.186328170490276</v>
      </c>
      <c r="L37" s="22">
        <f t="shared" ref="L37" si="28">(K37*H37)</f>
        <v>0.10993362058926283</v>
      </c>
      <c r="M37" s="24">
        <f>J37/B$65</f>
        <v>0.10993362058926284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9440</v>
      </c>
      <c r="AH37" s="123">
        <f>SUM(Z37,AB37,AD37,AF37)</f>
        <v>1</v>
      </c>
      <c r="AI37" s="112">
        <f>SUM(AA37,AC37,AE37,AG37)</f>
        <v>9440</v>
      </c>
      <c r="AJ37" s="148">
        <f>(AA37+AC37)</f>
        <v>0</v>
      </c>
      <c r="AK37" s="147">
        <f>(AE37+AG37)</f>
        <v>9440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5900</v>
      </c>
      <c r="J38" s="38">
        <f t="shared" ref="J38:J64" si="32">J92*I$83</f>
        <v>5566.4381304403605</v>
      </c>
      <c r="K38" s="40">
        <f t="shared" ref="K38:K64" si="33">(B38/B$65)</f>
        <v>6.9873063933853494E-2</v>
      </c>
      <c r="L38" s="22">
        <f t="shared" ref="L38:L64" si="34">(K38*H38)</f>
        <v>4.1225107720973563E-2</v>
      </c>
      <c r="M38" s="24">
        <f t="shared" ref="M38:M64" si="35">J38/B$65</f>
        <v>6.4824014562016544E-2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5566.4381304403605</v>
      </c>
      <c r="AH38" s="123">
        <f t="shared" ref="AH38:AI58" si="37">SUM(Z38,AB38,AD38,AF38)</f>
        <v>1</v>
      </c>
      <c r="AI38" s="112">
        <f t="shared" si="37"/>
        <v>5566.4381304403605</v>
      </c>
      <c r="AJ38" s="148">
        <f t="shared" ref="AJ38:AJ64" si="38">(AA38+AC38)</f>
        <v>0</v>
      </c>
      <c r="AK38" s="147">
        <f t="shared" ref="AK38:AK64" si="39">(AE38+AG38)</f>
        <v>5566.4381304403605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944</v>
      </c>
      <c r="J39" s="38">
        <f t="shared" si="32"/>
        <v>944.00000000000011</v>
      </c>
      <c r="K39" s="40">
        <f t="shared" si="33"/>
        <v>1.8632817049027601E-2</v>
      </c>
      <c r="L39" s="22">
        <f t="shared" si="34"/>
        <v>1.0993362058926284E-2</v>
      </c>
      <c r="M39" s="24">
        <f t="shared" si="35"/>
        <v>1.0993362058926285E-2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0.57386044186109142</v>
      </c>
      <c r="AA39" s="147">
        <f t="shared" ref="AA39:AA64" si="40">$J39*Z39</f>
        <v>541.72425711687038</v>
      </c>
      <c r="AB39" s="122">
        <f>AB8</f>
        <v>0.42613955813890864</v>
      </c>
      <c r="AC39" s="147">
        <f t="shared" ref="AC39:AC64" si="41">$J39*AB39</f>
        <v>402.27574288312979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944.00000000000023</v>
      </c>
      <c r="AJ39" s="148">
        <f t="shared" si="38"/>
        <v>944.00000000000023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0.57386044186109131</v>
      </c>
      <c r="AA40" s="147">
        <f t="shared" si="40"/>
        <v>880.30191781491419</v>
      </c>
      <c r="AB40" s="122">
        <f>AB9</f>
        <v>0.42613955813890869</v>
      </c>
      <c r="AC40" s="147">
        <f t="shared" si="41"/>
        <v>653.69808218508604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1534.0000000000002</v>
      </c>
      <c r="AJ40" s="148">
        <f t="shared" si="38"/>
        <v>1534.0000000000002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142.47049343903242</v>
      </c>
      <c r="K41" s="40">
        <f t="shared" si="33"/>
        <v>2.79492255735414E-2</v>
      </c>
      <c r="L41" s="22">
        <f t="shared" si="34"/>
        <v>1.1738674740887387E-2</v>
      </c>
      <c r="M41" s="24">
        <f t="shared" si="35"/>
        <v>1.6591416494588613E-3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142.47049343903242</v>
      </c>
      <c r="AH41" s="123">
        <f t="shared" si="37"/>
        <v>1</v>
      </c>
      <c r="AI41" s="112">
        <f t="shared" si="37"/>
        <v>142.47049343903242</v>
      </c>
      <c r="AJ41" s="148">
        <f t="shared" si="38"/>
        <v>0</v>
      </c>
      <c r="AK41" s="147">
        <f t="shared" si="39"/>
        <v>142.47049343903242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4829.9999999999991</v>
      </c>
      <c r="J42" s="38">
        <f t="shared" si="32"/>
        <v>4829.9999999999991</v>
      </c>
      <c r="K42" s="40">
        <f t="shared" si="33"/>
        <v>0.20088505880982882</v>
      </c>
      <c r="L42" s="22">
        <f t="shared" si="34"/>
        <v>5.6247816466752067E-2</v>
      </c>
      <c r="M42" s="24">
        <f t="shared" si="35"/>
        <v>5.624781646675206E-2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1207.4999999999998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2414.9999999999995</v>
      </c>
      <c r="AF42" s="122">
        <f t="shared" si="29"/>
        <v>0.25</v>
      </c>
      <c r="AG42" s="147">
        <f t="shared" si="36"/>
        <v>1207.4999999999998</v>
      </c>
      <c r="AH42" s="123">
        <f t="shared" si="37"/>
        <v>1</v>
      </c>
      <c r="AI42" s="112">
        <f t="shared" si="37"/>
        <v>4829.9999999999991</v>
      </c>
      <c r="AJ42" s="148">
        <f t="shared" si="38"/>
        <v>1207.4999999999998</v>
      </c>
      <c r="AK42" s="147">
        <f t="shared" si="39"/>
        <v>3622.4999999999991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98.937842665994779</v>
      </c>
      <c r="K43" s="40">
        <f t="shared" si="33"/>
        <v>2.9113776639105624E-2</v>
      </c>
      <c r="L43" s="22">
        <f t="shared" si="34"/>
        <v>8.151857458949573E-3</v>
      </c>
      <c r="M43" s="24">
        <f t="shared" si="35"/>
        <v>1.1521817010130986E-3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24.734460666498695</v>
      </c>
      <c r="AB43" s="156">
        <f>Poor!AB43</f>
        <v>0.25</v>
      </c>
      <c r="AC43" s="147">
        <f t="shared" si="41"/>
        <v>24.734460666498695</v>
      </c>
      <c r="AD43" s="156">
        <f>Poor!AD43</f>
        <v>0.25</v>
      </c>
      <c r="AE43" s="147">
        <f t="shared" si="42"/>
        <v>24.734460666498695</v>
      </c>
      <c r="AF43" s="122">
        <f t="shared" si="29"/>
        <v>0.25</v>
      </c>
      <c r="AG43" s="147">
        <f t="shared" si="36"/>
        <v>24.734460666498695</v>
      </c>
      <c r="AH43" s="123">
        <f t="shared" si="37"/>
        <v>1</v>
      </c>
      <c r="AI43" s="112">
        <f t="shared" si="37"/>
        <v>98.937842665994779</v>
      </c>
      <c r="AJ43" s="148">
        <f t="shared" si="38"/>
        <v>49.46892133299739</v>
      </c>
      <c r="AK43" s="147">
        <f t="shared" si="39"/>
        <v>49.46892133299739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9062.4</v>
      </c>
      <c r="J47" s="38">
        <f t="shared" si="32"/>
        <v>9062.4</v>
      </c>
      <c r="K47" s="40">
        <f t="shared" si="33"/>
        <v>0.2235938045883312</v>
      </c>
      <c r="L47" s="22">
        <f t="shared" si="34"/>
        <v>0.10553627576569231</v>
      </c>
      <c r="M47" s="24">
        <f t="shared" si="35"/>
        <v>0.10553627576569233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2265.6</v>
      </c>
      <c r="AB47" s="156">
        <f>Poor!AB47</f>
        <v>0.25</v>
      </c>
      <c r="AC47" s="147">
        <f t="shared" si="41"/>
        <v>2265.6</v>
      </c>
      <c r="AD47" s="156">
        <f>Poor!AD47</f>
        <v>0.25</v>
      </c>
      <c r="AE47" s="147">
        <f t="shared" si="42"/>
        <v>2265.6</v>
      </c>
      <c r="AF47" s="122">
        <f t="shared" si="29"/>
        <v>0.25</v>
      </c>
      <c r="AG47" s="147">
        <f t="shared" si="36"/>
        <v>2265.6</v>
      </c>
      <c r="AH47" s="123">
        <f t="shared" si="37"/>
        <v>1</v>
      </c>
      <c r="AI47" s="112">
        <f t="shared" si="37"/>
        <v>9062.4</v>
      </c>
      <c r="AJ47" s="148">
        <f t="shared" si="38"/>
        <v>4531.2</v>
      </c>
      <c r="AK47" s="147">
        <f t="shared" si="39"/>
        <v>4531.2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8991.6</v>
      </c>
      <c r="J49" s="38">
        <f t="shared" si="32"/>
        <v>8991.6</v>
      </c>
      <c r="K49" s="40">
        <f t="shared" si="33"/>
        <v>8.8738791195993941E-2</v>
      </c>
      <c r="L49" s="22">
        <f t="shared" si="34"/>
        <v>0.10471177361127285</v>
      </c>
      <c r="M49" s="24">
        <f t="shared" si="35"/>
        <v>0.10471177361127286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2247.9</v>
      </c>
      <c r="AB49" s="156">
        <f>Poor!AB49</f>
        <v>0.25</v>
      </c>
      <c r="AC49" s="147">
        <f t="shared" si="41"/>
        <v>2247.9</v>
      </c>
      <c r="AD49" s="156">
        <f>Poor!AD49</f>
        <v>0.25</v>
      </c>
      <c r="AE49" s="147">
        <f t="shared" si="42"/>
        <v>2247.9</v>
      </c>
      <c r="AF49" s="122">
        <f t="shared" si="29"/>
        <v>0.25</v>
      </c>
      <c r="AG49" s="147">
        <f t="shared" si="36"/>
        <v>2247.9</v>
      </c>
      <c r="AH49" s="123">
        <f t="shared" si="37"/>
        <v>1</v>
      </c>
      <c r="AI49" s="112">
        <f t="shared" si="37"/>
        <v>8991.6</v>
      </c>
      <c r="AJ49" s="148">
        <f t="shared" si="38"/>
        <v>4495.8</v>
      </c>
      <c r="AK49" s="147">
        <f t="shared" si="39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54022</v>
      </c>
      <c r="J65" s="39">
        <f>SUM(J37:J64)</f>
        <v>53929.846466545387</v>
      </c>
      <c r="K65" s="40">
        <f>SUM(K37:K64)</f>
        <v>1</v>
      </c>
      <c r="L65" s="22">
        <f>SUM(L37:L64)</f>
        <v>0.62152090369162682</v>
      </c>
      <c r="M65" s="24">
        <f>SUM(M37:M64)</f>
        <v>0.62804060168330489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10497.760635598283</v>
      </c>
      <c r="AB65" s="137"/>
      <c r="AC65" s="153">
        <f>SUM(AC37:AC64)</f>
        <v>8924.2082857347141</v>
      </c>
      <c r="AD65" s="137"/>
      <c r="AE65" s="153">
        <f>SUM(AE37:AE64)</f>
        <v>10283.234460666497</v>
      </c>
      <c r="AF65" s="137"/>
      <c r="AG65" s="153">
        <f>SUM(AG37:AG64)</f>
        <v>24224.643084545893</v>
      </c>
      <c r="AH65" s="137"/>
      <c r="AI65" s="153">
        <f>SUM(AI37:AI64)</f>
        <v>53929.846466545387</v>
      </c>
      <c r="AJ65" s="153">
        <f>SUM(AJ37:AJ64)</f>
        <v>19421.968921332998</v>
      </c>
      <c r="AK65" s="153">
        <f>SUM(AK37:AK64)</f>
        <v>34507.877545212395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13743.37686238272</v>
      </c>
      <c r="K72" s="40">
        <f t="shared" si="47"/>
        <v>0.28270641667637125</v>
      </c>
      <c r="L72" s="22">
        <f t="shared" si="45"/>
        <v>0.18974481387408712</v>
      </c>
      <c r="M72" s="24">
        <f t="shared" si="48"/>
        <v>0.16004864169538513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0.24921392803074416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35725.598147920733</v>
      </c>
      <c r="J74" s="51">
        <f t="shared" si="44"/>
        <v>5805.0944187500809</v>
      </c>
      <c r="K74" s="40">
        <f>B74/B$76</f>
        <v>6.514985729326056E-2</v>
      </c>
      <c r="L74" s="22">
        <f t="shared" si="45"/>
        <v>3.1387418740183359E-2</v>
      </c>
      <c r="M74" s="24">
        <f>J74/B$76</f>
        <v>6.7603288910563414E-2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-1.7471152913591966E-12</v>
      </c>
      <c r="AB74" s="156"/>
      <c r="AC74" s="147">
        <f>AC30*$I$84/4</f>
        <v>1287.6720941629665</v>
      </c>
      <c r="AD74" s="156"/>
      <c r="AE74" s="147">
        <f>AE30*$I$84/4</f>
        <v>4921.2673732808043</v>
      </c>
      <c r="AF74" s="156"/>
      <c r="AG74" s="147">
        <f>AG30*$I$84/4</f>
        <v>4541.9624514050292</v>
      </c>
      <c r="AH74" s="155"/>
      <c r="AI74" s="147">
        <f>SUM(AA74,AC74,AE74,AG74)</f>
        <v>10750.901918848798</v>
      </c>
      <c r="AJ74" s="148">
        <f>(AA74+AC74)</f>
        <v>1287.6720941629646</v>
      </c>
      <c r="AK74" s="147">
        <f>(AE74+AG74)</f>
        <v>9463.2298246858336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9.1992429895463829E-2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23121.708940486813</v>
      </c>
      <c r="AB75" s="158"/>
      <c r="AC75" s="149">
        <f>AA75+AC65-SUM(AC70,AC74)</f>
        <v>26184.144669038746</v>
      </c>
      <c r="AD75" s="158"/>
      <c r="AE75" s="149">
        <f>AC75+AE65-SUM(AE70,AE74)</f>
        <v>26972.011293404626</v>
      </c>
      <c r="AF75" s="158"/>
      <c r="AG75" s="149">
        <f>IF(SUM(AG6:AG29)+((AG65-AG70-$J$75)*4/I$83)&lt;1,0,AG65-AG70-$J$75-(1-SUM(AG6:AG29))*I$83/4)</f>
        <v>17198.048767908345</v>
      </c>
      <c r="AH75" s="134"/>
      <c r="AI75" s="149">
        <f>AI76-SUM(AI70,AI74)</f>
        <v>24882.542695617336</v>
      </c>
      <c r="AJ75" s="151">
        <f>AJ76-SUM(AJ70,AJ74)</f>
        <v>8986.0959011304039</v>
      </c>
      <c r="AK75" s="149">
        <f>AJ75+AK76-SUM(AK70,AK74)</f>
        <v>24882.542695617325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54022</v>
      </c>
      <c r="J76" s="51">
        <f t="shared" si="44"/>
        <v>53929.846466545387</v>
      </c>
      <c r="K76" s="40">
        <f>SUM(K70:K75)</f>
        <v>0.99999999999999989</v>
      </c>
      <c r="L76" s="22">
        <f>SUM(L70:L75)</f>
        <v>0.62152090369162694</v>
      </c>
      <c r="M76" s="24">
        <f>SUM(M70:M75)</f>
        <v>0.628040601683305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10497.760635598283</v>
      </c>
      <c r="AB76" s="137"/>
      <c r="AC76" s="153">
        <f>AC65</f>
        <v>8924.2082857347141</v>
      </c>
      <c r="AD76" s="137"/>
      <c r="AE76" s="153">
        <f>AE65</f>
        <v>10283.234460666497</v>
      </c>
      <c r="AF76" s="137"/>
      <c r="AG76" s="153">
        <f>AG65</f>
        <v>24224.643084545893</v>
      </c>
      <c r="AH76" s="137"/>
      <c r="AI76" s="153">
        <f>SUM(AA76,AC76,AE76,AG76)</f>
        <v>53929.846466545394</v>
      </c>
      <c r="AJ76" s="154">
        <f>SUM(AA76,AC76)</f>
        <v>19421.968921332998</v>
      </c>
      <c r="AK76" s="154">
        <f>SUM(AE76,AG76)</f>
        <v>34507.877545212388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17198.048767908345</v>
      </c>
      <c r="AB78" s="112"/>
      <c r="AC78" s="112">
        <f>IF(AA75&lt;0,0,AA75)</f>
        <v>23121.708940486813</v>
      </c>
      <c r="AD78" s="112"/>
      <c r="AE78" s="112">
        <f>AC75</f>
        <v>26184.144669038746</v>
      </c>
      <c r="AF78" s="112"/>
      <c r="AG78" s="112">
        <f>AE75</f>
        <v>26972.011293404626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23121.708940486813</v>
      </c>
      <c r="AB79" s="112"/>
      <c r="AC79" s="112">
        <f>AA79-AA74+AC65-AC70</f>
        <v>27471.816763201714</v>
      </c>
      <c r="AD79" s="112"/>
      <c r="AE79" s="112">
        <f>AC79-AC74+AE65-AE70</f>
        <v>31893.27866668543</v>
      </c>
      <c r="AF79" s="112"/>
      <c r="AG79" s="112">
        <f>AE79-AE74+AG65-AG70</f>
        <v>46622.553914930701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0.3575757575757576</v>
      </c>
      <c r="I91" s="22">
        <f t="shared" ref="I91" si="52">(D91*H91)</f>
        <v>0.55547724843096302</v>
      </c>
      <c r="J91" s="24">
        <f>IF(I$32&lt;=1+I$131,I91,L91+J$33*(I91-L91))</f>
        <v>0.55547724843096302</v>
      </c>
      <c r="K91" s="22">
        <f t="shared" ref="K91" si="53">(B91)</f>
        <v>1.5534533218832016</v>
      </c>
      <c r="L91" s="22">
        <f t="shared" ref="L91" si="54">(K91*H91)</f>
        <v>0.55547724843096302</v>
      </c>
      <c r="M91" s="226">
        <f t="shared" si="49"/>
        <v>0.55547724843096302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0.3575757575757576</v>
      </c>
      <c r="I92" s="22">
        <f t="shared" ref="I92:I118" si="58">(D92*H92)</f>
        <v>0.3471732802693519</v>
      </c>
      <c r="J92" s="24">
        <f t="shared" ref="J92:J118" si="59">IF(I$32&lt;=1+I$131,I92,L92+J$33*(I92-L92))</f>
        <v>0.3275455229087082</v>
      </c>
      <c r="K92" s="22">
        <f t="shared" ref="K92:K118" si="60">(B92)</f>
        <v>0.58254499570620055</v>
      </c>
      <c r="L92" s="22">
        <f t="shared" ref="L92:L118" si="61">(K92*H92)</f>
        <v>0.20830396816161112</v>
      </c>
      <c r="M92" s="226">
        <f t="shared" ref="M92:M118" si="62">(J92)</f>
        <v>0.3275455229087082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0.3575757575757576</v>
      </c>
      <c r="I93" s="22">
        <f t="shared" si="58"/>
        <v>5.5547724843096308E-2</v>
      </c>
      <c r="J93" s="24">
        <f t="shared" si="59"/>
        <v>5.5547724843096308E-2</v>
      </c>
      <c r="K93" s="22">
        <f t="shared" si="60"/>
        <v>0.15534533218832017</v>
      </c>
      <c r="L93" s="22">
        <f t="shared" si="61"/>
        <v>5.5547724843096308E-2</v>
      </c>
      <c r="M93" s="226">
        <f t="shared" si="62"/>
        <v>5.5547724843096308E-2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6">
        <f t="shared" si="62"/>
        <v>9.0265052870031504E-2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8.383381109969841E-3</v>
      </c>
      <c r="K95" s="22">
        <f t="shared" si="60"/>
        <v>0.23301799828248024</v>
      </c>
      <c r="L95" s="22">
        <f t="shared" si="61"/>
        <v>5.9313672290085884E-2</v>
      </c>
      <c r="M95" s="226">
        <f t="shared" si="62"/>
        <v>8.383381109969841E-3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0.16969696969696968</v>
      </c>
      <c r="I96" s="22">
        <f t="shared" si="58"/>
        <v>0.28421134638999479</v>
      </c>
      <c r="J96" s="24">
        <f t="shared" si="59"/>
        <v>0.28421134638999479</v>
      </c>
      <c r="K96" s="22">
        <f t="shared" si="60"/>
        <v>1.6748168626553266</v>
      </c>
      <c r="L96" s="22">
        <f t="shared" si="61"/>
        <v>0.28421134638999479</v>
      </c>
      <c r="M96" s="226">
        <f t="shared" si="62"/>
        <v>0.28421134638999479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5.8217924374790592E-3</v>
      </c>
      <c r="K97" s="22">
        <f t="shared" si="60"/>
        <v>0.24272708154425024</v>
      </c>
      <c r="L97" s="22">
        <f t="shared" si="61"/>
        <v>4.1190050201448523E-2</v>
      </c>
      <c r="M97" s="226">
        <f t="shared" si="62"/>
        <v>5.8217924374790592E-3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0.33636363636363642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0.28606060606060607</v>
      </c>
      <c r="I101" s="22">
        <f t="shared" si="58"/>
        <v>0.53325815849372449</v>
      </c>
      <c r="J101" s="24">
        <f t="shared" si="59"/>
        <v>0.53325815849372449</v>
      </c>
      <c r="K101" s="22">
        <f t="shared" si="60"/>
        <v>1.8641439862598419</v>
      </c>
      <c r="L101" s="22">
        <f t="shared" si="61"/>
        <v>0.53325815849372449</v>
      </c>
      <c r="M101" s="226">
        <f t="shared" si="62"/>
        <v>0.53325815849372449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0.7151515151515152</v>
      </c>
      <c r="I103" s="22">
        <f t="shared" si="58"/>
        <v>0.52909207913049228</v>
      </c>
      <c r="J103" s="24">
        <f t="shared" si="59"/>
        <v>0.52909207913049228</v>
      </c>
      <c r="K103" s="22">
        <f t="shared" si="60"/>
        <v>0.73983214454687474</v>
      </c>
      <c r="L103" s="22">
        <f t="shared" si="61"/>
        <v>0.52909207913049228</v>
      </c>
      <c r="M103" s="226">
        <f t="shared" si="62"/>
        <v>0.52909207913049228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6">
        <f t="shared" si="62"/>
        <v>0.7837878124047063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3.1788127028323605</v>
      </c>
      <c r="J119" s="24">
        <f>SUM(J91:J118)</f>
        <v>3.173390119019166</v>
      </c>
      <c r="K119" s="22">
        <f>SUM(K91:K118)</f>
        <v>8.3371897968819066</v>
      </c>
      <c r="L119" s="22">
        <f>SUM(L91:L118)</f>
        <v>3.1404471132161542</v>
      </c>
      <c r="M119" s="57">
        <f t="shared" si="49"/>
        <v>3.173390119019166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6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0.80870054699852911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0.95875062196502769</v>
      </c>
      <c r="M126" s="57">
        <f t="shared" si="65"/>
        <v>0.80870054699852911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2.1021988302709023</v>
      </c>
      <c r="J128" s="227">
        <f>(J30)</f>
        <v>0.34158875790352072</v>
      </c>
      <c r="K128" s="22">
        <f>(B128)</f>
        <v>0.54316672549368428</v>
      </c>
      <c r="L128" s="22">
        <f>IF(L124=L119,0,(L119-L124)/(B119-B124)*K128)</f>
        <v>0.15859567713401013</v>
      </c>
      <c r="M128" s="57">
        <f t="shared" si="63"/>
        <v>0.34158875790352072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0.76695834791483519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3.1788127028323605</v>
      </c>
      <c r="J130" s="227">
        <f>(J119)</f>
        <v>3.173390119019166</v>
      </c>
      <c r="K130" s="22">
        <f>(B130)</f>
        <v>8.3371897968819066</v>
      </c>
      <c r="L130" s="22">
        <f>(L119)</f>
        <v>3.1404471132161542</v>
      </c>
      <c r="M130" s="57">
        <f t="shared" si="63"/>
        <v>3.173390119019166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0.13778639455712893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64" operator="equal">
      <formula>16</formula>
    </cfRule>
    <cfRule type="cellIs" dxfId="244" priority="165" operator="equal">
      <formula>15</formula>
    </cfRule>
    <cfRule type="cellIs" dxfId="243" priority="166" operator="equal">
      <formula>14</formula>
    </cfRule>
    <cfRule type="cellIs" dxfId="242" priority="167" operator="equal">
      <formula>13</formula>
    </cfRule>
    <cfRule type="cellIs" dxfId="241" priority="168" operator="equal">
      <formula>12</formula>
    </cfRule>
    <cfRule type="cellIs" dxfId="240" priority="169" operator="equal">
      <formula>11</formula>
    </cfRule>
    <cfRule type="cellIs" dxfId="239" priority="170" operator="equal">
      <formula>10</formula>
    </cfRule>
    <cfRule type="cellIs" dxfId="238" priority="171" operator="equal">
      <formula>9</formula>
    </cfRule>
    <cfRule type="cellIs" dxfId="237" priority="172" operator="equal">
      <formula>8</formula>
    </cfRule>
    <cfRule type="cellIs" dxfId="236" priority="173" operator="equal">
      <formula>7</formula>
    </cfRule>
    <cfRule type="cellIs" dxfId="235" priority="174" operator="equal">
      <formula>6</formula>
    </cfRule>
    <cfRule type="cellIs" dxfId="234" priority="175" operator="equal">
      <formula>5</formula>
    </cfRule>
    <cfRule type="cellIs" dxfId="233" priority="176" operator="equal">
      <formula>4</formula>
    </cfRule>
    <cfRule type="cellIs" dxfId="232" priority="177" operator="equal">
      <formula>3</formula>
    </cfRule>
    <cfRule type="cellIs" dxfId="231" priority="178" operator="equal">
      <formula>2</formula>
    </cfRule>
    <cfRule type="cellIs" dxfId="230" priority="179" operator="equal">
      <formula>1</formula>
    </cfRule>
  </conditionalFormatting>
  <conditionalFormatting sqref="N29">
    <cfRule type="cellIs" dxfId="229" priority="148" operator="equal">
      <formula>16</formula>
    </cfRule>
    <cfRule type="cellIs" dxfId="228" priority="149" operator="equal">
      <formula>15</formula>
    </cfRule>
    <cfRule type="cellIs" dxfId="227" priority="150" operator="equal">
      <formula>14</formula>
    </cfRule>
    <cfRule type="cellIs" dxfId="226" priority="151" operator="equal">
      <formula>13</formula>
    </cfRule>
    <cfRule type="cellIs" dxfId="225" priority="152" operator="equal">
      <formula>12</formula>
    </cfRule>
    <cfRule type="cellIs" dxfId="224" priority="153" operator="equal">
      <formula>11</formula>
    </cfRule>
    <cfRule type="cellIs" dxfId="223" priority="154" operator="equal">
      <formula>10</formula>
    </cfRule>
    <cfRule type="cellIs" dxfId="222" priority="155" operator="equal">
      <formula>9</formula>
    </cfRule>
    <cfRule type="cellIs" dxfId="221" priority="156" operator="equal">
      <formula>8</formula>
    </cfRule>
    <cfRule type="cellIs" dxfId="220" priority="157" operator="equal">
      <formula>7</formula>
    </cfRule>
    <cfRule type="cellIs" dxfId="219" priority="158" operator="equal">
      <formula>6</formula>
    </cfRule>
    <cfRule type="cellIs" dxfId="218" priority="159" operator="equal">
      <formula>5</formula>
    </cfRule>
    <cfRule type="cellIs" dxfId="217" priority="160" operator="equal">
      <formula>4</formula>
    </cfRule>
    <cfRule type="cellIs" dxfId="216" priority="161" operator="equal">
      <formula>3</formula>
    </cfRule>
    <cfRule type="cellIs" dxfId="215" priority="162" operator="equal">
      <formula>2</formula>
    </cfRule>
    <cfRule type="cellIs" dxfId="214" priority="163" operator="equal">
      <formula>1</formula>
    </cfRule>
  </conditionalFormatting>
  <conditionalFormatting sqref="N113:N11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N27:N28">
    <cfRule type="cellIs" dxfId="197" priority="84" operator="equal">
      <formula>16</formula>
    </cfRule>
    <cfRule type="cellIs" dxfId="196" priority="85" operator="equal">
      <formula>15</formula>
    </cfRule>
    <cfRule type="cellIs" dxfId="195" priority="86" operator="equal">
      <formula>14</formula>
    </cfRule>
    <cfRule type="cellIs" dxfId="194" priority="87" operator="equal">
      <formula>13</formula>
    </cfRule>
    <cfRule type="cellIs" dxfId="193" priority="88" operator="equal">
      <formula>12</formula>
    </cfRule>
    <cfRule type="cellIs" dxfId="192" priority="89" operator="equal">
      <formula>11</formula>
    </cfRule>
    <cfRule type="cellIs" dxfId="191" priority="90" operator="equal">
      <formula>10</formula>
    </cfRule>
    <cfRule type="cellIs" dxfId="190" priority="91" operator="equal">
      <formula>9</formula>
    </cfRule>
    <cfRule type="cellIs" dxfId="189" priority="92" operator="equal">
      <formula>8</formula>
    </cfRule>
    <cfRule type="cellIs" dxfId="188" priority="93" operator="equal">
      <formula>7</formula>
    </cfRule>
    <cfRule type="cellIs" dxfId="187" priority="94" operator="equal">
      <formula>6</formula>
    </cfRule>
    <cfRule type="cellIs" dxfId="186" priority="95" operator="equal">
      <formula>5</formula>
    </cfRule>
    <cfRule type="cellIs" dxfId="185" priority="96" operator="equal">
      <formula>4</formula>
    </cfRule>
    <cfRule type="cellIs" dxfId="184" priority="97" operator="equal">
      <formula>3</formula>
    </cfRule>
    <cfRule type="cellIs" dxfId="183" priority="98" operator="equal">
      <formula>2</formula>
    </cfRule>
    <cfRule type="cellIs" dxfId="182" priority="99" operator="equal">
      <formula>1</formula>
    </cfRule>
  </conditionalFormatting>
  <conditionalFormatting sqref="N112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4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05:N111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N6:N26">
    <cfRule type="cellIs" dxfId="133" priority="4" operator="equal">
      <formula>16</formula>
    </cfRule>
    <cfRule type="cellIs" dxfId="132" priority="5" operator="equal">
      <formula>15</formula>
    </cfRule>
    <cfRule type="cellIs" dxfId="131" priority="6" operator="equal">
      <formula>14</formula>
    </cfRule>
    <cfRule type="cellIs" dxfId="130" priority="7" operator="equal">
      <formula>13</formula>
    </cfRule>
    <cfRule type="cellIs" dxfId="129" priority="8" operator="equal">
      <formula>12</formula>
    </cfRule>
    <cfRule type="cellIs" dxfId="128" priority="9" operator="equal">
      <formula>11</formula>
    </cfRule>
    <cfRule type="cellIs" dxfId="127" priority="10" operator="equal">
      <formula>10</formula>
    </cfRule>
    <cfRule type="cellIs" dxfId="126" priority="11" operator="equal">
      <formula>9</formula>
    </cfRule>
    <cfRule type="cellIs" dxfId="125" priority="12" operator="equal">
      <formula>8</formula>
    </cfRule>
    <cfRule type="cellIs" dxfId="124" priority="13" operator="equal">
      <formula>7</formula>
    </cfRule>
    <cfRule type="cellIs" dxfId="123" priority="14" operator="equal">
      <formula>6</formula>
    </cfRule>
    <cfRule type="cellIs" dxfId="122" priority="15" operator="equal">
      <formula>5</formula>
    </cfRule>
    <cfRule type="cellIs" dxfId="121" priority="16" operator="equal">
      <formula>4</formula>
    </cfRule>
    <cfRule type="cellIs" dxfId="120" priority="17" operator="equal">
      <formula>3</formula>
    </cfRule>
    <cfRule type="cellIs" dxfId="119" priority="18" operator="equal">
      <formula>2</formula>
    </cfRule>
    <cfRule type="cellIs" dxfId="118" priority="19" operator="equal">
      <formula>1</formula>
    </cfRule>
  </conditionalFormatting>
  <conditionalFormatting sqref="R31:T31">
    <cfRule type="cellIs" dxfId="117" priority="3" operator="greaterThan">
      <formula>0</formula>
    </cfRule>
  </conditionalFormatting>
  <conditionalFormatting sqref="R32:T32">
    <cfRule type="cellIs" dxfId="116" priority="2" operator="greaterThan">
      <formula>0</formula>
    </cfRule>
  </conditionalFormatting>
  <conditionalFormatting sqref="R30:T30">
    <cfRule type="cellIs" dxfId="11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1.689601494396015E-2</v>
      </c>
      <c r="J6" s="24">
        <f t="shared" ref="J6:J13" si="3">IF(I$32&lt;=1+I$131,I6,B6*H6+J$33*(I6-B6*H6))</f>
        <v>1.689601494396015E-2</v>
      </c>
      <c r="K6" s="22">
        <f t="shared" ref="K6:K31" si="4">B6</f>
        <v>8.4480074719800749E-2</v>
      </c>
      <c r="L6" s="22">
        <f t="shared" ref="L6:L29" si="5">IF(K6="","",K6*H6)</f>
        <v>1.689601494396015E-2</v>
      </c>
      <c r="M6" s="177">
        <f t="shared" ref="M6:M31" si="6">J6</f>
        <v>1.689601494396015E-2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6.7584059775840602E-2</v>
      </c>
      <c r="Z6" s="156">
        <f>Poor!Z6</f>
        <v>0.17</v>
      </c>
      <c r="AA6" s="121">
        <f>$M6*Z6*4</f>
        <v>1.1489290161892903E-2</v>
      </c>
      <c r="AB6" s="156">
        <f>Poor!AB6</f>
        <v>0.17</v>
      </c>
      <c r="AC6" s="121">
        <f t="shared" ref="AC6:AC29" si="7">$M6*AB6*4</f>
        <v>1.1489290161892903E-2</v>
      </c>
      <c r="AD6" s="156">
        <f>Poor!AD6</f>
        <v>0.33</v>
      </c>
      <c r="AE6" s="121">
        <f t="shared" ref="AE6:AE29" si="8">$M6*AD6*4</f>
        <v>2.23027397260274E-2</v>
      </c>
      <c r="AF6" s="122">
        <f>1-SUM(Z6,AB6,AD6)</f>
        <v>0.32999999999999996</v>
      </c>
      <c r="AG6" s="121">
        <f>$M6*AF6*4</f>
        <v>2.2302739726027396E-2</v>
      </c>
      <c r="AH6" s="123">
        <f>SUM(Z6,AB6,AD6,AF6)</f>
        <v>1</v>
      </c>
      <c r="AI6" s="183">
        <f>SUM(AA6,AC6,AE6,AG6)/4</f>
        <v>1.689601494396015E-2</v>
      </c>
      <c r="AJ6" s="120">
        <f>(AA6+AC6)/2</f>
        <v>1.1489290161892903E-2</v>
      </c>
      <c r="AK6" s="119">
        <f>(AE6+AG6)/2</f>
        <v>2.23027397260274E-2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1.7632919364881695E-2</v>
      </c>
      <c r="J7" s="24">
        <f t="shared" si="3"/>
        <v>1.7632919364881695E-2</v>
      </c>
      <c r="K7" s="22">
        <f t="shared" si="4"/>
        <v>8.816459682440847E-2</v>
      </c>
      <c r="L7" s="22">
        <f t="shared" si="5"/>
        <v>1.7632919364881695E-2</v>
      </c>
      <c r="M7" s="177">
        <f t="shared" si="6"/>
        <v>1.7632919364881695E-2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2609.8430257697223</v>
      </c>
      <c r="S7" s="221">
        <f>IF($B$81=0,0,(SUMIF($N$6:$N$28,$U7,L$6:L$28)+SUMIF($N$91:$N$118,$U7,L$91:L$118))*$I$83*Poor!$B$81/$B$81)</f>
        <v>691.02760809439474</v>
      </c>
      <c r="T7" s="221">
        <f>IF($B$81=0,0,(SUMIF($N$6:$N$28,$U7,M$6:M$28)+SUMIF($N$91:$N$118,$U7,M$91:M$118))*$I$83*Poor!$B$81/$B$81)</f>
        <v>896.03977909982518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7.0531677459526779E-2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7.0531677459526779E-2</v>
      </c>
      <c r="AH7" s="123">
        <f t="shared" ref="AH7:AH30" si="12">SUM(Z7,AB7,AD7,AF7)</f>
        <v>1</v>
      </c>
      <c r="AI7" s="183">
        <f t="shared" ref="AI7:AI30" si="13">SUM(AA7,AC7,AE7,AG7)/4</f>
        <v>1.7632919364881695E-2</v>
      </c>
      <c r="AJ7" s="120">
        <f t="shared" ref="AJ7:AJ31" si="14">(AA7+AC7)/2</f>
        <v>0</v>
      </c>
      <c r="AK7" s="119">
        <f t="shared" ref="AK7:AK31" si="15">(AE7+AG7)/2</f>
        <v>3.5265838729763389E-2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0.2838994520547945</v>
      </c>
      <c r="J8" s="24">
        <f t="shared" si="3"/>
        <v>2.7850261453263012E-2</v>
      </c>
      <c r="K8" s="22">
        <f t="shared" si="4"/>
        <v>5.9145719178082187E-2</v>
      </c>
      <c r="L8" s="22">
        <f t="shared" si="5"/>
        <v>1.7743715753424656E-2</v>
      </c>
      <c r="M8" s="223">
        <f t="shared" si="6"/>
        <v>2.7850261453263012E-2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14996.068386836114</v>
      </c>
      <c r="S8" s="221">
        <f>IF($B$81=0,0,(SUMIF($N$6:$N$28,$U8,L$6:L$28)+SUMIF($N$91:$N$118,$U8,L$91:L$118))*$I$83*Poor!$B$81/$B$81)</f>
        <v>3312.9599999999991</v>
      </c>
      <c r="T8" s="221">
        <f>IF($B$81=0,0,(SUMIF($N$6:$N$28,$U8,M$6:M$28)+SUMIF($N$91:$N$118,$U8,M$91:M$118))*$I$83*Poor!$B$81/$B$81)</f>
        <v>3250.9527515545969</v>
      </c>
      <c r="U8" s="222">
        <v>2</v>
      </c>
      <c r="V8" s="56"/>
      <c r="W8" s="115"/>
      <c r="X8" s="118">
        <f>Poor!X8</f>
        <v>1</v>
      </c>
      <c r="Y8" s="183">
        <f t="shared" si="9"/>
        <v>0.11140104581305205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0.11140104581305205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2.7850261453263012E-2</v>
      </c>
      <c r="AJ8" s="120">
        <f t="shared" si="14"/>
        <v>5.5700522906526023E-2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1.1047051681195517E-2</v>
      </c>
      <c r="J9" s="24">
        <f t="shared" si="3"/>
        <v>1.1047051681195517E-2</v>
      </c>
      <c r="K9" s="22">
        <f t="shared" si="4"/>
        <v>5.523525840597758E-2</v>
      </c>
      <c r="L9" s="22">
        <f t="shared" si="5"/>
        <v>1.1047051681195517E-2</v>
      </c>
      <c r="M9" s="223">
        <f t="shared" si="6"/>
        <v>1.1047051681195517E-2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3037.7832928629437</v>
      </c>
      <c r="S9" s="221">
        <f>IF($B$81=0,0,(SUMIF($N$6:$N$28,$U9,L$6:L$28)+SUMIF($N$91:$N$118,$U9,L$91:L$118))*$I$83*Poor!$B$81/$B$81)</f>
        <v>670.6267001855233</v>
      </c>
      <c r="T9" s="221">
        <f>IF($B$81=0,0,(SUMIF($N$6:$N$28,$U9,M$6:M$28)+SUMIF($N$91:$N$118,$U9,M$91:M$118))*$I$83*Poor!$B$81/$B$81)</f>
        <v>670.6267001855233</v>
      </c>
      <c r="U9" s="222">
        <v>3</v>
      </c>
      <c r="V9" s="56"/>
      <c r="W9" s="115"/>
      <c r="X9" s="118">
        <f>Poor!X9</f>
        <v>1</v>
      </c>
      <c r="Y9" s="183">
        <f t="shared" si="9"/>
        <v>4.4188206724782068E-2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1.1047051681195517E-2</v>
      </c>
      <c r="AJ9" s="120">
        <f t="shared" si="14"/>
        <v>2.2094103362391034E-2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0.2</v>
      </c>
      <c r="H10" s="24">
        <f t="shared" si="1"/>
        <v>0.2</v>
      </c>
      <c r="I10" s="22">
        <f t="shared" si="2"/>
        <v>1.8613793275217932E-2</v>
      </c>
      <c r="J10" s="24">
        <f t="shared" si="3"/>
        <v>7.2375912200622851E-3</v>
      </c>
      <c r="K10" s="22">
        <f t="shared" si="4"/>
        <v>3.3942799501867994E-2</v>
      </c>
      <c r="L10" s="22">
        <f t="shared" si="5"/>
        <v>6.788559900373599E-3</v>
      </c>
      <c r="M10" s="223">
        <f t="shared" si="6"/>
        <v>7.2375912200622851E-3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2.895036488024914E-2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2.895036488024914E-2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7.2375912200622851E-3</v>
      </c>
      <c r="AJ10" s="120">
        <f t="shared" si="14"/>
        <v>1.447518244012457E-2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48955.466474170928</v>
      </c>
      <c r="S11" s="221">
        <f>IF($B$81=0,0,(SUMIF($N$6:$N$28,$U11,L$6:L$28)+SUMIF($N$91:$N$118,$U11,L$91:L$118))*$I$83*Poor!$B$81/$B$81)</f>
        <v>19322.499999999996</v>
      </c>
      <c r="T11" s="221">
        <f>IF($B$81=0,0,(SUMIF($N$6:$N$28,$U11,M$6:M$28)+SUMIF($N$91:$N$118,$U11,M$91:M$118))*$I$83*Poor!$B$81/$B$81)</f>
        <v>19378.509143798357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113008.64932663579</v>
      </c>
      <c r="S14" s="221">
        <f>IF($B$81=0,0,(SUMIF($N$6:$N$28,$U14,L$6:L$28)+SUMIF($N$91:$N$118,$U14,L$91:L$118))*$I$83*Poor!$B$81/$B$81)</f>
        <v>35683.199999999997</v>
      </c>
      <c r="T14" s="221">
        <f>IF($B$81=0,0,(SUMIF($N$6:$N$28,$U14,M$6:M$28)+SUMIF($N$91:$N$118,$U14,M$91:M$118))*$I$83*Poor!$B$81/$B$81)</f>
        <v>35683.199999999997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93725.427417725718</v>
      </c>
      <c r="S17" s="221">
        <f>IF($B$81=0,0,(SUMIF($N$6:$N$28,$U17,L$6:L$28)+SUMIF($N$91:$N$118,$U17,L$91:L$118))*$I$83*Poor!$B$81/$B$81)</f>
        <v>59188.800000000003</v>
      </c>
      <c r="T17" s="221">
        <f>IF($B$81=0,0,(SUMIF($N$6:$N$28,$U17,M$6:M$28)+SUMIF($N$91:$N$118,$U17,M$91:M$118))*$I$83*Poor!$B$81/$B$81)</f>
        <v>59188.800000000003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11390.554336891068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38925.201434730108</v>
      </c>
      <c r="S21" s="221">
        <f>IF($B$81=0,0,(SUMIF($N$6:$N$28,$U21,L$6:L$28)+SUMIF($N$91:$N$118,$U21,L$91:L$118))*$I$83*Poor!$B$81/$B$81)</f>
        <v>27030.000000000004</v>
      </c>
      <c r="T21" s="221">
        <f>IF($B$81=0,0,(SUMIF($N$6:$N$28,$U21,M$6:M$28)+SUMIF($N$91:$N$118,$U21,M$91:M$118))*$I$83*Poor!$B$81/$B$81)</f>
        <v>27030.000000000004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326648.99369562237</v>
      </c>
      <c r="S23" s="179">
        <f>SUM(S7:S22)</f>
        <v>154890.71430827992</v>
      </c>
      <c r="T23" s="179">
        <f>SUM(T7:T22)</f>
        <v>155089.7283746383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3.1882709132752679E-2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3.1882709132752679E-2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0.12753083653101072</v>
      </c>
      <c r="Z27" s="156">
        <f>Poor!Z27</f>
        <v>0.25</v>
      </c>
      <c r="AA27" s="121">
        <f t="shared" si="16"/>
        <v>3.1882709132752679E-2</v>
      </c>
      <c r="AB27" s="156">
        <f>Poor!AB27</f>
        <v>0.25</v>
      </c>
      <c r="AC27" s="121">
        <f t="shared" si="7"/>
        <v>3.1882709132752679E-2</v>
      </c>
      <c r="AD27" s="156">
        <f>Poor!AD27</f>
        <v>0.25</v>
      </c>
      <c r="AE27" s="121">
        <f t="shared" si="8"/>
        <v>3.1882709132752679E-2</v>
      </c>
      <c r="AF27" s="122">
        <f t="shared" si="10"/>
        <v>0.25</v>
      </c>
      <c r="AG27" s="121">
        <f t="shared" si="11"/>
        <v>3.1882709132752679E-2</v>
      </c>
      <c r="AH27" s="123">
        <f t="shared" si="12"/>
        <v>1</v>
      </c>
      <c r="AI27" s="183">
        <f t="shared" si="13"/>
        <v>3.1882709132752679E-2</v>
      </c>
      <c r="AJ27" s="120">
        <f t="shared" si="14"/>
        <v>3.1882709132752679E-2</v>
      </c>
      <c r="AK27" s="119">
        <f t="shared" si="15"/>
        <v>3.1882709132752679E-2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0.45828935233018714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0.45828935233018714</v>
      </c>
      <c r="N29" s="228"/>
      <c r="P29" s="22"/>
      <c r="V29" s="56"/>
      <c r="W29" s="110"/>
      <c r="X29" s="118"/>
      <c r="Y29" s="183">
        <f t="shared" si="9"/>
        <v>1.8331574093207486</v>
      </c>
      <c r="Z29" s="156">
        <f>Poor!Z29</f>
        <v>0.25</v>
      </c>
      <c r="AA29" s="121">
        <f t="shared" si="16"/>
        <v>0.45828935233018714</v>
      </c>
      <c r="AB29" s="156">
        <f>Poor!AB29</f>
        <v>0.25</v>
      </c>
      <c r="AC29" s="121">
        <f t="shared" si="7"/>
        <v>0.45828935233018714</v>
      </c>
      <c r="AD29" s="156">
        <f>Poor!AD29</f>
        <v>0.25</v>
      </c>
      <c r="AE29" s="121">
        <f t="shared" si="8"/>
        <v>0.45828935233018714</v>
      </c>
      <c r="AF29" s="122">
        <f t="shared" si="10"/>
        <v>0.25</v>
      </c>
      <c r="AG29" s="121">
        <f t="shared" si="11"/>
        <v>0.45828935233018714</v>
      </c>
      <c r="AH29" s="123">
        <f t="shared" si="12"/>
        <v>1</v>
      </c>
      <c r="AI29" s="183">
        <f t="shared" si="13"/>
        <v>0.45828935233018714</v>
      </c>
      <c r="AJ29" s="120">
        <f t="shared" si="14"/>
        <v>0.45828935233018714</v>
      </c>
      <c r="AK29" s="119">
        <f t="shared" si="15"/>
        <v>0.45828935233018714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6.8200902630027702</v>
      </c>
      <c r="J30" s="230">
        <f>IF(I$32&lt;=1,I30,1-SUM(J6:J29))</f>
        <v>0.42916409987369752</v>
      </c>
      <c r="K30" s="22">
        <f t="shared" si="4"/>
        <v>0.5065454465753424</v>
      </c>
      <c r="L30" s="22">
        <f>IF(L124=L119,0,IF(K30="",0,(L119-L124)/(B119-B124)*K30))</f>
        <v>0.20376564867893104</v>
      </c>
      <c r="M30" s="175">
        <f t="shared" si="6"/>
        <v>0.42916409987369752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1.7166563994947901</v>
      </c>
      <c r="Z30" s="122">
        <f>IF($Y30=0,0,AA30/($Y$30))</f>
        <v>0.18279664529805426</v>
      </c>
      <c r="AA30" s="187">
        <f>IF(AA79*4/$I$83+SUM(AA6:AA29)&lt;1,AA79*4/$I$83,1-SUM(AA6:AA29))</f>
        <v>0.31379903095708406</v>
      </c>
      <c r="AB30" s="122">
        <f>IF($Y30=0,0,AC30/($Y$30))</f>
        <v>0.29029609450197941</v>
      </c>
      <c r="AC30" s="187">
        <f>IF(AC79*4/$I$83+SUM(AC6:AC29)&lt;1,AC79*4/$I$83,1-SUM(AC6:AC29))</f>
        <v>0.49833864837516728</v>
      </c>
      <c r="AD30" s="122">
        <f>IF($Y30=0,0,AE30/($Y$30))</f>
        <v>0.28399695999415536</v>
      </c>
      <c r="AE30" s="187">
        <f>IF(AE79*4/$I$83+SUM(AE6:AE29)&lt;1,AE79*4/$I$83,1-SUM(AE6:AE29))</f>
        <v>0.48752519881103273</v>
      </c>
      <c r="AF30" s="122">
        <f>IF($Y30=0,0,AG30/($Y$30))</f>
        <v>0.24291030020581098</v>
      </c>
      <c r="AG30" s="187">
        <f>IF(AG79*4/$I$83+SUM(AG6:AG29)&lt;1,AG79*4/$I$83,1-SUM(AG6:AG29))</f>
        <v>0.41699352135150602</v>
      </c>
      <c r="AH30" s="123">
        <f t="shared" si="12"/>
        <v>0.99999999999999989</v>
      </c>
      <c r="AI30" s="183">
        <f t="shared" si="13"/>
        <v>0.42916409987369752</v>
      </c>
      <c r="AJ30" s="120">
        <f t="shared" si="14"/>
        <v>0.40606883966612567</v>
      </c>
      <c r="AK30" s="119">
        <f t="shared" si="15"/>
        <v>0.45225936008126938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0.22547305574199061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7.3928162682648173</v>
      </c>
      <c r="J32" s="17"/>
      <c r="L32" s="22">
        <f>SUM(L6:L30)</f>
        <v>0.77452694425800939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3.7972300880243476E-2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13186.5</v>
      </c>
      <c r="J37" s="38">
        <f>J91*I$83</f>
        <v>13186.5</v>
      </c>
      <c r="K37" s="40">
        <f t="shared" ref="K37:K52" si="28">(B37/B$65)</f>
        <v>0.10407838243101024</v>
      </c>
      <c r="L37" s="22">
        <f t="shared" ref="L37:L52" si="29">(K37*H37)</f>
        <v>6.1406245634296037E-2</v>
      </c>
      <c r="M37" s="24">
        <f t="shared" ref="M37:M52" si="30">J37/B$65</f>
        <v>6.1406245634296037E-2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13186.5</v>
      </c>
      <c r="AH37" s="123">
        <f>SUM(Z37,AB37,AD37,AF37)</f>
        <v>1</v>
      </c>
      <c r="AI37" s="112">
        <f>SUM(AA37,AC37,AE37,AG37)</f>
        <v>13186.5</v>
      </c>
      <c r="AJ37" s="148">
        <f>(AA37+AC37)</f>
        <v>0</v>
      </c>
      <c r="AK37" s="147">
        <f>(AE37+AG37)</f>
        <v>13186.5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6195</v>
      </c>
      <c r="J38" s="38">
        <f t="shared" ref="J38:J64" si="33">J92*I$83</f>
        <v>4776.0091437983592</v>
      </c>
      <c r="K38" s="40">
        <f t="shared" si="28"/>
        <v>3.725400713414237E-2</v>
      </c>
      <c r="L38" s="22">
        <f t="shared" si="29"/>
        <v>2.1979864209143996E-2</v>
      </c>
      <c r="M38" s="24">
        <f t="shared" si="30"/>
        <v>2.2240684839474157E-2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4776.0091437983592</v>
      </c>
      <c r="AH38" s="123">
        <f t="shared" ref="AH38:AI58" si="35">SUM(Z38,AB38,AD38,AF38)</f>
        <v>1</v>
      </c>
      <c r="AI38" s="112">
        <f t="shared" si="35"/>
        <v>4776.0091437983592</v>
      </c>
      <c r="AJ38" s="148">
        <f t="shared" ref="AJ38:AJ64" si="36">(AA38+AC38)</f>
        <v>0</v>
      </c>
      <c r="AK38" s="147">
        <f t="shared" ref="AK38:AK64" si="37">(AE38+AG38)</f>
        <v>4776.0091437983592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1415.9999999999998</v>
      </c>
      <c r="K39" s="40">
        <f t="shared" si="28"/>
        <v>1.1176202140242709E-2</v>
      </c>
      <c r="L39" s="22">
        <f t="shared" si="29"/>
        <v>6.5939592627431987E-3</v>
      </c>
      <c r="M39" s="24">
        <f t="shared" si="30"/>
        <v>6.5939592627431978E-3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1415.9999999999998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1415.9999999999998</v>
      </c>
      <c r="AJ39" s="148">
        <f t="shared" si="36"/>
        <v>1415.9999999999998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1454.5858810690718</v>
      </c>
      <c r="K41" s="40">
        <f t="shared" si="28"/>
        <v>1.6764303210364064E-2</v>
      </c>
      <c r="L41" s="22">
        <f t="shared" si="29"/>
        <v>7.0410073483529066E-3</v>
      </c>
      <c r="M41" s="24">
        <f t="shared" si="30"/>
        <v>6.7736440988212451E-3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1454.5858810690718</v>
      </c>
      <c r="AH41" s="123">
        <f t="shared" si="35"/>
        <v>1</v>
      </c>
      <c r="AI41" s="112">
        <f t="shared" si="35"/>
        <v>1454.5858810690718</v>
      </c>
      <c r="AJ41" s="148">
        <f t="shared" si="36"/>
        <v>0</v>
      </c>
      <c r="AK41" s="147">
        <f t="shared" si="37"/>
        <v>1454.5858810690718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1679.9999999999998</v>
      </c>
      <c r="J42" s="38">
        <f t="shared" si="33"/>
        <v>1679.9999999999995</v>
      </c>
      <c r="K42" s="40">
        <f t="shared" si="28"/>
        <v>2.7940505350606774E-2</v>
      </c>
      <c r="L42" s="22">
        <f t="shared" si="29"/>
        <v>7.8233414981698952E-3</v>
      </c>
      <c r="M42" s="24">
        <f t="shared" si="30"/>
        <v>7.8233414981698952E-3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419.99999999999989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839.99999999999977</v>
      </c>
      <c r="AF42" s="122">
        <f t="shared" si="31"/>
        <v>0.25</v>
      </c>
      <c r="AG42" s="147">
        <f t="shared" si="34"/>
        <v>419.99999999999989</v>
      </c>
      <c r="AH42" s="123">
        <f t="shared" si="35"/>
        <v>1</v>
      </c>
      <c r="AI42" s="112">
        <f t="shared" si="35"/>
        <v>1679.9999999999995</v>
      </c>
      <c r="AJ42" s="148">
        <f t="shared" si="36"/>
        <v>419.99999999999989</v>
      </c>
      <c r="AK42" s="147">
        <f t="shared" si="37"/>
        <v>1259.9999999999995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116.36687048552572</v>
      </c>
      <c r="K43" s="40">
        <f t="shared" si="28"/>
        <v>2.0117163852436878E-3</v>
      </c>
      <c r="L43" s="22">
        <f t="shared" si="29"/>
        <v>5.6328058786823249E-4</v>
      </c>
      <c r="M43" s="24">
        <f t="shared" si="30"/>
        <v>5.4189152790569948E-4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29.091717621381431</v>
      </c>
      <c r="AB43" s="156">
        <f>Poor!AB43</f>
        <v>0.25</v>
      </c>
      <c r="AC43" s="147">
        <f t="shared" si="39"/>
        <v>29.091717621381431</v>
      </c>
      <c r="AD43" s="156">
        <f>Poor!AD43</f>
        <v>0.25</v>
      </c>
      <c r="AE43" s="147">
        <f t="shared" si="40"/>
        <v>29.091717621381431</v>
      </c>
      <c r="AF43" s="122">
        <f t="shared" si="31"/>
        <v>0.25</v>
      </c>
      <c r="AG43" s="147">
        <f t="shared" si="34"/>
        <v>29.091717621381431</v>
      </c>
      <c r="AH43" s="123">
        <f t="shared" si="35"/>
        <v>1</v>
      </c>
      <c r="AI43" s="112">
        <f t="shared" si="35"/>
        <v>116.36687048552572</v>
      </c>
      <c r="AJ43" s="148">
        <f t="shared" si="36"/>
        <v>58.183435242762862</v>
      </c>
      <c r="AK43" s="147">
        <f t="shared" si="37"/>
        <v>58.183435242762862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0.5</v>
      </c>
      <c r="F46" s="75">
        <f>Middle!F46</f>
        <v>1.1100000000000001</v>
      </c>
      <c r="G46" s="22">
        <f t="shared" si="32"/>
        <v>1.65</v>
      </c>
      <c r="H46" s="24">
        <f t="shared" si="26"/>
        <v>0.55500000000000005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0.4</v>
      </c>
      <c r="F47" s="75">
        <f>Middle!F47</f>
        <v>1.18</v>
      </c>
      <c r="G47" s="22">
        <f t="shared" si="32"/>
        <v>1.65</v>
      </c>
      <c r="H47" s="24">
        <f t="shared" si="26"/>
        <v>0.47199999999999998</v>
      </c>
      <c r="I47" s="39">
        <f t="shared" si="27"/>
        <v>35683.199999999997</v>
      </c>
      <c r="J47" s="38">
        <f t="shared" si="33"/>
        <v>35683.199999999997</v>
      </c>
      <c r="K47" s="40">
        <f t="shared" si="28"/>
        <v>0.35205036741764534</v>
      </c>
      <c r="L47" s="22">
        <f t="shared" si="29"/>
        <v>0.1661677734211286</v>
      </c>
      <c r="M47" s="24">
        <f t="shared" si="30"/>
        <v>0.1661677734211286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8920.7999999999993</v>
      </c>
      <c r="AB47" s="156">
        <f>Poor!AB47</f>
        <v>0.25</v>
      </c>
      <c r="AC47" s="147">
        <f t="shared" si="39"/>
        <v>8920.7999999999993</v>
      </c>
      <c r="AD47" s="156">
        <f>Poor!AD47</f>
        <v>0.25</v>
      </c>
      <c r="AE47" s="147">
        <f t="shared" si="40"/>
        <v>8920.7999999999993</v>
      </c>
      <c r="AF47" s="122">
        <f t="shared" si="31"/>
        <v>0.25</v>
      </c>
      <c r="AG47" s="147">
        <f t="shared" si="34"/>
        <v>8920.7999999999993</v>
      </c>
      <c r="AH47" s="123">
        <f t="shared" si="35"/>
        <v>1</v>
      </c>
      <c r="AI47" s="112">
        <f t="shared" si="35"/>
        <v>35683.199999999997</v>
      </c>
      <c r="AJ47" s="148">
        <f t="shared" si="36"/>
        <v>17841.599999999999</v>
      </c>
      <c r="AK47" s="147">
        <f t="shared" si="37"/>
        <v>17841.599999999999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8991.6</v>
      </c>
      <c r="J49" s="38">
        <f t="shared" si="33"/>
        <v>8991.6</v>
      </c>
      <c r="K49" s="40">
        <f t="shared" si="28"/>
        <v>3.5484441795270605E-2</v>
      </c>
      <c r="L49" s="22">
        <f t="shared" si="29"/>
        <v>4.1871641318419313E-2</v>
      </c>
      <c r="M49" s="24">
        <f t="shared" si="30"/>
        <v>4.1871641318419313E-2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2247.9</v>
      </c>
      <c r="AB49" s="156">
        <f>Poor!AB49</f>
        <v>0.25</v>
      </c>
      <c r="AC49" s="147">
        <f t="shared" si="39"/>
        <v>2247.9</v>
      </c>
      <c r="AD49" s="156">
        <f>Poor!AD49</f>
        <v>0.25</v>
      </c>
      <c r="AE49" s="147">
        <f t="shared" si="40"/>
        <v>2247.9</v>
      </c>
      <c r="AF49" s="122">
        <f t="shared" si="31"/>
        <v>0.25</v>
      </c>
      <c r="AG49" s="147">
        <f t="shared" si="34"/>
        <v>2247.9</v>
      </c>
      <c r="AH49" s="123">
        <f t="shared" si="35"/>
        <v>1</v>
      </c>
      <c r="AI49" s="112">
        <f t="shared" si="35"/>
        <v>8991.6</v>
      </c>
      <c r="AJ49" s="148">
        <f t="shared" si="36"/>
        <v>4495.8</v>
      </c>
      <c r="AK49" s="147">
        <f t="shared" si="37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153371.1</v>
      </c>
      <c r="J65" s="39">
        <f>SUM(J37:J64)</f>
        <v>153523.06189535296</v>
      </c>
      <c r="K65" s="40">
        <f>SUM(K37:K64)</f>
        <v>1.0000000000000002</v>
      </c>
      <c r="L65" s="22">
        <f>SUM(L37:L64)</f>
        <v>0.71494658706727143</v>
      </c>
      <c r="M65" s="24">
        <f>SUM(M37:M64)</f>
        <v>0.71491865538810739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34588.491717621386</v>
      </c>
      <c r="AB65" s="137"/>
      <c r="AC65" s="153">
        <f>SUM(AC37:AC64)</f>
        <v>32752.491717621382</v>
      </c>
      <c r="AD65" s="137"/>
      <c r="AE65" s="153">
        <f>SUM(AE37:AE64)</f>
        <v>33592.491717621386</v>
      </c>
      <c r="AF65" s="137"/>
      <c r="AG65" s="153">
        <f>SUM(AG37:AG64)</f>
        <v>52589.586742488813</v>
      </c>
      <c r="AH65" s="137"/>
      <c r="AI65" s="153">
        <f>SUM(AI37:AI64)</f>
        <v>153523.06189535296</v>
      </c>
      <c r="AJ65" s="153">
        <f>SUM(AJ37:AJ64)</f>
        <v>67340.983435242772</v>
      </c>
      <c r="AK65" s="153">
        <f>SUM(AK37:AK64)</f>
        <v>86182.078460110191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132460.92645476657</v>
      </c>
      <c r="J74" s="51">
        <f>J128*I$83</f>
        <v>8335.2964664967585</v>
      </c>
      <c r="K74" s="40">
        <f>B74/B$76</f>
        <v>2.7766116637823381E-2</v>
      </c>
      <c r="L74" s="22">
        <f>(L128*G$37*F$9/F$7)/B$130</f>
        <v>1.8429418979710517E-2</v>
      </c>
      <c r="M74" s="24">
        <f>J74/B$76</f>
        <v>3.8815399253507736E-2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1523.6642316403329</v>
      </c>
      <c r="AB74" s="156"/>
      <c r="AC74" s="147">
        <f>AC30*$I$83/4</f>
        <v>2419.7040107401576</v>
      </c>
      <c r="AD74" s="156"/>
      <c r="AE74" s="147">
        <f>AE30*$I$83/4</f>
        <v>2367.1988571351044</v>
      </c>
      <c r="AF74" s="156"/>
      <c r="AG74" s="147">
        <f>AG30*$I$83/4</f>
        <v>2024.7293669811629</v>
      </c>
      <c r="AH74" s="155"/>
      <c r="AI74" s="147">
        <f>SUM(AA74,AC74,AE74,AG74)</f>
        <v>8335.2964664967567</v>
      </c>
      <c r="AJ74" s="148">
        <f>(AA74+AC74)</f>
        <v>3943.3682423804903</v>
      </c>
      <c r="AK74" s="147">
        <f>(AE74+AG74)</f>
        <v>4391.9282241162673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59940.845216956077</v>
      </c>
      <c r="K75" s="40">
        <f>B75/B$76</f>
        <v>0.64878292866648568</v>
      </c>
      <c r="L75" s="22">
        <f>(L129*G$37*F$9/F$7)/B$130</f>
        <v>0.29954349637033706</v>
      </c>
      <c r="M75" s="24">
        <f>J75/B$76</f>
        <v>0.27912958441737562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27837.284099672688</v>
      </c>
      <c r="AB75" s="158"/>
      <c r="AC75" s="149">
        <f>AA75+AC65-SUM(AC70,AC74)</f>
        <v>52942.528420245544</v>
      </c>
      <c r="AD75" s="158"/>
      <c r="AE75" s="149">
        <f>AC75+AE65-SUM(AE70,AE74)</f>
        <v>78940.27789442346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124277.59188362275</v>
      </c>
      <c r="AJ75" s="151">
        <f>AJ76-SUM(AJ70,AJ74)</f>
        <v>52942.528420245551</v>
      </c>
      <c r="AK75" s="149">
        <f>AJ75+AK76-SUM(AK70,AK74)</f>
        <v>124277.59188362275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153371.1</v>
      </c>
      <c r="J76" s="51">
        <f>J130*I$83</f>
        <v>153523.06189535296</v>
      </c>
      <c r="K76" s="40">
        <f>SUM(K70:K75)</f>
        <v>0.79825713336624071</v>
      </c>
      <c r="L76" s="22">
        <f>SUM(L70:L75)</f>
        <v>0.47689000443943602</v>
      </c>
      <c r="M76" s="24">
        <f>SUM(M70:M75)</f>
        <v>0.47686207276027182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34588.491717621386</v>
      </c>
      <c r="AB76" s="137"/>
      <c r="AC76" s="153">
        <f>AC65</f>
        <v>32752.491717621382</v>
      </c>
      <c r="AD76" s="137"/>
      <c r="AE76" s="153">
        <f>AE65</f>
        <v>33592.491717621386</v>
      </c>
      <c r="AF76" s="137"/>
      <c r="AG76" s="153">
        <f>AG65</f>
        <v>52589.586742488813</v>
      </c>
      <c r="AH76" s="137"/>
      <c r="AI76" s="153">
        <f>SUM(AA76,AC76,AE76,AG76)</f>
        <v>153523.06189535296</v>
      </c>
      <c r="AJ76" s="154">
        <f>SUM(AA76,AC76)</f>
        <v>67340.983435242772</v>
      </c>
      <c r="AK76" s="154">
        <f>SUM(AE76,AG76)</f>
        <v>86182.078460110206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27837.284099672688</v>
      </c>
      <c r="AD78" s="112"/>
      <c r="AE78" s="112">
        <f>AC75</f>
        <v>52942.528420245544</v>
      </c>
      <c r="AF78" s="112"/>
      <c r="AG78" s="112">
        <f>AE75</f>
        <v>78940.27789442346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29360.948331313022</v>
      </c>
      <c r="AB79" s="112"/>
      <c r="AC79" s="112">
        <f>AA79-AA74+AC65-AC70</f>
        <v>55362.232430985707</v>
      </c>
      <c r="AD79" s="112"/>
      <c r="AE79" s="112">
        <f>AC79-AC74+AE65-AE70</f>
        <v>81307.47675155857</v>
      </c>
      <c r="AF79" s="112"/>
      <c r="AG79" s="112">
        <f>AE79-AE74+AG65-AG70</f>
        <v>126302.32125060391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0.3575757575757576</v>
      </c>
      <c r="I91" s="22">
        <f t="shared" ref="I91" si="52">(D91*H91)</f>
        <v>0.67894074622675127</v>
      </c>
      <c r="J91" s="24">
        <f>IF(I$32&lt;=1+I$131,I91,L91+J$33*(I91-L91))</f>
        <v>0.67894074622675127</v>
      </c>
      <c r="K91" s="22">
        <f t="shared" ref="K91" si="53">(B91)</f>
        <v>1.8987325953798975</v>
      </c>
      <c r="L91" s="22">
        <f t="shared" ref="L91" si="54">(K91*H91)</f>
        <v>0.67894074622675127</v>
      </c>
      <c r="M91" s="226">
        <f t="shared" si="50"/>
        <v>0.67894074622675127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0.3575757575757576</v>
      </c>
      <c r="I92" s="22">
        <f t="shared" ref="I92:I118" si="59">(D92*H92)</f>
        <v>0.31896545124746706</v>
      </c>
      <c r="J92" s="24">
        <f t="shared" ref="J92:J118" si="60">IF(I$32&lt;=1+I$131,I92,L92+J$33*(I92-L92))</f>
        <v>0.24590507049453952</v>
      </c>
      <c r="K92" s="22">
        <f t="shared" ref="K92:K118" si="61">(B92)</f>
        <v>0.67963582832390068</v>
      </c>
      <c r="L92" s="22">
        <f t="shared" ref="L92:L118" si="62">(K92*H92)</f>
        <v>0.24302129618854632</v>
      </c>
      <c r="M92" s="226">
        <f t="shared" ref="M92:M118" si="63">(J92)</f>
        <v>0.24590507049453952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0.3575757575757576</v>
      </c>
      <c r="I93" s="22">
        <f t="shared" si="59"/>
        <v>7.2906388856563892E-2</v>
      </c>
      <c r="J93" s="24">
        <f t="shared" si="60"/>
        <v>7.2906388856563892E-2</v>
      </c>
      <c r="K93" s="22">
        <f t="shared" si="61"/>
        <v>0.2038907484971702</v>
      </c>
      <c r="L93" s="22">
        <f t="shared" si="62"/>
        <v>7.2906388856563892E-2</v>
      </c>
      <c r="M93" s="226">
        <f t="shared" si="63"/>
        <v>7.2906388856563892E-2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6">
        <f t="shared" si="63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7.4893081829441641E-2</v>
      </c>
      <c r="K95" s="22">
        <f t="shared" si="61"/>
        <v>0.30583612274575533</v>
      </c>
      <c r="L95" s="22">
        <f t="shared" si="62"/>
        <v>7.7849194880737729E-2</v>
      </c>
      <c r="M95" s="226">
        <f t="shared" si="63"/>
        <v>7.4893081829441641E-2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0.16969696969696968</v>
      </c>
      <c r="I96" s="22">
        <f t="shared" si="59"/>
        <v>8.6499105423041886E-2</v>
      </c>
      <c r="J96" s="24">
        <f t="shared" si="60"/>
        <v>8.6499105423041886E-2</v>
      </c>
      <c r="K96" s="22">
        <f t="shared" si="61"/>
        <v>0.50972687124292548</v>
      </c>
      <c r="L96" s="22">
        <f t="shared" si="62"/>
        <v>8.6499105423041886E-2</v>
      </c>
      <c r="M96" s="226">
        <f t="shared" si="63"/>
        <v>8.6499105423041886E-2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5.99144654635533E-3</v>
      </c>
      <c r="K97" s="22">
        <f t="shared" si="61"/>
        <v>3.6700334729490636E-2</v>
      </c>
      <c r="L97" s="22">
        <f t="shared" si="62"/>
        <v>6.2279355904590163E-3</v>
      </c>
      <c r="M97" s="226">
        <f t="shared" si="63"/>
        <v>5.99144654635533E-3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0.33636363636363642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0.28606060606060607</v>
      </c>
      <c r="I101" s="22">
        <f t="shared" si="59"/>
        <v>1.8372409991854102</v>
      </c>
      <c r="J101" s="24">
        <f t="shared" si="60"/>
        <v>1.8372409991854102</v>
      </c>
      <c r="K101" s="22">
        <f t="shared" si="61"/>
        <v>6.4225585776608618</v>
      </c>
      <c r="L101" s="22">
        <f t="shared" si="62"/>
        <v>1.8372409991854102</v>
      </c>
      <c r="M101" s="226">
        <f t="shared" si="63"/>
        <v>1.8372409991854102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6">
        <f t="shared" si="63"/>
        <v>3.047487054204371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0.7151515151515152</v>
      </c>
      <c r="I103" s="22">
        <f t="shared" si="59"/>
        <v>0.46295556923918074</v>
      </c>
      <c r="J103" s="24">
        <f t="shared" si="60"/>
        <v>0.46295556923918074</v>
      </c>
      <c r="K103" s="22">
        <f t="shared" si="61"/>
        <v>0.64735312647851539</v>
      </c>
      <c r="L103" s="22">
        <f t="shared" si="62"/>
        <v>0.46295556923918074</v>
      </c>
      <c r="M103" s="226">
        <f t="shared" si="63"/>
        <v>0.46295556923918074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6">
        <f t="shared" si="63"/>
        <v>0.87734806929085374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6">
        <f t="shared" si="63"/>
        <v>0.51436075189058861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7.8967041355642289</v>
      </c>
      <c r="J119" s="24">
        <f>SUM(J91:J118)</f>
        <v>7.9045282831870978</v>
      </c>
      <c r="K119" s="22">
        <f>SUM(K91:K118)</f>
        <v>18.243294630741381</v>
      </c>
      <c r="L119" s="22">
        <f>SUM(L91:L118)</f>
        <v>7.904837110976505</v>
      </c>
      <c r="M119" s="57">
        <f t="shared" si="50"/>
        <v>7.9045282831870978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6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6.8200902630027702</v>
      </c>
      <c r="J128" s="227">
        <f>(J30)</f>
        <v>0.42916409987369752</v>
      </c>
      <c r="K128" s="22">
        <f>(B128)</f>
        <v>0.5065454465753424</v>
      </c>
      <c r="L128" s="22">
        <f>IF(L124=L119,0,(L119-L124)/(B119-B124)*K128)</f>
        <v>0.20376564867893104</v>
      </c>
      <c r="M128" s="57">
        <f t="shared" si="90"/>
        <v>0.42916409987369752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3.0862080295045962</v>
      </c>
      <c r="K129" s="29">
        <f>(B129)</f>
        <v>11.835938119057971</v>
      </c>
      <c r="L129" s="60">
        <f>IF(SUM(L124:L128)&gt;L130,0,L130-SUM(L124:L128))</f>
        <v>3.3119153084887705</v>
      </c>
      <c r="M129" s="57">
        <f t="shared" si="90"/>
        <v>3.0862080295045962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7.8967041355642289</v>
      </c>
      <c r="J130" s="227">
        <f>(J119)</f>
        <v>7.9045282831870978</v>
      </c>
      <c r="K130" s="22">
        <f>(B130)</f>
        <v>18.243294630741381</v>
      </c>
      <c r="L130" s="22">
        <f>(L119)</f>
        <v>7.904837110976505</v>
      </c>
      <c r="M130" s="57">
        <f t="shared" si="90"/>
        <v>7.9045282831870978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0.9464869415556576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29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3:N11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6:N28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12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1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2" workbookViewId="0">
      <selection activeCell="B88" sqref="B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ZAKHC: 59208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414.0773225620311</v>
      </c>
      <c r="G72" s="109">
        <f>Poor!T7</f>
        <v>1305.9185369471618</v>
      </c>
      <c r="H72" s="109">
        <f>Middle!T7</f>
        <v>5379.2251456426266</v>
      </c>
      <c r="I72" s="109">
        <f>Rich!T7</f>
        <v>896.03977909982518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444.24851808903816</v>
      </c>
      <c r="H73" s="109">
        <f>Middle!T8</f>
        <v>5795.8952412628869</v>
      </c>
      <c r="I73" s="109">
        <f>Rich!T8</f>
        <v>3250.9527515545969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39.331052674964965</v>
      </c>
      <c r="G74" s="109">
        <f>Poor!T9</f>
        <v>188.24371013301172</v>
      </c>
      <c r="H74" s="109">
        <f>Middle!T9</f>
        <v>546.60016855377023</v>
      </c>
      <c r="I74" s="109">
        <f>Rich!T9</f>
        <v>670.6267001855233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758.57142857142856</v>
      </c>
      <c r="G76" s="109">
        <f>Poor!T11</f>
        <v>5075.8608076190048</v>
      </c>
      <c r="H76" s="109">
        <f>Middle!T11</f>
        <v>19982.215006217557</v>
      </c>
      <c r="I76" s="109">
        <f>Rich!T11</f>
        <v>19378.509143798357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4122.8571428571431</v>
      </c>
      <c r="G78" s="109">
        <f>Poor!T13</f>
        <v>2752.8000000000006</v>
      </c>
      <c r="H78" s="109">
        <f>Middle!T13</f>
        <v>10357.028571428571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35683.199999999997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10276.114285714286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27268.114285714288</v>
      </c>
      <c r="G85" s="109">
        <f>Poor!T20</f>
        <v>25983.599999999999</v>
      </c>
      <c r="H85" s="109">
        <f>Middle!T20</f>
        <v>0</v>
      </c>
      <c r="I85" s="109">
        <f>Rich!T20</f>
        <v>8991.6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34915.113872928079</v>
      </c>
      <c r="G88" s="109">
        <f>Poor!T23</f>
        <v>55663.71421333644</v>
      </c>
      <c r="H88" s="109">
        <f>Middle!T23</f>
        <v>69872.098202225068</v>
      </c>
      <c r="I88" s="109">
        <f>Rich!T23</f>
        <v>155089.7283746383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1054.2930991339817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3038.5228533498084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19437.119765800642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35776.442853349821</v>
      </c>
      <c r="C100" s="238">
        <f t="shared" si="0"/>
        <v>417.28373872459633</v>
      </c>
      <c r="D100" s="238">
        <f t="shared" si="0"/>
        <v>0</v>
      </c>
      <c r="E100" s="238">
        <f t="shared" si="0"/>
        <v>0</v>
      </c>
      <c r="F100" s="238">
        <f t="shared" si="0"/>
        <v>52175.039765800655</v>
      </c>
      <c r="G100" s="238">
        <f t="shared" si="0"/>
        <v>31426.43942539228</v>
      </c>
      <c r="H100" s="238">
        <f t="shared" si="0"/>
        <v>17218.055436503666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2016-06-04T22:20:38Z</dcterms:modified>
  <cp:category/>
</cp:coreProperties>
</file>