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<sst xmlns="http://schemas.openxmlformats.org/spreadsheetml/2006/main" count="790" uniqueCount="145">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</sst>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0.00166846326276463</c:v>
                </c:pt>
                <c:pt idx="2" formatCode="0.0%">
                  <c:v>0.00166846326276463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0.00319800747198007</c:v>
                </c:pt>
                <c:pt idx="2" formatCode="0.0%">
                  <c:v>0.00355448230705284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0.00108156911581569</c:v>
                </c:pt>
                <c:pt idx="2" formatCode="0.0%">
                  <c:v>0.00108156911581569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0.0394304794520548</c:v>
                </c:pt>
                <c:pt idx="2" formatCode="0.0%">
                  <c:v>0.026048694548083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0.0236582876712329</c:v>
                </c:pt>
                <c:pt idx="2" formatCode="0.0%">
                  <c:v>0.0156292167288498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0.006107148351031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0.0047671778962214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0.153500893180598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0.123564869843923</c:v>
                </c:pt>
                <c:pt idx="2" formatCode="0.0%">
                  <c:v>0.566735948740719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440904"/>
        <c:axId val="-2045445688"/>
      </c:barChart>
      <c:catAx>
        <c:axId val="-204544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44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44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44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0.0386176201073439</c:v>
                </c:pt>
                <c:pt idx="2">
                  <c:v>0.0394930354395136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0.00289632150805079</c:v>
                </c:pt>
                <c:pt idx="2">
                  <c:v>0.00296197765796352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0.00791726665793952</c:v>
                </c:pt>
                <c:pt idx="2">
                  <c:v>0.00755831669665392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0.00114543788453986</c:v>
                </c:pt>
                <c:pt idx="2">
                  <c:v>0.00115322759724137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949816"/>
        <c:axId val="2078942200"/>
      </c:barChart>
      <c:catAx>
        <c:axId val="207894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94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94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94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0.0173007843999707</c:v>
                </c:pt>
                <c:pt idx="2">
                  <c:v>0.0173007843999707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0.0038926764899934</c:v>
                </c:pt>
                <c:pt idx="2">
                  <c:v>0.00386977674810702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0.0110842313613371</c:v>
                </c:pt>
                <c:pt idx="2">
                  <c:v>0.0108886132272569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0.00102631771864233</c:v>
                </c:pt>
                <c:pt idx="2">
                  <c:v>0.00102631771864233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0.435979766879261</c:v>
                </c:pt>
                <c:pt idx="2">
                  <c:v>0.435979766879261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744648"/>
        <c:axId val="2078747528"/>
      </c:barChart>
      <c:catAx>
        <c:axId val="207874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74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74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744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0.0146648044692737</c:v>
                </c:pt>
                <c:pt idx="2">
                  <c:v>0.0146648044692737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0.0184357541899441</c:v>
                </c:pt>
                <c:pt idx="2">
                  <c:v>0.0184357541899441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0.125698324022346</c:v>
                </c:pt>
                <c:pt idx="2">
                  <c:v>0.125698324022346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469400"/>
        <c:axId val="2078472424"/>
      </c:barChart>
      <c:catAx>
        <c:axId val="207846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47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47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469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526.7151939839341</c:v>
                </c:pt>
                <c:pt idx="5">
                  <c:v>1171.839585376672</c:v>
                </c:pt>
                <c:pt idx="6">
                  <c:v>1437.078396594501</c:v>
                </c:pt>
                <c:pt idx="7">
                  <c:v>1915.746706354649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62.06242871167509</c:v>
                </c:pt>
                <c:pt idx="6">
                  <c:v>1277.71174773247</c:v>
                </c:pt>
                <c:pt idx="7">
                  <c:v>3900.757752792267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17.72332934541102</c:v>
                </c:pt>
                <c:pt idx="6">
                  <c:v>105.1491898820714</c:v>
                </c:pt>
                <c:pt idx="7">
                  <c:v>151.2575388822424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2206.305</c:v>
                </c:pt>
                <c:pt idx="6">
                  <c:v>6226.825824991256</c:v>
                </c:pt>
                <c:pt idx="7">
                  <c:v>6930.902990902269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4206.900000000001</c:v>
                </c:pt>
                <c:pt idx="5">
                  <c:v>7335.825569375693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5664.0</c:v>
                </c:pt>
                <c:pt idx="6">
                  <c:v>0.0</c:v>
                </c:pt>
                <c:pt idx="7">
                  <c:v>142732.8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5480.724747719377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095816"/>
        <c:axId val="-21413534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095816"/>
        <c:axId val="-2141353448"/>
      </c:lineChart>
      <c:catAx>
        <c:axId val="-214209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35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35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09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209368"/>
        <c:axId val="-21412226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209368"/>
        <c:axId val="-2141222616"/>
      </c:lineChart>
      <c:catAx>
        <c:axId val="-214120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2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222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0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360040"/>
        <c:axId val="-21413629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60040"/>
        <c:axId val="-2141362936"/>
      </c:lineChart>
      <c:catAx>
        <c:axId val="-214136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36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36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36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0.106070323849281</c:v>
                </c:pt>
                <c:pt idx="2">
                  <c:v>0.0283492329906909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0.0236757840792445</c:v>
                </c:pt>
                <c:pt idx="2">
                  <c:v>0.10859007069954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-0.142617344690298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443240"/>
        <c:axId val="-2141448808"/>
      </c:barChart>
      <c:catAx>
        <c:axId val="-214144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44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44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44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0.193999414754994</c:v>
                </c:pt>
                <c:pt idx="2">
                  <c:v>0.173352280051127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558536"/>
        <c:axId val="-2141563912"/>
      </c:barChart>
      <c:catAx>
        <c:axId val="-214155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56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56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55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0.00777939594475183</c:v>
                </c:pt>
                <c:pt idx="2">
                  <c:v>0.0155425003336822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0.335147547187788</c:v>
                </c:pt>
                <c:pt idx="2">
                  <c:v>0.327165924922891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0.00777939594475183</c:v>
                </c:pt>
                <c:pt idx="2">
                  <c:v>0.0155425003336822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635480"/>
        <c:axId val="-2141643448"/>
      </c:barChart>
      <c:catAx>
        <c:axId val="-214163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64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64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63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0.110403682262701</c:v>
                </c:pt>
                <c:pt idx="2">
                  <c:v>0.124246351747829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0.0523107931414721</c:v>
                </c:pt>
                <c:pt idx="2">
                  <c:v>0.124246351747829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-0.520425788917409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739928"/>
        <c:axId val="-2141743016"/>
      </c:barChart>
      <c:catAx>
        <c:axId val="-214173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743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743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73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0.00800862366127023</c:v>
                </c:pt>
                <c:pt idx="2" formatCode="0.0%">
                  <c:v>0.00800862366127023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0.113559780821918</c:v>
                </c:pt>
                <c:pt idx="2" formatCode="0.0%">
                  <c:v>0.123856839312111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0.0114889337484433</c:v>
                </c:pt>
                <c:pt idx="2" formatCode="0.0%">
                  <c:v>0.0114288321157268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0.0126257964682241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0.00985556832516558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0.261257586688962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0.277850218143398</c:v>
                </c:pt>
                <c:pt idx="2" formatCode="0.0%">
                  <c:v>0.57107669738869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688760"/>
        <c:axId val="-2045685464"/>
      </c:barChart>
      <c:catAx>
        <c:axId val="-204568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68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68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68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764744"/>
        <c:axId val="-20389794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764744"/>
        <c:axId val="-20389794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764744"/>
        <c:axId val="-2038979496"/>
      </c:scatterChart>
      <c:catAx>
        <c:axId val="2029764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979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979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9764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655624"/>
        <c:axId val="21159801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55624"/>
        <c:axId val="2115980184"/>
      </c:lineChart>
      <c:catAx>
        <c:axId val="21156556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9801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5980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6556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82664"/>
        <c:axId val="21158791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76728"/>
        <c:axId val="2115872632"/>
      </c:scatterChart>
      <c:valAx>
        <c:axId val="21158826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879112"/>
        <c:crosses val="autoZero"/>
        <c:crossBetween val="midCat"/>
      </c:valAx>
      <c:valAx>
        <c:axId val="2115879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882664"/>
        <c:crosses val="autoZero"/>
        <c:crossBetween val="midCat"/>
      </c:valAx>
      <c:valAx>
        <c:axId val="21158767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5872632"/>
        <c:crosses val="autoZero"/>
        <c:crossBetween val="midCat"/>
      </c:valAx>
      <c:valAx>
        <c:axId val="2115872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8767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88776"/>
        <c:axId val="21156805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88776"/>
        <c:axId val="2115680536"/>
      </c:lineChart>
      <c:catAx>
        <c:axId val="211568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680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5680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6887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0.00623066749688667</c:v>
                </c:pt>
                <c:pt idx="2">
                  <c:v>0.00623066749688667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0.158983693150685</c:v>
                </c:pt>
                <c:pt idx="2">
                  <c:v>0.171509568709157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>
                  <c:v>0.00883764134495641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0.0129919984714281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0.0202828437695568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0.293123035103021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0.239758861375507</c:v>
                </c:pt>
                <c:pt idx="2">
                  <c:v>0.479015621443724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183624"/>
        <c:axId val="2089056728"/>
      </c:barChart>
      <c:catAx>
        <c:axId val="208918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05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056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183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0.0117313823163138</c:v>
                </c:pt>
                <c:pt idx="2" formatCode="0.0%">
                  <c:v>0.0117313823163138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0.130460005330514</c:v>
                </c:pt>
                <c:pt idx="2" formatCode="0.0%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010344"/>
        <c:axId val="-2045479128"/>
      </c:barChart>
      <c:catAx>
        <c:axId val="-204501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479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47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01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0.00113455501867995</c:v>
                </c:pt>
                <c:pt idx="1">
                  <c:v>0.00113455501867995</c:v>
                </c:pt>
                <c:pt idx="2">
                  <c:v>0.00220237150684931</c:v>
                </c:pt>
                <c:pt idx="3">
                  <c:v>0.00220237150684931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0.378532602739726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0.0142179292282114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0.00432627646326276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0.104194778192332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0.0625168669153992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0.0095343557924428</c:v>
                </c:pt>
                <c:pt idx="3">
                  <c:v>0.0095343557924428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0.153500893180598</c:v>
                </c:pt>
                <c:pt idx="1">
                  <c:v>0.153500893180598</c:v>
                </c:pt>
                <c:pt idx="2">
                  <c:v>0.153500893180598</c:v>
                </c:pt>
                <c:pt idx="3">
                  <c:v>0.153500893180598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0.178571406598639</c:v>
                </c:pt>
                <c:pt idx="1">
                  <c:v>0.125623118494057</c:v>
                </c:pt>
                <c:pt idx="2">
                  <c:v>-0.254539335690699</c:v>
                </c:pt>
                <c:pt idx="3">
                  <c:v>-0.260381854344238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505160"/>
        <c:axId val="2089497720"/>
      </c:barChart>
      <c:catAx>
        <c:axId val="2089505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497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949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505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0.15141304109589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0.031440104607721</c:v>
                </c:pt>
                <c:pt idx="3">
                  <c:v>0.0154854246575342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0.309863007954815</c:v>
                </c:pt>
                <c:pt idx="1">
                  <c:v>0.309863007954815</c:v>
                </c:pt>
                <c:pt idx="2">
                  <c:v>0.309863007954815</c:v>
                </c:pt>
                <c:pt idx="3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271608"/>
        <c:axId val="2089265608"/>
      </c:barChart>
      <c:catAx>
        <c:axId val="20892716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65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9265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71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0.00756022415940224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0.495427357248443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0.0457153284629073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0.0197111366503312</c:v>
                </c:pt>
                <c:pt idx="3">
                  <c:v>0.0197111366503312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0.261257586688962</c:v>
                </c:pt>
                <c:pt idx="1">
                  <c:v>0.261257586688962</c:v>
                </c:pt>
                <c:pt idx="2">
                  <c:v>0.261257586688962</c:v>
                </c:pt>
                <c:pt idx="3">
                  <c:v>0.261257586688962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0.1795280670418</c:v>
                </c:pt>
                <c:pt idx="1">
                  <c:v>0.72067075275315</c:v>
                </c:pt>
                <c:pt idx="2">
                  <c:v>0.695834096959606</c:v>
                </c:pt>
                <c:pt idx="3">
                  <c:v>0.688273872800203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875832"/>
        <c:axId val="2088862088"/>
      </c:barChart>
      <c:catAx>
        <c:axId val="2088875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862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886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87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0.0249226699875467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0.654703188858419</c:v>
                </c:pt>
                <c:pt idx="1">
                  <c:v>0.0313350859782083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0.033735913477468</c:v>
                </c:pt>
                <c:pt idx="1">
                  <c:v>0.00161465190235763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0.0405656875391135</c:v>
                </c:pt>
                <c:pt idx="3">
                  <c:v>0.0405656875391135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0.293123035103021</c:v>
                </c:pt>
                <c:pt idx="1">
                  <c:v>0.293123035103021</c:v>
                </c:pt>
                <c:pt idx="2">
                  <c:v>0.293123035103021</c:v>
                </c:pt>
                <c:pt idx="3">
                  <c:v>0.293123035103021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0.655489364455321</c:v>
                </c:pt>
                <c:pt idx="2">
                  <c:v>0.642747895653561</c:v>
                </c:pt>
                <c:pt idx="3">
                  <c:v>0.617825225666014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626584"/>
        <c:axId val="2079286712"/>
      </c:barChart>
      <c:catAx>
        <c:axId val="20786265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286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928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62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0.0339221132946726</c:v>
                </c:pt>
                <c:pt idx="2">
                  <c:v>0.0339221132946726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0.00564038275958477</c:v>
                </c:pt>
                <c:pt idx="2">
                  <c:v>0.00564038275958477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0.000234129095680877</c:v>
                </c:pt>
                <c:pt idx="2">
                  <c:v>0.000234129095680877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0.00202022024008153</c:v>
                </c:pt>
                <c:pt idx="2">
                  <c:v>0.00111946227349949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0.0338368852532941</c:v>
                </c:pt>
                <c:pt idx="2">
                  <c:v>0.0338368852532941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0.0514560917757195</c:v>
                </c:pt>
                <c:pt idx="2">
                  <c:v>0.0514560917757195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0.0390425599076471</c:v>
                </c:pt>
                <c:pt idx="2">
                  <c:v>0.0390425599076471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0.102165423569837</c:v>
                </c:pt>
                <c:pt idx="2">
                  <c:v>0.102165423569837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0.0988595630862359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098616"/>
        <c:axId val="2079101608"/>
      </c:barChart>
      <c:catAx>
        <c:axId val="207909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10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10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098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526.71519398393411</v>
      </c>
      <c r="T7" s="221">
        <f>IF($B$81=0,0,(SUMIF($N$6:$N$28,$U7,M$6:M$28)+SUMIF($N$91:$N$118,$U7,M$91:M$118))*$I$83*Poor!$B$81/$B$81)</f>
        <v>526.71519398393411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3.7853260273972594E-2</v>
      </c>
      <c r="J8" s="24">
        <f t="shared" si="3"/>
        <v>3.7853260273972594E-2</v>
      </c>
      <c r="K8" s="22">
        <f t="shared" si="4"/>
        <v>0.12617753424657532</v>
      </c>
      <c r="L8" s="22">
        <f t="shared" si="5"/>
        <v>3.7853260273972594E-2</v>
      </c>
      <c r="M8" s="223">
        <f t="shared" si="6"/>
        <v>3.7853260273972594E-2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0.15141304109589038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0.15141304109589038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3.7853260273972594E-2</v>
      </c>
      <c r="AJ8" s="120">
        <f t="shared" si="14"/>
        <v>7.5706520547945189E-2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0.2</v>
      </c>
      <c r="H12" s="24">
        <f t="shared" si="1"/>
        <v>0.2</v>
      </c>
      <c r="I12" s="22">
        <f t="shared" si="2"/>
        <v>1.1731382316313823E-2</v>
      </c>
      <c r="J12" s="24">
        <f t="shared" si="3"/>
        <v>1.1731382316313823E-2</v>
      </c>
      <c r="K12" s="22">
        <f t="shared" si="4"/>
        <v>5.8656911581569111E-2</v>
      </c>
      <c r="L12" s="22">
        <f t="shared" si="5"/>
        <v>1.1731382316313823E-2</v>
      </c>
      <c r="M12" s="223">
        <f t="shared" si="6"/>
        <v>1.1731382316313823E-2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4.6925529265255291E-2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3.1440104607721044E-2</v>
      </c>
      <c r="AF12" s="122">
        <f>1-SUM(Z12,AB12,AD12)</f>
        <v>0.32999999999999996</v>
      </c>
      <c r="AG12" s="121">
        <f>$M12*AF12*4</f>
        <v>1.5485424657534243E-2</v>
      </c>
      <c r="AH12" s="123">
        <f t="shared" si="12"/>
        <v>1</v>
      </c>
      <c r="AI12" s="183">
        <f t="shared" si="13"/>
        <v>1.1731382316313821E-2</v>
      </c>
      <c r="AJ12" s="120">
        <f t="shared" si="14"/>
        <v>0</v>
      </c>
      <c r="AK12" s="119">
        <f t="shared" si="15"/>
        <v>2.3462764632627642E-2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4206.9000000000005</v>
      </c>
      <c r="T13" s="221">
        <f>IF($B$81=0,0,(SUMIF($N$6:$N$28,$U13,M$6:M$28)+SUMIF($N$91:$N$118,$U13,M$91:M$118))*$I$83*Poor!$B$81/$B$81)</f>
        <v>4206.9000000000005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27605.059985076969</v>
      </c>
      <c r="T23" s="179">
        <f>SUM(T7:T22)</f>
        <v>27971.779985076966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0.30986300795481503</v>
      </c>
      <c r="J30" s="230">
        <f>IF(I$32&lt;=1,I30,1-SUM(J6:J29))</f>
        <v>0.30986300795481503</v>
      </c>
      <c r="K30" s="22">
        <f t="shared" si="4"/>
        <v>0.75497962640099636</v>
      </c>
      <c r="L30" s="22">
        <f>IF(L124=L119,0,IF(K30="",0,(L119-L124)/(B119-B124)*K30))</f>
        <v>0.13046000533051391</v>
      </c>
      <c r="M30" s="175">
        <f t="shared" si="6"/>
        <v>0.30986300795481503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3358.5579376132337</v>
      </c>
      <c r="T30" s="233">
        <f t="shared" si="24"/>
        <v>2991.8379376132361</v>
      </c>
      <c r="V30" s="56"/>
      <c r="W30" s="110"/>
      <c r="X30" s="118"/>
      <c r="Y30" s="183">
        <f>M30*4</f>
        <v>1.2394520318192601</v>
      </c>
      <c r="Z30" s="122">
        <f>IF($Y30=0,0,AA30/($Y$30))</f>
        <v>0.24999999999999978</v>
      </c>
      <c r="AA30" s="187">
        <f>IF(AA79*4/$I$83+SUM(AA6:AA29)&lt;1,AA79*4/$I$83,1-SUM(AA6:AA29))</f>
        <v>0.30986300795481475</v>
      </c>
      <c r="AB30" s="122">
        <f>IF($Y30=0,0,AC30/($Y$30))</f>
        <v>0.24999999999999978</v>
      </c>
      <c r="AC30" s="187">
        <f>IF(AC79*4/$I$83+SUM(AC6:AC29)&lt;1,AC79*4/$I$83,1-SUM(AC6:AC29))</f>
        <v>0.30986300795481475</v>
      </c>
      <c r="AD30" s="122">
        <f>IF($Y30=0,0,AE30/($Y$30))</f>
        <v>0.24999999999999978</v>
      </c>
      <c r="AE30" s="187">
        <f>IF(AE79*4/$I$83+SUM(AE6:AE29)&lt;1,AE79*4/$I$83,1-SUM(AE6:AE29))</f>
        <v>0.30986300795481475</v>
      </c>
      <c r="AF30" s="122">
        <f>IF($Y30=0,0,AG30/($Y$30))</f>
        <v>0.24999999999999978</v>
      </c>
      <c r="AG30" s="187">
        <f>IF(AG79*4/$I$83+SUM(AG6:AG29)&lt;1,AG79*4/$I$83,1-SUM(AG6:AG29))</f>
        <v>0.30986300795481475</v>
      </c>
      <c r="AH30" s="123">
        <f t="shared" si="12"/>
        <v>0.99999999999999911</v>
      </c>
      <c r="AI30" s="183">
        <f t="shared" si="13"/>
        <v>0.30986300795481475</v>
      </c>
      <c r="AJ30" s="120">
        <f t="shared" si="14"/>
        <v>0.30986300795481475</v>
      </c>
      <c r="AK30" s="119">
        <f t="shared" si="15"/>
        <v>0.30986300795481475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0.28164977300642768</v>
      </c>
      <c r="K31" s="22" t="str">
        <f t="shared" si="4"/>
        <v/>
      </c>
      <c r="L31" s="22">
        <f>(1-SUM(L6:L30))</f>
        <v>0.6451250364967609</v>
      </c>
      <c r="M31" s="240">
        <f t="shared" si="6"/>
        <v>0.28164977300642768</v>
      </c>
      <c r="N31" s="167">
        <f>M31*I83</f>
        <v>2991.8379376132284</v>
      </c>
      <c r="P31" s="22"/>
      <c r="Q31" s="237" t="s">
        <v>142</v>
      </c>
      <c r="R31" s="233">
        <f t="shared" si="24"/>
        <v>3107.5149048317398</v>
      </c>
      <c r="S31" s="233">
        <f t="shared" si="24"/>
        <v>17145.677937613229</v>
      </c>
      <c r="T31" s="233">
        <f>IF(T25&gt;T$23,T25-T$23,0)</f>
        <v>16778.957937613231</v>
      </c>
      <c r="V31" s="56"/>
      <c r="W31" s="129" t="s">
        <v>84</v>
      </c>
      <c r="X31" s="130"/>
      <c r="Y31" s="121">
        <f>M31*4</f>
        <v>1.1265990920257107</v>
      </c>
      <c r="Z31" s="131"/>
      <c r="AA31" s="132">
        <f>1-AA32+IF($Y32&lt;0,$Y32/4,0)</f>
        <v>0.18503532219696339</v>
      </c>
      <c r="AB31" s="131"/>
      <c r="AC31" s="133">
        <f>1-AC32+IF($Y32&lt;0,$Y32/4,0)</f>
        <v>0.33644836329285388</v>
      </c>
      <c r="AD31" s="134"/>
      <c r="AE31" s="133">
        <f>1-AE32+IF($Y32&lt;0,$Y32/4,0)</f>
        <v>0.30500825868513282</v>
      </c>
      <c r="AF31" s="134"/>
      <c r="AG31" s="133">
        <f>1-AG32+IF($Y32&lt;0,$Y32/4,0)</f>
        <v>0.32096293863531966</v>
      </c>
      <c r="AH31" s="123"/>
      <c r="AI31" s="182">
        <f>SUM(AA31,AC31,AE31,AG31)/4</f>
        <v>0.28686372070256744</v>
      </c>
      <c r="AJ31" s="135">
        <f t="shared" si="14"/>
        <v>0.26074184274490864</v>
      </c>
      <c r="AK31" s="136">
        <f t="shared" si="15"/>
        <v>0.31298559866022624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0.71835022699357232</v>
      </c>
      <c r="J32" s="17"/>
      <c r="L32" s="22">
        <f>SUM(L6:L30)</f>
        <v>0.35487496350323916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41699.117937613235</v>
      </c>
      <c r="T32" s="233">
        <f t="shared" si="24"/>
        <v>41332.397937613234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0.81496467780303661</v>
      </c>
      <c r="AB32" s="137"/>
      <c r="AC32" s="139">
        <f>SUM(AC6:AC30)</f>
        <v>0.66355163670714612</v>
      </c>
      <c r="AD32" s="137"/>
      <c r="AE32" s="139">
        <f>SUM(AE6:AE30)</f>
        <v>0.69499174131486718</v>
      </c>
      <c r="AF32" s="137"/>
      <c r="AG32" s="139">
        <f>SUM(AG6:AG30)</f>
        <v>0.67903706136468034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2.0545203531470673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388.50000000000006</v>
      </c>
      <c r="J43" s="38">
        <f t="shared" si="32"/>
        <v>388.50000000000006</v>
      </c>
      <c r="K43" s="40">
        <f t="shared" si="33"/>
        <v>2.6423071115808546E-2</v>
      </c>
      <c r="L43" s="22">
        <f t="shared" si="34"/>
        <v>1.4664804469273745E-2</v>
      </c>
      <c r="M43" s="24">
        <f t="shared" si="35"/>
        <v>1.4664804469273745E-2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97.125000000000014</v>
      </c>
      <c r="AB43" s="156">
        <f>Poor!AB43</f>
        <v>0.25</v>
      </c>
      <c r="AC43" s="147">
        <f t="shared" si="41"/>
        <v>97.125000000000014</v>
      </c>
      <c r="AD43" s="156">
        <f>Poor!AD43</f>
        <v>0.25</v>
      </c>
      <c r="AE43" s="147">
        <f t="shared" si="42"/>
        <v>97.125000000000014</v>
      </c>
      <c r="AF43" s="122">
        <f t="shared" si="29"/>
        <v>0.25</v>
      </c>
      <c r="AG43" s="147">
        <f t="shared" si="36"/>
        <v>97.125000000000014</v>
      </c>
      <c r="AH43" s="123">
        <f t="shared" si="37"/>
        <v>1</v>
      </c>
      <c r="AI43" s="112">
        <f t="shared" si="37"/>
        <v>388.50000000000006</v>
      </c>
      <c r="AJ43" s="148">
        <f t="shared" si="38"/>
        <v>194.25000000000003</v>
      </c>
      <c r="AK43" s="147">
        <f t="shared" si="39"/>
        <v>194.25000000000003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488.40000000000003</v>
      </c>
      <c r="J44" s="38">
        <f t="shared" si="32"/>
        <v>488.40000000000003</v>
      </c>
      <c r="K44" s="40">
        <f t="shared" si="33"/>
        <v>3.3217575117016458E-2</v>
      </c>
      <c r="L44" s="22">
        <f t="shared" si="34"/>
        <v>1.8435754189944135E-2</v>
      </c>
      <c r="M44" s="24">
        <f t="shared" si="35"/>
        <v>1.8435754189944135E-2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122.10000000000001</v>
      </c>
      <c r="AB44" s="156">
        <f>Poor!AB44</f>
        <v>0.25</v>
      </c>
      <c r="AC44" s="147">
        <f t="shared" si="41"/>
        <v>122.10000000000001</v>
      </c>
      <c r="AD44" s="156">
        <f>Poor!AD44</f>
        <v>0.25</v>
      </c>
      <c r="AE44" s="147">
        <f t="shared" si="42"/>
        <v>122.10000000000001</v>
      </c>
      <c r="AF44" s="122">
        <f t="shared" si="29"/>
        <v>0.25</v>
      </c>
      <c r="AG44" s="147">
        <f t="shared" si="36"/>
        <v>122.10000000000001</v>
      </c>
      <c r="AH44" s="123">
        <f t="shared" si="37"/>
        <v>1</v>
      </c>
      <c r="AI44" s="112">
        <f t="shared" si="37"/>
        <v>488.40000000000003</v>
      </c>
      <c r="AJ44" s="148">
        <f t="shared" si="38"/>
        <v>244.20000000000002</v>
      </c>
      <c r="AK44" s="147">
        <f t="shared" si="39"/>
        <v>244.20000000000002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3330.0000000000005</v>
      </c>
      <c r="J45" s="38">
        <f t="shared" si="32"/>
        <v>3330.0000000000005</v>
      </c>
      <c r="K45" s="40">
        <f t="shared" si="33"/>
        <v>0.2264834667069304</v>
      </c>
      <c r="L45" s="22">
        <f t="shared" si="34"/>
        <v>0.12569832402234637</v>
      </c>
      <c r="M45" s="24">
        <f t="shared" si="35"/>
        <v>0.12569832402234637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832.50000000000011</v>
      </c>
      <c r="AB45" s="156">
        <f>Poor!AB45</f>
        <v>0.25</v>
      </c>
      <c r="AC45" s="147">
        <f t="shared" si="41"/>
        <v>832.50000000000011</v>
      </c>
      <c r="AD45" s="156">
        <f>Poor!AD45</f>
        <v>0.25</v>
      </c>
      <c r="AE45" s="147">
        <f t="shared" si="42"/>
        <v>832.50000000000011</v>
      </c>
      <c r="AF45" s="122">
        <f t="shared" si="29"/>
        <v>0.25</v>
      </c>
      <c r="AG45" s="147">
        <f t="shared" si="36"/>
        <v>832.50000000000011</v>
      </c>
      <c r="AH45" s="123">
        <f t="shared" si="37"/>
        <v>1</v>
      </c>
      <c r="AI45" s="112">
        <f t="shared" si="37"/>
        <v>3330.0000000000005</v>
      </c>
      <c r="AJ45" s="148">
        <f t="shared" si="38"/>
        <v>1665.0000000000002</v>
      </c>
      <c r="AK45" s="147">
        <f t="shared" si="39"/>
        <v>1665.0000000000002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26018.82</v>
      </c>
      <c r="J65" s="39">
        <f>SUM(J37:J64)</f>
        <v>26018.82</v>
      </c>
      <c r="K65" s="40">
        <f>SUM(K37:K64)</f>
        <v>1</v>
      </c>
      <c r="L65" s="22">
        <f>SUM(L37:L64)</f>
        <v>0.96829608938547485</v>
      </c>
      <c r="M65" s="24">
        <f>SUM(M37:M64)</f>
        <v>0.98213875887060242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6504.7049999999999</v>
      </c>
      <c r="AB65" s="137"/>
      <c r="AC65" s="153">
        <f>SUM(AC37:AC64)</f>
        <v>6504.7049999999999</v>
      </c>
      <c r="AD65" s="137"/>
      <c r="AE65" s="153">
        <f>SUM(AE37:AE64)</f>
        <v>6504.7049999999999</v>
      </c>
      <c r="AF65" s="137"/>
      <c r="AG65" s="153">
        <f>SUM(AG37:AG64)</f>
        <v>6504.7049999999999</v>
      </c>
      <c r="AH65" s="137"/>
      <c r="AI65" s="153">
        <f>SUM(AI37:AI64)</f>
        <v>26018.82</v>
      </c>
      <c r="AJ65" s="153">
        <f>SUM(AJ37:AJ64)</f>
        <v>13009.41</v>
      </c>
      <c r="AK65" s="153">
        <f>SUM(AK37:AK64)</f>
        <v>13009.41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3291.5343505034825</v>
      </c>
      <c r="J71" s="51">
        <f t="shared" si="44"/>
        <v>3291.5343505034825</v>
      </c>
      <c r="K71" s="40">
        <f t="shared" ref="K71:K72" si="47">B71/B$76</f>
        <v>0.44103880416729579</v>
      </c>
      <c r="L71" s="22">
        <f t="shared" si="45"/>
        <v>0.11040368226270111</v>
      </c>
      <c r="M71" s="24">
        <f t="shared" ref="M71:M72" si="48">J71/B$76</f>
        <v>0.12424635174782887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3291.5343505034825</v>
      </c>
      <c r="J74" s="51">
        <f t="shared" si="44"/>
        <v>3291.5343505034825</v>
      </c>
      <c r="K74" s="40">
        <f>B74/B$76</f>
        <v>0.18347005908698555</v>
      </c>
      <c r="L74" s="22">
        <f t="shared" si="45"/>
        <v>5.2310793141472134E-2</v>
      </c>
      <c r="M74" s="24">
        <f>J74/B$76</f>
        <v>0.12424635174782887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822.88358762586984</v>
      </c>
      <c r="AB74" s="156"/>
      <c r="AC74" s="147">
        <f>AC30*$I$83/4</f>
        <v>822.88358762586984</v>
      </c>
      <c r="AD74" s="156"/>
      <c r="AE74" s="147">
        <f>AE30*$I$83/4</f>
        <v>822.88358762586984</v>
      </c>
      <c r="AF74" s="156"/>
      <c r="AG74" s="147">
        <f>AG30*$I$83/4</f>
        <v>822.88358762586984</v>
      </c>
      <c r="AH74" s="155"/>
      <c r="AI74" s="147">
        <f>SUM(AA74,AC74,AE74,AG74)</f>
        <v>3291.5343505034793</v>
      </c>
      <c r="AJ74" s="148">
        <f>(AA74+AC74)</f>
        <v>1645.7671752517397</v>
      </c>
      <c r="AK74" s="147">
        <f>(AE74+AG74)</f>
        <v>1645.7671752517397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26018.82</v>
      </c>
      <c r="J76" s="51">
        <f t="shared" si="44"/>
        <v>26018.82</v>
      </c>
      <c r="K76" s="40">
        <f>SUM(K70:K75)</f>
        <v>2.0572725452687042</v>
      </c>
      <c r="L76" s="22">
        <f>SUM(L70:L75)</f>
        <v>1.020606882526947</v>
      </c>
      <c r="M76" s="24">
        <f>SUM(M70:M75)</f>
        <v>1.1063851106184315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6504.7049999999999</v>
      </c>
      <c r="AB76" s="137"/>
      <c r="AC76" s="153">
        <f>AC65</f>
        <v>6504.7049999999999</v>
      </c>
      <c r="AD76" s="137"/>
      <c r="AE76" s="153">
        <f>AE65</f>
        <v>6504.7049999999999</v>
      </c>
      <c r="AF76" s="137"/>
      <c r="AG76" s="153">
        <f>AG65</f>
        <v>6504.7049999999999</v>
      </c>
      <c r="AH76" s="137"/>
      <c r="AI76" s="153">
        <f>SUM(AA76,AC76,AE76,AG76)</f>
        <v>26018.82</v>
      </c>
      <c r="AJ76" s="154">
        <f>SUM(AA76,AC76)</f>
        <v>13009.41</v>
      </c>
      <c r="AK76" s="154">
        <f>SUM(AE76,AG76)</f>
        <v>13009.41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13787.119999999999</v>
      </c>
      <c r="K77" s="40"/>
      <c r="L77" s="22">
        <f>-(L131*G$37*F$9/F$7)/B$130</f>
        <v>-0.52042578891740909</v>
      </c>
      <c r="M77" s="24">
        <f>-J77/B$76</f>
        <v>-0.52042578891740898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491.38659942638077</v>
      </c>
      <c r="AB77" s="112"/>
      <c r="AC77" s="111">
        <f>AC31*$I$83/4</f>
        <v>893.4846339503938</v>
      </c>
      <c r="AD77" s="112"/>
      <c r="AE77" s="111">
        <f>AE31*$I$83/4</f>
        <v>809.99113711224652</v>
      </c>
      <c r="AF77" s="112"/>
      <c r="AG77" s="111">
        <f>AG31*$I$83/4</f>
        <v>852.36097132861983</v>
      </c>
      <c r="AH77" s="110"/>
      <c r="AI77" s="154">
        <f>SUM(AA77,AC77,AE77,AG77)</f>
        <v>3047.2233418176411</v>
      </c>
      <c r="AJ77" s="153">
        <f>SUM(AA77,AC77)</f>
        <v>1384.8712333767746</v>
      </c>
      <c r="AK77" s="160">
        <f>SUM(AE77,AG77)</f>
        <v>1662.3521084408662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822.88358762586995</v>
      </c>
      <c r="AB79" s="112"/>
      <c r="AC79" s="112">
        <f>AA79-AA74+AC65-AC70</f>
        <v>822.88358762586995</v>
      </c>
      <c r="AD79" s="112"/>
      <c r="AE79" s="112">
        <f>AC79-AC74+AE65-AE70</f>
        <v>822.88358762586995</v>
      </c>
      <c r="AF79" s="112"/>
      <c r="AG79" s="112">
        <f>AE79-AE74+AG65-AG70</f>
        <v>822.88358762586995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0.33636363636363642</v>
      </c>
      <c r="I97" s="22">
        <f t="shared" si="54"/>
        <v>3.657314971421511E-2</v>
      </c>
      <c r="J97" s="24">
        <f t="shared" si="55"/>
        <v>3.657314971421511E-2</v>
      </c>
      <c r="K97" s="22">
        <f t="shared" si="56"/>
        <v>0.10873098563685571</v>
      </c>
      <c r="L97" s="22">
        <f t="shared" si="57"/>
        <v>3.657314971421511E-2</v>
      </c>
      <c r="M97" s="227">
        <f t="shared" si="49"/>
        <v>3.657314971421511E-2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0.33636363636363642</v>
      </c>
      <c r="I98" s="22">
        <f t="shared" si="54"/>
        <v>4.597767392644185E-2</v>
      </c>
      <c r="J98" s="24">
        <f t="shared" si="55"/>
        <v>4.597767392644185E-2</v>
      </c>
      <c r="K98" s="22">
        <f t="shared" si="56"/>
        <v>0.13669038194347574</v>
      </c>
      <c r="L98" s="22">
        <f t="shared" si="57"/>
        <v>4.597767392644185E-2</v>
      </c>
      <c r="M98" s="227">
        <f t="shared" si="49"/>
        <v>4.597767392644185E-2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0.33636363636363642</v>
      </c>
      <c r="I99" s="22">
        <f t="shared" si="54"/>
        <v>0.31348414040755807</v>
      </c>
      <c r="J99" s="24">
        <f t="shared" si="55"/>
        <v>0.31348414040755807</v>
      </c>
      <c r="K99" s="22">
        <f t="shared" si="56"/>
        <v>0.93197987688733464</v>
      </c>
      <c r="L99" s="22">
        <f t="shared" si="57"/>
        <v>0.31348414040755807</v>
      </c>
      <c r="M99" s="227">
        <f t="shared" si="49"/>
        <v>0.31348414040755807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0.42909090909090908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2.4493956222579518</v>
      </c>
      <c r="J119" s="24">
        <f>SUM(J91:J118)</f>
        <v>2.4493956222579518</v>
      </c>
      <c r="K119" s="22">
        <f>SUM(K91:K118)</f>
        <v>4.1150018164165445</v>
      </c>
      <c r="L119" s="22">
        <f>SUM(L91:L118)</f>
        <v>2.4148728282728884</v>
      </c>
      <c r="M119" s="57">
        <f t="shared" si="49"/>
        <v>2.4493956222579518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0.30986300795481503</v>
      </c>
      <c r="J125" s="236">
        <f>IF(SUMPRODUCT($B$124:$B125,$H$124:$H125)&lt;J$119,($B125*$H125),IF(SUMPRODUCT($B$124:$B124,$H$124:$H124)&lt;J$119,J$119-SUMPRODUCT($B$124:$B124,$H$124:$H124),0))</f>
        <v>0.30986300795481503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0.27534021396975161</v>
      </c>
      <c r="M125" s="239">
        <f t="shared" si="66"/>
        <v>0.30986300795481503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0.30986300795481503</v>
      </c>
      <c r="J128" s="227">
        <f>(J30)</f>
        <v>0.30986300795481503</v>
      </c>
      <c r="K128" s="29">
        <f>(B128)</f>
        <v>0.75497962640099636</v>
      </c>
      <c r="L128" s="29">
        <f>IF(L124=L119,0,(L119-L124)/(B119-B124)*K128)</f>
        <v>0.13046000533051391</v>
      </c>
      <c r="M128" s="239">
        <f t="shared" si="66"/>
        <v>0.30986300795481503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2.4493956222579518</v>
      </c>
      <c r="J130" s="227">
        <f>(J119)</f>
        <v>2.4493956222579518</v>
      </c>
      <c r="K130" s="29">
        <f>(B130)</f>
        <v>4.1150018164165445</v>
      </c>
      <c r="L130" s="29">
        <f>(L119)</f>
        <v>2.4148728282728884</v>
      </c>
      <c r="M130" s="239">
        <f t="shared" si="66"/>
        <v>2.4493956222579518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1.2979109495182737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1.6684632627646313E-3</v>
      </c>
      <c r="J6" s="24">
        <f t="shared" ref="J6:J13" si="3">IF(I$32&lt;=1+I$131,I6,B6*H6+J$33*(I6-B6*H6))</f>
        <v>1.6684632627646313E-3</v>
      </c>
      <c r="K6" s="22">
        <f t="shared" ref="K6:K31" si="4">B6</f>
        <v>8.3423163138231556E-3</v>
      </c>
      <c r="L6" s="22">
        <f t="shared" ref="L6:L29" si="5">IF(K6="","",K6*H6)</f>
        <v>1.6684632627646313E-3</v>
      </c>
      <c r="M6" s="223">
        <f t="shared" ref="M6:M31" si="6">J6</f>
        <v>1.6684632627646313E-3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6.673853051058525E-3</v>
      </c>
      <c r="Z6" s="116">
        <v>0.17</v>
      </c>
      <c r="AA6" s="121">
        <f>$M6*Z6*4</f>
        <v>1.1345550186799493E-3</v>
      </c>
      <c r="AB6" s="116">
        <v>0.17</v>
      </c>
      <c r="AC6" s="121">
        <f t="shared" ref="AC6:AC29" si="7">$M6*AB6*4</f>
        <v>1.1345550186799493E-3</v>
      </c>
      <c r="AD6" s="116">
        <v>0.33</v>
      </c>
      <c r="AE6" s="121">
        <f t="shared" ref="AE6:AE29" si="8">$M6*AD6*4</f>
        <v>2.2023715068493132E-3</v>
      </c>
      <c r="AF6" s="122">
        <f>1-SUM(Z6,AB6,AD6)</f>
        <v>0.32999999999999996</v>
      </c>
      <c r="AG6" s="121">
        <f>$M6*AF6*4</f>
        <v>2.2023715068493128E-3</v>
      </c>
      <c r="AH6" s="123">
        <f>SUM(Z6,AB6,AD6,AF6)</f>
        <v>1</v>
      </c>
      <c r="AI6" s="183">
        <f>SUM(AA6,AC6,AE6,AG6)/4</f>
        <v>1.668463262764631E-3</v>
      </c>
      <c r="AJ6" s="120">
        <f>(AA6+AC6)/2</f>
        <v>1.1345550186799493E-3</v>
      </c>
      <c r="AK6" s="119">
        <f>(AE6+AG6)/2</f>
        <v>2.2023715068493132E-3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1168.052914704117</v>
      </c>
      <c r="T7" s="221">
        <f>IF($B$81=0,0,(SUMIF($N$6:$N$28,$U7,M$6:M$28)+SUMIF($N$91:$N$118,$U7,M$91:M$118))*$I$83*Poor!$B$81/$B$81)</f>
        <v>1171.8395853766719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9.46331506849315E-2</v>
      </c>
      <c r="J8" s="24">
        <f t="shared" si="3"/>
        <v>9.46331506849315E-2</v>
      </c>
      <c r="K8" s="22">
        <f t="shared" si="4"/>
        <v>0.31544383561643835</v>
      </c>
      <c r="L8" s="22">
        <f t="shared" si="5"/>
        <v>9.46331506849315E-2</v>
      </c>
      <c r="M8" s="223">
        <f t="shared" si="6"/>
        <v>9.46331506849315E-2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111.99999999999999</v>
      </c>
      <c r="T8" s="221">
        <f>IF($B$81=0,0,(SUMIF($N$6:$N$28,$U8,M$6:M$28)+SUMIF($N$91:$N$118,$U8,M$91:M$118))*$I$83*Poor!$B$81/$B$81)</f>
        <v>62.062428711675089</v>
      </c>
      <c r="U8" s="222">
        <v>2</v>
      </c>
      <c r="V8" s="184"/>
      <c r="W8" s="115"/>
      <c r="X8" s="124">
        <v>1</v>
      </c>
      <c r="Y8" s="183">
        <f t="shared" si="9"/>
        <v>0.378532602739726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0.378532602739726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9.46331506849315E-2</v>
      </c>
      <c r="AJ8" s="120">
        <f t="shared" si="14"/>
        <v>0.189266301369863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1.1047051681195519E-2</v>
      </c>
      <c r="J9" s="24">
        <f t="shared" si="3"/>
        <v>1.1047051681195519E-2</v>
      </c>
      <c r="K9" s="22">
        <f t="shared" si="4"/>
        <v>5.5235258405977594E-2</v>
      </c>
      <c r="L9" s="22">
        <f t="shared" si="5"/>
        <v>1.1047051681195519E-2</v>
      </c>
      <c r="M9" s="223">
        <f t="shared" si="6"/>
        <v>1.1047051681195519E-2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17.72332934541102</v>
      </c>
      <c r="T9" s="221">
        <f>IF($B$81=0,0,(SUMIF($N$6:$N$28,$U9,M$6:M$28)+SUMIF($N$91:$N$118,$U9,M$91:M$118))*$I$83*Poor!$B$81/$B$81)</f>
        <v>17.72332934541102</v>
      </c>
      <c r="U9" s="222">
        <v>3</v>
      </c>
      <c r="V9" s="56"/>
      <c r="W9" s="115"/>
      <c r="X9" s="124">
        <v>1</v>
      </c>
      <c r="Y9" s="183">
        <f t="shared" si="9"/>
        <v>4.4188206724782075E-2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4.4188206724782075E-2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1.1047051681195519E-2</v>
      </c>
      <c r="AJ9" s="120">
        <f t="shared" si="14"/>
        <v>2.2094103362391038E-2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0.2</v>
      </c>
      <c r="H10" s="24">
        <f t="shared" si="1"/>
        <v>0.2</v>
      </c>
      <c r="I10" s="22">
        <f t="shared" si="2"/>
        <v>3.9975093399750939E-3</v>
      </c>
      <c r="J10" s="24">
        <f t="shared" si="3"/>
        <v>3.5544823070528448E-3</v>
      </c>
      <c r="K10" s="22">
        <f t="shared" si="4"/>
        <v>1.5990037359900375E-2</v>
      </c>
      <c r="L10" s="22">
        <f t="shared" si="5"/>
        <v>3.1980074719800754E-3</v>
      </c>
      <c r="M10" s="223">
        <f t="shared" si="6"/>
        <v>3.5544823070528448E-3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1.4217929228211379E-2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1.4217929228211379E-2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3.5544823070528448E-3</v>
      </c>
      <c r="AJ10" s="120">
        <f t="shared" si="14"/>
        <v>7.1089646141056896E-3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0.2</v>
      </c>
      <c r="H11" s="24">
        <f t="shared" si="1"/>
        <v>0.2</v>
      </c>
      <c r="I11" s="22">
        <f t="shared" si="2"/>
        <v>1.0815691158156911E-3</v>
      </c>
      <c r="J11" s="24">
        <f t="shared" si="3"/>
        <v>1.0815691158156911E-3</v>
      </c>
      <c r="K11" s="22">
        <f t="shared" si="4"/>
        <v>5.4078455790784559E-3</v>
      </c>
      <c r="L11" s="22">
        <f t="shared" si="5"/>
        <v>1.0815691158156911E-3</v>
      </c>
      <c r="M11" s="223">
        <f t="shared" si="6"/>
        <v>1.0815691158156911E-3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2206.3049999999998</v>
      </c>
      <c r="T11" s="221">
        <f>IF($B$81=0,0,(SUMIF($N$6:$N$28,$U11,M$6:M$28)+SUMIF($N$91:$N$118,$U11,M$91:M$118))*$I$83*Poor!$B$81/$B$81)</f>
        <v>2206.3049999999998</v>
      </c>
      <c r="U11" s="222">
        <v>5</v>
      </c>
      <c r="V11" s="56"/>
      <c r="W11" s="115"/>
      <c r="X11" s="124">
        <v>1</v>
      </c>
      <c r="Y11" s="183">
        <f t="shared" si="9"/>
        <v>4.3262764632627645E-3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4.3262764632627645E-3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1.0815691158156911E-3</v>
      </c>
      <c r="AJ11" s="120">
        <f t="shared" si="14"/>
        <v>2.1631382316313823E-3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0.5</v>
      </c>
      <c r="H13" s="24">
        <f t="shared" si="1"/>
        <v>0.5</v>
      </c>
      <c r="I13" s="22">
        <f t="shared" si="2"/>
        <v>9.4178082191780851E-3</v>
      </c>
      <c r="J13" s="24">
        <f t="shared" si="3"/>
        <v>2.6048694548083017E-2</v>
      </c>
      <c r="K13" s="22">
        <f t="shared" si="4"/>
        <v>7.8860958904109588E-2</v>
      </c>
      <c r="L13" s="22">
        <f t="shared" si="5"/>
        <v>3.9430479452054794E-2</v>
      </c>
      <c r="M13" s="224">
        <f t="shared" si="6"/>
        <v>2.6048694548083017E-2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7563.2633908733551</v>
      </c>
      <c r="T13" s="221">
        <f>IF($B$81=0,0,(SUMIF($N$6:$N$28,$U13,M$6:M$28)+SUMIF($N$91:$N$118,$U13,M$91:M$118))*$I$83*Poor!$B$81/$B$81)</f>
        <v>7335.8255693756937</v>
      </c>
      <c r="U13" s="222">
        <v>7</v>
      </c>
      <c r="V13" s="56"/>
      <c r="W13" s="110"/>
      <c r="X13" s="118"/>
      <c r="Y13" s="183">
        <f t="shared" si="9"/>
        <v>0.10419477819233207</v>
      </c>
      <c r="Z13" s="116">
        <v>1</v>
      </c>
      <c r="AA13" s="121">
        <f>$M13*Z13*4</f>
        <v>0.10419477819233207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2.6048694548083017E-2</v>
      </c>
      <c r="AJ13" s="120">
        <f t="shared" si="14"/>
        <v>5.2097389096166034E-2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0.5</v>
      </c>
      <c r="F14" s="22"/>
      <c r="H14" s="24">
        <f t="shared" si="1"/>
        <v>0.5</v>
      </c>
      <c r="I14" s="22">
        <f t="shared" si="2"/>
        <v>5.6506849315068504E-3</v>
      </c>
      <c r="J14" s="24">
        <f>IF(I$32&lt;=1+I131,I14,B14*H14+J$33*(I14-B14*H14))</f>
        <v>1.5629216728849808E-2</v>
      </c>
      <c r="K14" s="22">
        <f t="shared" si="4"/>
        <v>4.731657534246575E-2</v>
      </c>
      <c r="L14" s="22">
        <f t="shared" si="5"/>
        <v>2.3658287671232875E-2</v>
      </c>
      <c r="M14" s="224">
        <f t="shared" si="6"/>
        <v>1.5629216728849808E-2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5664</v>
      </c>
      <c r="T14" s="221">
        <f>IF($B$81=0,0,(SUMIF($N$6:$N$28,$U14,M$6:M$28)+SUMIF($N$91:$N$118,$U14,M$91:M$118))*$I$83*Poor!$B$81/$B$81)</f>
        <v>5664</v>
      </c>
      <c r="U14" s="222">
        <v>8</v>
      </c>
      <c r="V14" s="56"/>
      <c r="W14" s="110"/>
      <c r="X14" s="118"/>
      <c r="Y14" s="183">
        <f>M14*4</f>
        <v>6.2516866915399233E-2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6.2516866915399233E-2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1.5629216728849808E-2</v>
      </c>
      <c r="AJ14" s="120">
        <f t="shared" si="14"/>
        <v>3.1258433457699616E-2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5480.7247477193769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46738.400391662813</v>
      </c>
      <c r="T23" s="179">
        <f>SUM(T7:T22)</f>
        <v>46913.536417268755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6.1071483510310061E-3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6.1071483510310061E-3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2.4428593404124024E-2</v>
      </c>
      <c r="Z27" s="116">
        <v>0.25</v>
      </c>
      <c r="AA27" s="121">
        <f t="shared" si="16"/>
        <v>6.1071483510310061E-3</v>
      </c>
      <c r="AB27" s="116">
        <v>0.25</v>
      </c>
      <c r="AC27" s="121">
        <f t="shared" si="7"/>
        <v>6.1071483510310061E-3</v>
      </c>
      <c r="AD27" s="116">
        <v>0.25</v>
      </c>
      <c r="AE27" s="121">
        <f t="shared" si="8"/>
        <v>6.1071483510310061E-3</v>
      </c>
      <c r="AF27" s="122">
        <f t="shared" si="10"/>
        <v>0.25</v>
      </c>
      <c r="AG27" s="121">
        <f t="shared" si="11"/>
        <v>6.1071483510310061E-3</v>
      </c>
      <c r="AH27" s="123">
        <f t="shared" si="12"/>
        <v>1</v>
      </c>
      <c r="AI27" s="183">
        <f t="shared" si="13"/>
        <v>6.1071483510310061E-3</v>
      </c>
      <c r="AJ27" s="120">
        <f t="shared" si="14"/>
        <v>6.1071483510310061E-3</v>
      </c>
      <c r="AK27" s="119">
        <f t="shared" si="15"/>
        <v>6.1071483510310061E-3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4.7671778962214018E-3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4.7671778962214018E-3</v>
      </c>
      <c r="N28" s="228"/>
      <c r="O28" s="2"/>
      <c r="P28" s="22"/>
      <c r="V28" s="56"/>
      <c r="W28" s="110"/>
      <c r="X28" s="118"/>
      <c r="Y28" s="183">
        <f t="shared" si="9"/>
        <v>1.9068711584885607E-2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9.5343557924428037E-3</v>
      </c>
      <c r="AF28" s="122">
        <f t="shared" si="10"/>
        <v>0.5</v>
      </c>
      <c r="AG28" s="121">
        <f t="shared" si="11"/>
        <v>9.5343557924428037E-3</v>
      </c>
      <c r="AH28" s="123">
        <f t="shared" si="12"/>
        <v>1</v>
      </c>
      <c r="AI28" s="183">
        <f t="shared" si="13"/>
        <v>4.7671778962214018E-3</v>
      </c>
      <c r="AJ28" s="120">
        <f t="shared" si="14"/>
        <v>0</v>
      </c>
      <c r="AK28" s="119">
        <f t="shared" si="15"/>
        <v>9.5343557924428037E-3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0.15350089318059792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0.15350089318059792</v>
      </c>
      <c r="N29" s="228"/>
      <c r="P29" s="22"/>
      <c r="V29" s="56"/>
      <c r="W29" s="110"/>
      <c r="X29" s="118"/>
      <c r="Y29" s="183">
        <f t="shared" si="9"/>
        <v>0.6140035727223917</v>
      </c>
      <c r="Z29" s="116">
        <v>0.25</v>
      </c>
      <c r="AA29" s="121">
        <f t="shared" si="16"/>
        <v>0.15350089318059792</v>
      </c>
      <c r="AB29" s="116">
        <v>0.25</v>
      </c>
      <c r="AC29" s="121">
        <f t="shared" si="7"/>
        <v>0.15350089318059792</v>
      </c>
      <c r="AD29" s="116">
        <v>0.25</v>
      </c>
      <c r="AE29" s="121">
        <f t="shared" si="8"/>
        <v>0.15350089318059792</v>
      </c>
      <c r="AF29" s="122">
        <f t="shared" si="10"/>
        <v>0.25</v>
      </c>
      <c r="AG29" s="121">
        <f t="shared" si="11"/>
        <v>0.15350089318059792</v>
      </c>
      <c r="AH29" s="123">
        <f t="shared" si="12"/>
        <v>1</v>
      </c>
      <c r="AI29" s="183">
        <f t="shared" si="13"/>
        <v>0.15350089318059792</v>
      </c>
      <c r="AJ29" s="120">
        <f t="shared" si="14"/>
        <v>0.15350089318059792</v>
      </c>
      <c r="AK29" s="119">
        <f t="shared" si="15"/>
        <v>0.15350089318059792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2.0592593707115627</v>
      </c>
      <c r="J30" s="230">
        <f>IF(I$32&lt;=1,I30,1-SUM(J6:J29))</f>
        <v>0.56673594874071898</v>
      </c>
      <c r="K30" s="22">
        <f t="shared" si="4"/>
        <v>0.38133509962640105</v>
      </c>
      <c r="L30" s="22">
        <f>IF(L124=L119,0,IF(K30="",0,(L119-L124)/(B119-B124)*K30))</f>
        <v>0.1235648698439232</v>
      </c>
      <c r="M30" s="175">
        <f t="shared" si="6"/>
        <v>0.56673594874071898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2.2669437949628759</v>
      </c>
      <c r="Z30" s="122">
        <f>IF($Y30=0,0,AA30/($Y$30))</f>
        <v>7.8771872066445994E-2</v>
      </c>
      <c r="AA30" s="187">
        <f>IF(AA79*4/$I$83+SUM(AA6:AA29)&lt;1,AA79*4/$I$83,1-SUM(AA6:AA29))</f>
        <v>0.17857140659863924</v>
      </c>
      <c r="AB30" s="122">
        <f>IF($Y30=0,0,AC30/($Y$30))</f>
        <v>5.5415188842877237E-2</v>
      </c>
      <c r="AC30" s="187">
        <f>IF(AC79*4/$I$83+SUM(AC6:AC29)&lt;1,AC79*4/$I$83,1-SUM(AC6:AC29))</f>
        <v>0.12562311849405655</v>
      </c>
      <c r="AD30" s="122">
        <f>IF($Y30=0,0,AE30/($Y$30))</f>
        <v>-0.11228303774283377</v>
      </c>
      <c r="AE30" s="187">
        <f>IF(AE79*4/$I$83+SUM(AE6:AE29)&lt;1,AE79*4/$I$83,1-SUM(AE6:AE29))</f>
        <v>-0.25453933569069942</v>
      </c>
      <c r="AF30" s="122">
        <f>IF($Y30=0,0,AG30/($Y$30))</f>
        <v>-0.11486030439872567</v>
      </c>
      <c r="AG30" s="187">
        <f>IF(AG79*4/$I$83+SUM(AG6:AG29)&lt;1,AG79*4/$I$83,1-SUM(AG6:AG29))</f>
        <v>-0.26038185434423827</v>
      </c>
      <c r="AH30" s="123">
        <f t="shared" si="12"/>
        <v>-9.2956281232236218E-2</v>
      </c>
      <c r="AI30" s="183">
        <f t="shared" si="13"/>
        <v>-5.2681666235560476E-2</v>
      </c>
      <c r="AJ30" s="120">
        <f t="shared" si="14"/>
        <v>0.15209726254634789</v>
      </c>
      <c r="AK30" s="119">
        <f t="shared" si="15"/>
        <v>-0.25746059501746887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0.47060522366454705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0.53589121453749755</v>
      </c>
      <c r="AD31" s="134"/>
      <c r="AE31" s="133">
        <f>1-AE32+IF($Y32&lt;0,$Y32/4,0)</f>
        <v>0.96796836335704062</v>
      </c>
      <c r="AF31" s="134"/>
      <c r="AG31" s="133">
        <f>1-AG32+IF($Y32&lt;0,$Y32/4,0)</f>
        <v>0.97381088201057953</v>
      </c>
      <c r="AH31" s="123"/>
      <c r="AI31" s="182">
        <f>SUM(AA31,AC31,AE31,AG31)/4</f>
        <v>0.61941761497627945</v>
      </c>
      <c r="AJ31" s="135">
        <f t="shared" si="14"/>
        <v>0.26794560726874878</v>
      </c>
      <c r="AK31" s="136">
        <f t="shared" si="15"/>
        <v>0.97088962268381007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2.526618585391665</v>
      </c>
      <c r="J32" s="17"/>
      <c r="L32" s="22">
        <f>SUM(L6:L30)</f>
        <v>0.52939477633545295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22516.777531027386</v>
      </c>
      <c r="T32" s="233">
        <f t="shared" si="50"/>
        <v>22341.641505421445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0.46410878546250245</v>
      </c>
      <c r="AD32" s="137"/>
      <c r="AE32" s="139">
        <f>SUM(AE6:AE30)</f>
        <v>3.2031636642959382E-2</v>
      </c>
      <c r="AF32" s="137"/>
      <c r="AG32" s="139">
        <f>SUM(AG6:AG30)</f>
        <v>2.6189117989420529E-2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0.4458711722171867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1880.625</v>
      </c>
      <c r="J37" s="38">
        <f t="shared" ref="J37:J49" si="53">J91*I$83</f>
        <v>1880.625</v>
      </c>
      <c r="K37" s="40">
        <f t="shared" ref="K37:K49" si="54">(B37/B$65)</f>
        <v>5.7495107279106054E-2</v>
      </c>
      <c r="L37" s="22">
        <f t="shared" ref="L37:L49" si="55">(K37*H37)</f>
        <v>3.3922113294672568E-2</v>
      </c>
      <c r="M37" s="24">
        <f t="shared" ref="M37:M49" si="56">J37/B$65</f>
        <v>3.3922113294672568E-2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0.52555841289342398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988.37829024769553</v>
      </c>
      <c r="AB37" s="122">
        <f>IF($J37=0,0,AC37/($J37))</f>
        <v>0.47444158710657597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892.24670975230447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1880.625</v>
      </c>
      <c r="AJ37" s="148">
        <f>(AA37+AC37)</f>
        <v>1880.625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312.7</v>
      </c>
      <c r="J38" s="38">
        <f t="shared" si="53"/>
        <v>312.7</v>
      </c>
      <c r="K38" s="40">
        <f t="shared" si="54"/>
        <v>9.5599707789572417E-3</v>
      </c>
      <c r="L38" s="22">
        <f t="shared" si="55"/>
        <v>5.640382759584772E-3</v>
      </c>
      <c r="M38" s="24">
        <f t="shared" si="56"/>
        <v>5.640382759584772E-3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0.52555841289342398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164.34211571177369</v>
      </c>
      <c r="AB38" s="122">
        <f>IF($J38=0,0,AC38/($J38))</f>
        <v>0.47444158710657597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148.3578842882263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312.7</v>
      </c>
      <c r="AJ38" s="148">
        <f t="shared" ref="AJ38:AJ64" si="62">(AA38+AC38)</f>
        <v>312.7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12.979999999999999</v>
      </c>
      <c r="K39" s="40">
        <f t="shared" si="54"/>
        <v>1.984144878651503E-4</v>
      </c>
      <c r="L39" s="22">
        <f t="shared" si="55"/>
        <v>2.3412909568087733E-4</v>
      </c>
      <c r="M39" s="24">
        <f t="shared" si="56"/>
        <v>2.3412909568087733E-4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12.979999999999999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12.979999999999999</v>
      </c>
      <c r="AJ39" s="148">
        <f t="shared" si="62"/>
        <v>12.979999999999999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62.062428711675082</v>
      </c>
      <c r="K42" s="40">
        <f t="shared" si="54"/>
        <v>7.2150722860054653E-3</v>
      </c>
      <c r="L42" s="22">
        <f t="shared" si="55"/>
        <v>2.0202202400815303E-3</v>
      </c>
      <c r="M42" s="24">
        <f t="shared" si="56"/>
        <v>1.1194622734994918E-3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15.515607177918771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31.031214355837541</v>
      </c>
      <c r="AF42" s="122">
        <f t="shared" si="57"/>
        <v>0.25</v>
      </c>
      <c r="AG42" s="147">
        <f t="shared" si="60"/>
        <v>15.515607177918771</v>
      </c>
      <c r="AH42" s="123">
        <f t="shared" si="61"/>
        <v>1</v>
      </c>
      <c r="AI42" s="112">
        <f t="shared" si="61"/>
        <v>62.062428711675082</v>
      </c>
      <c r="AJ42" s="148">
        <f t="shared" si="62"/>
        <v>15.515607177918771</v>
      </c>
      <c r="AK42" s="147">
        <f t="shared" si="63"/>
        <v>46.546821533756315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0.5</v>
      </c>
      <c r="F43" s="26">
        <v>1.1100000000000001</v>
      </c>
      <c r="G43" s="22">
        <f t="shared" si="59"/>
        <v>1.65</v>
      </c>
      <c r="H43" s="24">
        <f t="shared" si="51"/>
        <v>0.55500000000000005</v>
      </c>
      <c r="I43" s="39">
        <f t="shared" si="52"/>
        <v>1875.9</v>
      </c>
      <c r="J43" s="38">
        <f t="shared" si="53"/>
        <v>1875.9</v>
      </c>
      <c r="K43" s="40">
        <f t="shared" si="54"/>
        <v>6.0967360816746183E-2</v>
      </c>
      <c r="L43" s="22">
        <f t="shared" si="55"/>
        <v>3.3836885253294133E-2</v>
      </c>
      <c r="M43" s="24">
        <f t="shared" si="56"/>
        <v>3.3836885253294133E-2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468.97500000000002</v>
      </c>
      <c r="AB43" s="116">
        <v>0.25</v>
      </c>
      <c r="AC43" s="147">
        <f t="shared" si="65"/>
        <v>468.97500000000002</v>
      </c>
      <c r="AD43" s="116">
        <v>0.25</v>
      </c>
      <c r="AE43" s="147">
        <f t="shared" si="66"/>
        <v>468.97500000000002</v>
      </c>
      <c r="AF43" s="122">
        <f t="shared" si="57"/>
        <v>0.25</v>
      </c>
      <c r="AG43" s="147">
        <f t="shared" si="60"/>
        <v>468.97500000000002</v>
      </c>
      <c r="AH43" s="123">
        <f t="shared" si="61"/>
        <v>1</v>
      </c>
      <c r="AI43" s="112">
        <f t="shared" si="61"/>
        <v>1875.9</v>
      </c>
      <c r="AJ43" s="148">
        <f t="shared" si="62"/>
        <v>937.95</v>
      </c>
      <c r="AK43" s="147">
        <f t="shared" si="63"/>
        <v>937.95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2852.7000000000003</v>
      </c>
      <c r="J44" s="38">
        <f t="shared" si="53"/>
        <v>2852.7000000000003</v>
      </c>
      <c r="K44" s="40">
        <f t="shared" si="54"/>
        <v>9.2713678875170236E-2</v>
      </c>
      <c r="L44" s="22">
        <f t="shared" si="55"/>
        <v>5.1456091775719484E-2</v>
      </c>
      <c r="M44" s="24">
        <f t="shared" si="56"/>
        <v>5.1456091775719484E-2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713.17500000000007</v>
      </c>
      <c r="AB44" s="116">
        <v>0.25</v>
      </c>
      <c r="AC44" s="147">
        <f t="shared" si="65"/>
        <v>713.17500000000007</v>
      </c>
      <c r="AD44" s="116">
        <v>0.25</v>
      </c>
      <c r="AE44" s="147">
        <f t="shared" si="66"/>
        <v>713.17500000000007</v>
      </c>
      <c r="AF44" s="122">
        <f t="shared" si="57"/>
        <v>0.25</v>
      </c>
      <c r="AG44" s="147">
        <f t="shared" si="60"/>
        <v>713.17500000000007</v>
      </c>
      <c r="AH44" s="123">
        <f t="shared" si="61"/>
        <v>1</v>
      </c>
      <c r="AI44" s="112">
        <f t="shared" si="61"/>
        <v>2852.7000000000003</v>
      </c>
      <c r="AJ44" s="148">
        <f t="shared" si="62"/>
        <v>1426.3500000000001</v>
      </c>
      <c r="AK44" s="147">
        <f t="shared" si="63"/>
        <v>1426.3500000000001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2164.5</v>
      </c>
      <c r="J45" s="38">
        <f t="shared" si="53"/>
        <v>2164.5</v>
      </c>
      <c r="K45" s="40">
        <f t="shared" si="54"/>
        <v>7.0346954788553281E-2</v>
      </c>
      <c r="L45" s="22">
        <f t="shared" si="55"/>
        <v>3.9042559907647073E-2</v>
      </c>
      <c r="M45" s="24">
        <f t="shared" si="56"/>
        <v>3.9042559907647073E-2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541.125</v>
      </c>
      <c r="AB45" s="116">
        <v>0.25</v>
      </c>
      <c r="AC45" s="147">
        <f t="shared" si="65"/>
        <v>541.125</v>
      </c>
      <c r="AD45" s="116">
        <v>0.25</v>
      </c>
      <c r="AE45" s="147">
        <f t="shared" si="66"/>
        <v>541.125</v>
      </c>
      <c r="AF45" s="122">
        <f t="shared" si="57"/>
        <v>0.25</v>
      </c>
      <c r="AG45" s="147">
        <f t="shared" si="60"/>
        <v>541.125</v>
      </c>
      <c r="AH45" s="123">
        <f t="shared" si="61"/>
        <v>1</v>
      </c>
      <c r="AI45" s="112">
        <f t="shared" si="61"/>
        <v>2164.5</v>
      </c>
      <c r="AJ45" s="148">
        <f t="shared" si="62"/>
        <v>1082.25</v>
      </c>
      <c r="AK45" s="147">
        <f t="shared" si="63"/>
        <v>1082.25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5664</v>
      </c>
      <c r="J46" s="38">
        <f t="shared" si="53"/>
        <v>5664</v>
      </c>
      <c r="K46" s="40">
        <f t="shared" si="54"/>
        <v>0.21645216858016397</v>
      </c>
      <c r="L46" s="22">
        <f t="shared" si="55"/>
        <v>0.10216542356983739</v>
      </c>
      <c r="M46" s="24">
        <f t="shared" si="56"/>
        <v>0.10216542356983739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1416</v>
      </c>
      <c r="AB46" s="116">
        <v>0.25</v>
      </c>
      <c r="AC46" s="147">
        <f t="shared" si="65"/>
        <v>1416</v>
      </c>
      <c r="AD46" s="116">
        <v>0.25</v>
      </c>
      <c r="AE46" s="147">
        <f t="shared" si="66"/>
        <v>1416</v>
      </c>
      <c r="AF46" s="122">
        <f t="shared" si="57"/>
        <v>0.25</v>
      </c>
      <c r="AG46" s="147">
        <f t="shared" si="60"/>
        <v>1416</v>
      </c>
      <c r="AH46" s="123">
        <f t="shared" si="61"/>
        <v>1</v>
      </c>
      <c r="AI46" s="112">
        <f t="shared" si="61"/>
        <v>5664</v>
      </c>
      <c r="AJ46" s="148">
        <f t="shared" si="62"/>
        <v>2832</v>
      </c>
      <c r="AK46" s="147">
        <f t="shared" si="63"/>
        <v>2832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0.6</v>
      </c>
      <c r="F47" s="26">
        <v>1.18</v>
      </c>
      <c r="G47" s="22">
        <f t="shared" si="59"/>
        <v>1.65</v>
      </c>
      <c r="H47" s="24">
        <f t="shared" si="51"/>
        <v>0.70799999999999996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5480.7247477193769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9.8859563086235933E-2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1370.1811869298442</v>
      </c>
      <c r="AB48" s="116">
        <v>0.25</v>
      </c>
      <c r="AC48" s="147">
        <f t="shared" si="65"/>
        <v>1370.1811869298442</v>
      </c>
      <c r="AD48" s="116">
        <v>0.25</v>
      </c>
      <c r="AE48" s="147">
        <f t="shared" si="66"/>
        <v>1370.1811869298442</v>
      </c>
      <c r="AF48" s="122">
        <f t="shared" si="57"/>
        <v>0.25</v>
      </c>
      <c r="AG48" s="147">
        <f t="shared" si="60"/>
        <v>1370.1811869298442</v>
      </c>
      <c r="AH48" s="123">
        <f t="shared" si="61"/>
        <v>1</v>
      </c>
      <c r="AI48" s="112">
        <f t="shared" si="61"/>
        <v>5480.7247477193769</v>
      </c>
      <c r="AJ48" s="148">
        <f t="shared" si="62"/>
        <v>2740.3623738596884</v>
      </c>
      <c r="AK48" s="147">
        <f t="shared" si="63"/>
        <v>2740.3623738596884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44552.864999999998</v>
      </c>
      <c r="J65" s="39">
        <f>SUM(J37:J64)</f>
        <v>44057.252176431059</v>
      </c>
      <c r="K65" s="40">
        <f>SUM(K37:K64)</f>
        <v>1</v>
      </c>
      <c r="L65" s="22">
        <f>SUM(L37:L64)</f>
        <v>0.78749745217759903</v>
      </c>
      <c r="M65" s="24">
        <f>SUM(M37:M64)</f>
        <v>0.79469064793930422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6143.7922000672324</v>
      </c>
      <c r="AB65" s="137"/>
      <c r="AC65" s="153">
        <f>SUM(AC37:AC64)</f>
        <v>6003.1807809703751</v>
      </c>
      <c r="AD65" s="137"/>
      <c r="AE65" s="153">
        <f>SUM(AE37:AE64)</f>
        <v>4993.6074012856816</v>
      </c>
      <c r="AF65" s="137"/>
      <c r="AG65" s="153">
        <f>SUM(AG37:AG64)</f>
        <v>4978.0917941077632</v>
      </c>
      <c r="AH65" s="137"/>
      <c r="AI65" s="153">
        <f>SUM(AI37:AI64)</f>
        <v>22118.672176431053</v>
      </c>
      <c r="AJ65" s="153">
        <f>SUM(AJ37:AJ64)</f>
        <v>12146.972981037608</v>
      </c>
      <c r="AK65" s="153">
        <f>SUM(AK37:AK64)</f>
        <v>9971.6991953934448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1571.6673023874096</v>
      </c>
      <c r="K72" s="40">
        <f t="shared" si="78"/>
        <v>0.37532806031800431</v>
      </c>
      <c r="L72" s="22">
        <f t="shared" si="76"/>
        <v>0.1060703238492809</v>
      </c>
      <c r="M72" s="24">
        <f t="shared" si="79"/>
        <v>2.8349232990690927E-2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21874.579350503485</v>
      </c>
      <c r="J74" s="51">
        <f t="shared" si="75"/>
        <v>6020.1792245471233</v>
      </c>
      <c r="K74" s="40">
        <f>B74/B$76</f>
        <v>4.4282506155358545E-2</v>
      </c>
      <c r="L74" s="22">
        <f t="shared" si="76"/>
        <v>2.367578407924447E-2</v>
      </c>
      <c r="M74" s="24">
        <f>J74/B$76</f>
        <v>0.10859007069953956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474.22078769310201</v>
      </c>
      <c r="AB74" s="156"/>
      <c r="AC74" s="147">
        <f>AC30*$I$83/4</f>
        <v>333.60936859624508</v>
      </c>
      <c r="AD74" s="156"/>
      <c r="AE74" s="147">
        <f>AE30*$I$83/4</f>
        <v>-675.96401108844839</v>
      </c>
      <c r="AF74" s="156"/>
      <c r="AG74" s="147">
        <f>AG30*$I$83/4</f>
        <v>-691.47961826636686</v>
      </c>
      <c r="AH74" s="155"/>
      <c r="AI74" s="147">
        <f>SUM(AA74,AC74,AE74,AG74)</f>
        <v>-559.61347306546816</v>
      </c>
      <c r="AJ74" s="148">
        <f>(AA74+AC74)</f>
        <v>807.83015628934709</v>
      </c>
      <c r="AK74" s="147">
        <f>(AE74+AG74)</f>
        <v>-1367.4436293548151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44552.865000000005</v>
      </c>
      <c r="J76" s="51">
        <f t="shared" si="75"/>
        <v>44057.252176431051</v>
      </c>
      <c r="K76" s="40">
        <f>SUM(K70:K75)</f>
        <v>0.99999999999999989</v>
      </c>
      <c r="L76" s="22">
        <f>SUM(L70:L75)</f>
        <v>0.78749745217759914</v>
      </c>
      <c r="M76" s="24">
        <f>SUM(M70:M75)</f>
        <v>0.79469064793930411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6143.7922000672324</v>
      </c>
      <c r="AB76" s="137"/>
      <c r="AC76" s="153">
        <f>AC65</f>
        <v>6003.1807809703751</v>
      </c>
      <c r="AD76" s="137"/>
      <c r="AE76" s="153">
        <f>AE65</f>
        <v>4993.6074012856816</v>
      </c>
      <c r="AF76" s="137"/>
      <c r="AG76" s="153">
        <f>AG65</f>
        <v>4978.0917941077632</v>
      </c>
      <c r="AH76" s="137"/>
      <c r="AI76" s="153">
        <f>SUM(AA76,AC76,AE76,AG76)</f>
        <v>22118.672176431053</v>
      </c>
      <c r="AJ76" s="154">
        <f>SUM(AA76,AC76)</f>
        <v>12146.972981037608</v>
      </c>
      <c r="AK76" s="154">
        <f>SUM(AE76,AG76)</f>
        <v>9971.6991953934448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-0.1426173446902983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1423.132396817452</v>
      </c>
      <c r="AD77" s="112"/>
      <c r="AE77" s="111">
        <f>AE31*$I$83/4</f>
        <v>2570.5723468086103</v>
      </c>
      <c r="AF77" s="112"/>
      <c r="AG77" s="111">
        <f>AG31*$I$83/4</f>
        <v>2586.0879539865286</v>
      </c>
      <c r="AH77" s="110"/>
      <c r="AI77" s="154">
        <f>SUM(AA77,AC77,AE77,AG77)</f>
        <v>6579.7926976125909</v>
      </c>
      <c r="AJ77" s="153">
        <f>SUM(AA77,AC77)</f>
        <v>1423.132396817452</v>
      </c>
      <c r="AK77" s="160">
        <f>SUM(AE77,AG77)</f>
        <v>5156.6603007951389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4.5474735088646412E-13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474.22078769310247</v>
      </c>
      <c r="AB79" s="112"/>
      <c r="AC79" s="112">
        <f>AA79-AA74+AC65-AC70</f>
        <v>333.60936859624508</v>
      </c>
      <c r="AD79" s="112"/>
      <c r="AE79" s="112">
        <f>AC79-AC74+AE65-AE70</f>
        <v>-675.96401108844839</v>
      </c>
      <c r="AF79" s="112"/>
      <c r="AG79" s="112">
        <f>AE79-AE74+AG65-AG70</f>
        <v>-691.47961826636674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0.3575757575757576</v>
      </c>
      <c r="I91" s="22">
        <f t="shared" ref="I91" si="82">(D91*H91)</f>
        <v>0.17704087434052967</v>
      </c>
      <c r="J91" s="24">
        <f>IF(I$32&lt;=1+I$131,I91,L91+J$33*(I91-L91))</f>
        <v>0.17704087434052967</v>
      </c>
      <c r="K91" s="22">
        <f t="shared" ref="K91" si="83">IF(B91="",0,B91)</f>
        <v>0.49511430959639652</v>
      </c>
      <c r="L91" s="22">
        <f t="shared" ref="L91" si="84">(K91*H91)</f>
        <v>0.17704087434052967</v>
      </c>
      <c r="M91" s="226">
        <f t="shared" si="80"/>
        <v>0.17704087434052967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0.3575757575757576</v>
      </c>
      <c r="I92" s="22">
        <f t="shared" ref="I92:I118" si="88">(D92*H92)</f>
        <v>2.9437384596229247E-2</v>
      </c>
      <c r="J92" s="24">
        <f t="shared" ref="J92:J118" si="89">IF(I$32&lt;=1+I$131,I92,L92+J$33*(I92-L92))</f>
        <v>2.9437384596229247E-2</v>
      </c>
      <c r="K92" s="22">
        <f t="shared" ref="K92:K118" si="90">IF(B92="",0,B92)</f>
        <v>8.2324889125047887E-2</v>
      </c>
      <c r="L92" s="22">
        <f t="shared" ref="L92:L118" si="91">(K92*H92)</f>
        <v>2.9437384596229247E-2</v>
      </c>
      <c r="M92" s="226">
        <f t="shared" ref="M92:M118" si="92">(J92)</f>
        <v>2.9437384596229247E-2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0.7151515151515152</v>
      </c>
      <c r="I93" s="22">
        <f t="shared" si="88"/>
        <v>1.2219291719189498E-3</v>
      </c>
      <c r="J93" s="24">
        <f t="shared" si="89"/>
        <v>1.2219291719189498E-3</v>
      </c>
      <c r="K93" s="22">
        <f t="shared" si="90"/>
        <v>1.7086297742934468E-3</v>
      </c>
      <c r="L93" s="22">
        <f t="shared" si="91"/>
        <v>1.2219291719189498E-3</v>
      </c>
      <c r="M93" s="226">
        <f t="shared" si="92"/>
        <v>1.2219291719189498E-3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5.842518653538983E-3</v>
      </c>
      <c r="K96" s="22">
        <f t="shared" si="90"/>
        <v>6.2131991792488975E-2</v>
      </c>
      <c r="L96" s="22">
        <f t="shared" si="91"/>
        <v>1.0543610728422371E-2</v>
      </c>
      <c r="M96" s="226">
        <f t="shared" si="92"/>
        <v>5.842518653538983E-3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0.33636363636363642</v>
      </c>
      <c r="I97" s="22">
        <f t="shared" si="88"/>
        <v>0.17659606576292436</v>
      </c>
      <c r="J97" s="24">
        <f t="shared" si="89"/>
        <v>0.17659606576292436</v>
      </c>
      <c r="K97" s="22">
        <f t="shared" si="90"/>
        <v>0.52501533064653183</v>
      </c>
      <c r="L97" s="22">
        <f t="shared" si="91"/>
        <v>0.17659606576292436</v>
      </c>
      <c r="M97" s="226">
        <f t="shared" si="92"/>
        <v>0.17659606576292436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0.33636363636363642</v>
      </c>
      <c r="I98" s="22">
        <f t="shared" si="88"/>
        <v>0.26855141361580809</v>
      </c>
      <c r="J98" s="24">
        <f t="shared" si="89"/>
        <v>0.26855141361580809</v>
      </c>
      <c r="K98" s="22">
        <f t="shared" si="90"/>
        <v>0.79839609453348337</v>
      </c>
      <c r="L98" s="22">
        <f t="shared" si="91"/>
        <v>0.26855141361580809</v>
      </c>
      <c r="M98" s="226">
        <f t="shared" si="92"/>
        <v>0.26855141361580809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0.33636363636363642</v>
      </c>
      <c r="I99" s="22">
        <f t="shared" si="88"/>
        <v>0.20376469126491273</v>
      </c>
      <c r="J99" s="24">
        <f t="shared" si="89"/>
        <v>0.20376469126491273</v>
      </c>
      <c r="K99" s="22">
        <f t="shared" si="90"/>
        <v>0.60578691997676748</v>
      </c>
      <c r="L99" s="22">
        <f t="shared" si="91"/>
        <v>0.20376469126491273</v>
      </c>
      <c r="M99" s="226">
        <f t="shared" si="92"/>
        <v>0.20376469126491273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0.28606060606060607</v>
      </c>
      <c r="I100" s="22">
        <f t="shared" si="88"/>
        <v>0.53320545683735998</v>
      </c>
      <c r="J100" s="24">
        <f t="shared" si="89"/>
        <v>0.53320545683735998</v>
      </c>
      <c r="K100" s="22">
        <f t="shared" si="90"/>
        <v>1.8639597537746693</v>
      </c>
      <c r="L100" s="22">
        <f t="shared" si="91"/>
        <v>0.53320545683735998</v>
      </c>
      <c r="M100" s="226">
        <f t="shared" si="92"/>
        <v>0.53320545683735998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0.42909090909090908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0.51595203794271449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0.51595203794271449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4.1941791553210148</v>
      </c>
      <c r="J119" s="24">
        <f>SUM(J91:J118)</f>
        <v>4.1475224706448959</v>
      </c>
      <c r="K119" s="22">
        <f>SUM(K91:K118)</f>
        <v>8.611416397449231</v>
      </c>
      <c r="L119" s="22">
        <f>SUM(L91:L118)</f>
        <v>4.1099808925040415</v>
      </c>
      <c r="M119" s="57">
        <f t="shared" si="80"/>
        <v>4.1475224706448959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0.14795578777645124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0.55358528853239264</v>
      </c>
      <c r="M126" s="239">
        <f t="shared" si="93"/>
        <v>0.14795578777645124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2.0592593707115627</v>
      </c>
      <c r="J128" s="227">
        <f>(J30)</f>
        <v>0.56673594874071898</v>
      </c>
      <c r="K128" s="29">
        <f>(B128)</f>
        <v>0.38133509962640105</v>
      </c>
      <c r="L128" s="29">
        <f>IF(L124=L119,0,(L119-L124)/(B119-B124)*K128)</f>
        <v>0.1235648698439232</v>
      </c>
      <c r="M128" s="239">
        <f t="shared" si="93"/>
        <v>0.56673594874071898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4.1941791553210148</v>
      </c>
      <c r="J130" s="227">
        <f>(J119)</f>
        <v>4.1475224706448959</v>
      </c>
      <c r="K130" s="29">
        <f>(B130)</f>
        <v>8.611416397449231</v>
      </c>
      <c r="L130" s="29">
        <f>(L119)</f>
        <v>4.1099808925040415</v>
      </c>
      <c r="M130" s="239">
        <f t="shared" si="93"/>
        <v>4.1475224706448959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0.74432566098588104</v>
      </c>
      <c r="M131" s="236">
        <f>IF(I131&lt;SUM(M126:M127),0,I131-(SUM(M126:M127)))</f>
        <v>1.1499551617418224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8.0086236612702342E-3</v>
      </c>
      <c r="J6" s="24">
        <f t="shared" ref="J6:J13" si="3">IF(I$32&lt;=1+I$131,I6,B6*H6+J$33*(I6-B6*H6))</f>
        <v>8.0086236612702342E-3</v>
      </c>
      <c r="K6" s="22">
        <f t="shared" ref="K6:K31" si="4">B6</f>
        <v>4.0043118306351169E-2</v>
      </c>
      <c r="L6" s="22">
        <f t="shared" ref="L6:L29" si="5">IF(K6="","",K6*H6)</f>
        <v>8.0086236612702342E-3</v>
      </c>
      <c r="M6" s="223">
        <f t="shared" ref="M6:M31" si="6">J6</f>
        <v>8.0086236612702342E-3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3.2034494645080937E-2</v>
      </c>
      <c r="Z6" s="156">
        <f>Poor!Z6</f>
        <v>0.17</v>
      </c>
      <c r="AA6" s="121">
        <f>$M6*Z6*4</f>
        <v>5.4458640896637598E-3</v>
      </c>
      <c r="AB6" s="156">
        <f>Poor!AB6</f>
        <v>0.17</v>
      </c>
      <c r="AC6" s="121">
        <f t="shared" ref="AC6:AC29" si="7">$M6*AB6*4</f>
        <v>5.4458640896637598E-3</v>
      </c>
      <c r="AD6" s="156">
        <f>Poor!AD6</f>
        <v>0.33</v>
      </c>
      <c r="AE6" s="121">
        <f t="shared" ref="AE6:AE29" si="8">$M6*AD6*4</f>
        <v>1.0571383232876709E-2</v>
      </c>
      <c r="AF6" s="122">
        <f>1-SUM(Z6,AB6,AD6)</f>
        <v>0.32999999999999996</v>
      </c>
      <c r="AG6" s="121">
        <f>$M6*AF6*4</f>
        <v>1.0571383232876708E-2</v>
      </c>
      <c r="AH6" s="123">
        <f>SUM(Z6,AB6,AD6,AF6)</f>
        <v>1</v>
      </c>
      <c r="AI6" s="183">
        <f>SUM(AA6,AC6,AE6,AG6)/4</f>
        <v>8.0086236612702342E-3</v>
      </c>
      <c r="AJ6" s="120">
        <f>(AA6+AC6)/2</f>
        <v>5.4458640896637598E-3</v>
      </c>
      <c r="AK6" s="119">
        <f>(AE6+AG6)/2</f>
        <v>1.0571383232876708E-2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1.8900560398505606E-3</v>
      </c>
      <c r="J7" s="24">
        <f t="shared" si="3"/>
        <v>1.8900560398505606E-3</v>
      </c>
      <c r="K7" s="22">
        <f t="shared" si="4"/>
        <v>9.4502801992528019E-3</v>
      </c>
      <c r="L7" s="22">
        <f t="shared" si="5"/>
        <v>1.8900560398505606E-3</v>
      </c>
      <c r="M7" s="223">
        <f t="shared" si="6"/>
        <v>1.8900560398505606E-3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1328.335841736455</v>
      </c>
      <c r="T7" s="221">
        <f>IF($B$81=0,0,(SUMIF($N$6:$N$28,$U7,M$6:M$28)+SUMIF($N$91:$N$118,$U7,M$91:M$118))*$I$83*Poor!$B$81/$B$81)</f>
        <v>1437.0783965945006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7.5602241594022422E-3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7.5602241594022422E-3</v>
      </c>
      <c r="AH7" s="123">
        <f t="shared" ref="AH7:AH30" si="12">SUM(Z7,AB7,AD7,AF7)</f>
        <v>1</v>
      </c>
      <c r="AI7" s="183">
        <f t="shared" ref="AI7:AI30" si="13">SUM(AA7,AC7,AE7,AG7)/4</f>
        <v>1.8900560398505606E-3</v>
      </c>
      <c r="AJ7" s="120">
        <f t="shared" ref="AJ7:AJ31" si="14">(AA7+AC7)/2</f>
        <v>0</v>
      </c>
      <c r="AK7" s="119">
        <f t="shared" ref="AK7:AK31" si="15">(AE7+AG7)/2</f>
        <v>3.7801120797011211E-3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0.34067934246575332</v>
      </c>
      <c r="J8" s="24">
        <f t="shared" si="3"/>
        <v>0.12385683931211067</v>
      </c>
      <c r="K8" s="22">
        <f t="shared" si="4"/>
        <v>0.378532602739726</v>
      </c>
      <c r="L8" s="22">
        <f t="shared" si="5"/>
        <v>0.1135597808219178</v>
      </c>
      <c r="M8" s="223">
        <f t="shared" si="6"/>
        <v>0.12385683931211067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1329.2159999999999</v>
      </c>
      <c r="T8" s="221">
        <f>IF($B$81=0,0,(SUMIF($N$6:$N$28,$U8,M$6:M$28)+SUMIF($N$91:$N$118,$U8,M$91:M$118))*$I$83*Poor!$B$81/$B$81)</f>
        <v>1277.7117477324696</v>
      </c>
      <c r="U8" s="222">
        <v>2</v>
      </c>
      <c r="V8" s="56"/>
      <c r="W8" s="115"/>
      <c r="X8" s="118">
        <f>Poor!X8</f>
        <v>1</v>
      </c>
      <c r="Y8" s="183">
        <f t="shared" si="9"/>
        <v>0.49542735724844267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0.49542735724844267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0.12385683931211067</v>
      </c>
      <c r="AJ8" s="120">
        <f t="shared" si="14"/>
        <v>0.24771367862422133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1.0163287546699875E-2</v>
      </c>
      <c r="J9" s="24">
        <f t="shared" si="3"/>
        <v>1.1428832115726822E-2</v>
      </c>
      <c r="K9" s="22">
        <f t="shared" si="4"/>
        <v>5.7444668742216695E-2</v>
      </c>
      <c r="L9" s="22">
        <f t="shared" si="5"/>
        <v>1.148893374844334E-2</v>
      </c>
      <c r="M9" s="223">
        <f t="shared" si="6"/>
        <v>1.1428832115726822E-2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105.1491898820714</v>
      </c>
      <c r="T9" s="221">
        <f>IF($B$81=0,0,(SUMIF($N$6:$N$28,$U9,M$6:M$28)+SUMIF($N$91:$N$118,$U9,M$91:M$118))*$I$83*Poor!$B$81/$B$81)</f>
        <v>105.1491898820714</v>
      </c>
      <c r="U9" s="222">
        <v>3</v>
      </c>
      <c r="V9" s="56"/>
      <c r="W9" s="115"/>
      <c r="X9" s="118">
        <f>Poor!X9</f>
        <v>1</v>
      </c>
      <c r="Y9" s="183">
        <f t="shared" si="9"/>
        <v>4.5715328462907288E-2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4.5715328462907288E-2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1.1428832115726822E-2</v>
      </c>
      <c r="AJ9" s="120">
        <f t="shared" si="14"/>
        <v>2.2857664231453644E-2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6088.7999999999984</v>
      </c>
      <c r="T11" s="221">
        <f>IF($B$81=0,0,(SUMIF($N$6:$N$28,$U11,M$6:M$28)+SUMIF($N$91:$N$118,$U11,M$91:M$118))*$I$83*Poor!$B$81/$B$81)</f>
        <v>6226.825824991256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136546.38103161851</v>
      </c>
      <c r="T23" s="179">
        <f>SUM(T7:T22)</f>
        <v>136741.6451592003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1.262579646822414E-2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1.262579646822414E-2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5.050318587289656E-2</v>
      </c>
      <c r="Z27" s="156">
        <f>Poor!Z27</f>
        <v>0.25</v>
      </c>
      <c r="AA27" s="121">
        <f t="shared" si="16"/>
        <v>1.262579646822414E-2</v>
      </c>
      <c r="AB27" s="156">
        <f>Poor!AB27</f>
        <v>0.25</v>
      </c>
      <c r="AC27" s="121">
        <f t="shared" si="7"/>
        <v>1.262579646822414E-2</v>
      </c>
      <c r="AD27" s="156">
        <f>Poor!AD27</f>
        <v>0.25</v>
      </c>
      <c r="AE27" s="121">
        <f t="shared" si="8"/>
        <v>1.262579646822414E-2</v>
      </c>
      <c r="AF27" s="122">
        <f t="shared" si="10"/>
        <v>0.25</v>
      </c>
      <c r="AG27" s="121">
        <f t="shared" si="11"/>
        <v>1.262579646822414E-2</v>
      </c>
      <c r="AH27" s="123">
        <f t="shared" si="12"/>
        <v>1</v>
      </c>
      <c r="AI27" s="183">
        <f t="shared" si="13"/>
        <v>1.262579646822414E-2</v>
      </c>
      <c r="AJ27" s="120">
        <f t="shared" si="14"/>
        <v>1.262579646822414E-2</v>
      </c>
      <c r="AK27" s="119">
        <f t="shared" si="15"/>
        <v>1.262579646822414E-2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9.8555683251655788E-3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9.8555683251655788E-3</v>
      </c>
      <c r="N28" s="228"/>
      <c r="O28" s="2"/>
      <c r="P28" s="22"/>
      <c r="V28" s="56"/>
      <c r="W28" s="110"/>
      <c r="X28" s="118"/>
      <c r="Y28" s="183">
        <f t="shared" si="9"/>
        <v>3.9422273300662315E-2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1.9711136650331158E-2</v>
      </c>
      <c r="AF28" s="122">
        <f t="shared" si="10"/>
        <v>0.5</v>
      </c>
      <c r="AG28" s="121">
        <f t="shared" si="11"/>
        <v>1.9711136650331158E-2</v>
      </c>
      <c r="AH28" s="123">
        <f t="shared" si="12"/>
        <v>1</v>
      </c>
      <c r="AI28" s="183">
        <f t="shared" si="13"/>
        <v>9.8555683251655788E-3</v>
      </c>
      <c r="AJ28" s="120">
        <f t="shared" si="14"/>
        <v>0</v>
      </c>
      <c r="AK28" s="119">
        <f t="shared" si="15"/>
        <v>1.9711136650331158E-2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0.26125758668896221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0.26125758668896221</v>
      </c>
      <c r="N29" s="228"/>
      <c r="P29" s="22"/>
      <c r="V29" s="56"/>
      <c r="W29" s="110"/>
      <c r="X29" s="118"/>
      <c r="Y29" s="183">
        <f t="shared" si="9"/>
        <v>1.0450303467558488</v>
      </c>
      <c r="Z29" s="156">
        <f>Poor!Z29</f>
        <v>0.25</v>
      </c>
      <c r="AA29" s="121">
        <f t="shared" si="16"/>
        <v>0.26125758668896221</v>
      </c>
      <c r="AB29" s="156">
        <f>Poor!AB29</f>
        <v>0.25</v>
      </c>
      <c r="AC29" s="121">
        <f t="shared" si="7"/>
        <v>0.26125758668896221</v>
      </c>
      <c r="AD29" s="156">
        <f>Poor!AD29</f>
        <v>0.25</v>
      </c>
      <c r="AE29" s="121">
        <f t="shared" si="8"/>
        <v>0.26125758668896221</v>
      </c>
      <c r="AF29" s="122">
        <f t="shared" si="10"/>
        <v>0.25</v>
      </c>
      <c r="AG29" s="121">
        <f t="shared" si="11"/>
        <v>0.26125758668896221</v>
      </c>
      <c r="AH29" s="123">
        <f t="shared" si="12"/>
        <v>1</v>
      </c>
      <c r="AI29" s="183">
        <f t="shared" si="13"/>
        <v>0.26125758668896221</v>
      </c>
      <c r="AJ29" s="120">
        <f t="shared" si="14"/>
        <v>0.26125758668896221</v>
      </c>
      <c r="AK29" s="119">
        <f t="shared" si="15"/>
        <v>0.26125758668896221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10.768106262441936</v>
      </c>
      <c r="J30" s="230">
        <f>IF(I$32&lt;=1,I30,1-SUM(J6:J29))</f>
        <v>0.57107669738868982</v>
      </c>
      <c r="K30" s="22">
        <f t="shared" si="4"/>
        <v>0.53191651606475721</v>
      </c>
      <c r="L30" s="22">
        <f>IF(L124=L119,0,IF(K30="",0,(L119-L124)/(B119-B124)*K30))</f>
        <v>0.27785021814339833</v>
      </c>
      <c r="M30" s="175">
        <f t="shared" si="6"/>
        <v>0.57107669738868982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2.2843067895547593</v>
      </c>
      <c r="Z30" s="122">
        <f>IF($Y30=0,0,AA30/($Y$30))</f>
        <v>7.8591924632326796E-2</v>
      </c>
      <c r="AA30" s="187">
        <f>IF(AA79*4/$I$84+SUM(AA6:AA29)&lt;1,AA79*4/$I$84,1-SUM(AA6:AA29))</f>
        <v>0.17952806704180002</v>
      </c>
      <c r="AB30" s="122">
        <f>IF($Y30=0,0,AC30/($Y$30))</f>
        <v>0.31548772522521717</v>
      </c>
      <c r="AC30" s="187">
        <f>IF(AC79*4/$I$84+SUM(AC6:AC29)&lt;1,AC79*4/$I$84,1-SUM(AC6:AC29))</f>
        <v>0.72067075275314996</v>
      </c>
      <c r="AD30" s="122">
        <f>IF($Y30=0,0,AE30/($Y$30))</f>
        <v>0.30461499310923673</v>
      </c>
      <c r="AE30" s="187">
        <f>IF(AE79*4/$I$84+SUM(AE6:AE29)&lt;1,AE79*4/$I$84,1-SUM(AE6:AE29))</f>
        <v>0.69583409695960574</v>
      </c>
      <c r="AF30" s="122">
        <f>IF($Y30=0,0,AG30/($Y$30))</f>
        <v>0.30130535703321926</v>
      </c>
      <c r="AG30" s="187">
        <f>IF(AG79*4/$I$84+SUM(AG6:AG29)&lt;1,AG79*4/$I$84,1-SUM(AG6:AG29))</f>
        <v>0.68827387280020358</v>
      </c>
      <c r="AH30" s="123">
        <f t="shared" si="12"/>
        <v>0.99999999999999989</v>
      </c>
      <c r="AI30" s="183">
        <f t="shared" si="13"/>
        <v>0.57107669738868982</v>
      </c>
      <c r="AJ30" s="120">
        <f t="shared" si="14"/>
        <v>0.45009940989747499</v>
      </c>
      <c r="AK30" s="119">
        <f t="shared" si="15"/>
        <v>0.69205398487990466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0.30065663067353821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11.353484346097508</v>
      </c>
      <c r="J32" s="17"/>
      <c r="L32" s="22">
        <f>SUM(L6:L30)</f>
        <v>0.69934336932646179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4.5337611677590865E-2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4826.9967635591138</v>
      </c>
      <c r="K37" s="40">
        <f>(B37/B$65)</f>
        <v>6.5453593402277785E-2</v>
      </c>
      <c r="L37" s="22">
        <f t="shared" ref="L37" si="28">(K37*H37)</f>
        <v>3.8617620107343889E-2</v>
      </c>
      <c r="M37" s="24">
        <f>J37/B$65</f>
        <v>3.949303543951363E-2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4826.9967635591138</v>
      </c>
      <c r="AH37" s="123">
        <f>SUM(Z37,AB37,AD37,AF37)</f>
        <v>1</v>
      </c>
      <c r="AI37" s="112">
        <f>SUM(AA37,AC37,AE37,AG37)</f>
        <v>4826.9967635591138</v>
      </c>
      <c r="AJ37" s="148">
        <f>(AA37+AC37)</f>
        <v>0</v>
      </c>
      <c r="AK37" s="147">
        <f>(AE37+AG37)</f>
        <v>4826.9967635591138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531</v>
      </c>
      <c r="J38" s="38">
        <f t="shared" ref="J38:J64" si="32">J92*I$83</f>
        <v>362.02475726693353</v>
      </c>
      <c r="K38" s="40">
        <f t="shared" ref="K38:K64" si="33">(B38/B$65)</f>
        <v>4.9090195051708337E-3</v>
      </c>
      <c r="L38" s="22">
        <f t="shared" ref="L38:L64" si="34">(K38*H38)</f>
        <v>2.8963215080507919E-3</v>
      </c>
      <c r="M38" s="24">
        <f t="shared" ref="M38:M64" si="35">J38/B$65</f>
        <v>2.961977657963522E-3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362.02475726693353</v>
      </c>
      <c r="AH38" s="123">
        <f t="shared" ref="AH38:AI58" si="37">SUM(Z38,AB38,AD38,AF38)</f>
        <v>1</v>
      </c>
      <c r="AI38" s="112">
        <f t="shared" si="37"/>
        <v>362.02475726693353</v>
      </c>
      <c r="AJ38" s="148">
        <f t="shared" ref="AJ38:AJ64" si="38">(AA38+AC38)</f>
        <v>0</v>
      </c>
      <c r="AK38" s="147">
        <f t="shared" ref="AK38:AK64" si="39">(AE38+AG38)</f>
        <v>362.02475726693353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923.80769993182878</v>
      </c>
      <c r="K40" s="40">
        <f t="shared" si="33"/>
        <v>1.8850634899856004E-2</v>
      </c>
      <c r="L40" s="22">
        <f t="shared" si="34"/>
        <v>7.9172666579395215E-3</v>
      </c>
      <c r="M40" s="24">
        <f t="shared" si="35"/>
        <v>7.5583166966539201E-3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923.80769993182878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923.80769993182878</v>
      </c>
      <c r="AJ40" s="148">
        <f t="shared" si="38"/>
        <v>923.80769993182878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160.99999999999997</v>
      </c>
      <c r="J41" s="38">
        <f t="shared" si="32"/>
        <v>140.95208984522935</v>
      </c>
      <c r="K41" s="40">
        <f t="shared" si="33"/>
        <v>4.0908495876423616E-3</v>
      </c>
      <c r="L41" s="22">
        <f t="shared" si="34"/>
        <v>1.1454378845398611E-3</v>
      </c>
      <c r="M41" s="24">
        <f t="shared" si="35"/>
        <v>1.1532275972413711E-3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140.95208984522935</v>
      </c>
      <c r="AH41" s="123">
        <f t="shared" si="37"/>
        <v>1</v>
      </c>
      <c r="AI41" s="112">
        <f t="shared" si="37"/>
        <v>140.95208984522935</v>
      </c>
      <c r="AJ41" s="148">
        <f t="shared" si="38"/>
        <v>0</v>
      </c>
      <c r="AK41" s="147">
        <f t="shared" si="39"/>
        <v>140.95208984522935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114184.4</v>
      </c>
      <c r="J65" s="39">
        <f>SUM(J37:J64)</f>
        <v>112666.1813106031</v>
      </c>
      <c r="K65" s="40">
        <f>SUM(K37:K64)</f>
        <v>0.99999999999999989</v>
      </c>
      <c r="L65" s="22">
        <f>SUM(L37:L64)</f>
        <v>0.921210891477942</v>
      </c>
      <c r="M65" s="24">
        <f>SUM(M37:M64)</f>
        <v>0.92180080271144038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27526.907699931828</v>
      </c>
      <c r="AB65" s="137"/>
      <c r="AC65" s="153">
        <f>SUM(AC37:AC64)</f>
        <v>26603.1</v>
      </c>
      <c r="AD65" s="137"/>
      <c r="AE65" s="153">
        <f>SUM(AE37:AE64)</f>
        <v>26603.1</v>
      </c>
      <c r="AF65" s="137"/>
      <c r="AG65" s="153">
        <f>SUM(AG37:AG64)</f>
        <v>31933.073610671276</v>
      </c>
      <c r="AH65" s="137"/>
      <c r="AI65" s="153">
        <f>SUM(AI37:AI64)</f>
        <v>112666.1813106031</v>
      </c>
      <c r="AJ65" s="153">
        <f>SUM(AJ37:AJ64)</f>
        <v>54130.007699931826</v>
      </c>
      <c r="AK65" s="153">
        <f>SUM(AK37:AK64)</f>
        <v>58536.173610671271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95320.595292086233</v>
      </c>
      <c r="J74" s="51">
        <f t="shared" si="44"/>
        <v>5055.2408590537007</v>
      </c>
      <c r="K74" s="40">
        <f>B74/B$76</f>
        <v>2.3348041243885415E-2</v>
      </c>
      <c r="L74" s="22">
        <f t="shared" si="45"/>
        <v>2.012341403002044E-2</v>
      </c>
      <c r="M74" s="24">
        <f>J74/B$76</f>
        <v>4.1360459967385299E-2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1154.6982683415363</v>
      </c>
      <c r="AB74" s="156"/>
      <c r="AC74" s="147">
        <f>AC30*$I$84/4</f>
        <v>4635.2488720033971</v>
      </c>
      <c r="AD74" s="156"/>
      <c r="AE74" s="147">
        <f>AE30*$I$84/4</f>
        <v>4475.503134700255</v>
      </c>
      <c r="AF74" s="156"/>
      <c r="AG74" s="147">
        <f>AG30*$I$84/4</f>
        <v>4426.8768787115296</v>
      </c>
      <c r="AH74" s="155"/>
      <c r="AI74" s="147">
        <f>SUM(AA74,AC74,AE74,AG74)</f>
        <v>14692.327153756718</v>
      </c>
      <c r="AJ74" s="148">
        <f>(AA74+AC74)</f>
        <v>5789.9471403449334</v>
      </c>
      <c r="AK74" s="147">
        <f>(AE74+AG74)</f>
        <v>8902.3800134117846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21187.809076968955</v>
      </c>
      <c r="K75" s="40">
        <f>B75/B$76</f>
        <v>0.39797827039208566</v>
      </c>
      <c r="L75" s="22">
        <f t="shared" si="45"/>
        <v>0.19399941475499358</v>
      </c>
      <c r="M75" s="24">
        <f>J75/B$76</f>
        <v>0.17335228005112707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26162.400459409637</v>
      </c>
      <c r="AB75" s="158"/>
      <c r="AC75" s="149">
        <f>AA75+AC65-SUM(AC70,AC74)</f>
        <v>43414.300410427801</v>
      </c>
      <c r="AD75" s="158"/>
      <c r="AE75" s="149">
        <f>AC75+AE65-SUM(AE70,AE74)</f>
        <v>60825.946098749104</v>
      </c>
      <c r="AF75" s="158"/>
      <c r="AG75" s="149">
        <f>IF(SUM(AG6:AG29)+((AG65-AG70-$J$75)*4/I$83)&lt;1,0,AG65-AG70-$J$75-(1-SUM(AG6:AG29))*I$83/4)</f>
        <v>4506.1422047977867</v>
      </c>
      <c r="AH75" s="134"/>
      <c r="AI75" s="149">
        <f>AI76-SUM(AI70,AI74)</f>
        <v>79110.049448932623</v>
      </c>
      <c r="AJ75" s="151">
        <f>AJ76-SUM(AJ70,AJ74)</f>
        <v>38908.15820563001</v>
      </c>
      <c r="AK75" s="149">
        <f>AJ75+AK76-SUM(AK70,AK74)</f>
        <v>79110.049448932623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114184.4</v>
      </c>
      <c r="J76" s="51">
        <f t="shared" si="44"/>
        <v>112666.1813106031</v>
      </c>
      <c r="K76" s="40">
        <f>SUM(K70:K75)</f>
        <v>1</v>
      </c>
      <c r="L76" s="22">
        <f>SUM(L70:L75)</f>
        <v>0.92121089147794222</v>
      </c>
      <c r="M76" s="24">
        <f>SUM(M70:M75)</f>
        <v>0.92180080271144038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27526.907699931828</v>
      </c>
      <c r="AB76" s="137"/>
      <c r="AC76" s="153">
        <f>AC65</f>
        <v>26603.1</v>
      </c>
      <c r="AD76" s="137"/>
      <c r="AE76" s="153">
        <f>AE65</f>
        <v>26603.1</v>
      </c>
      <c r="AF76" s="137"/>
      <c r="AG76" s="153">
        <f>AG65</f>
        <v>31933.073610671276</v>
      </c>
      <c r="AH76" s="137"/>
      <c r="AI76" s="153">
        <f>SUM(AA76,AC76,AE76,AG76)</f>
        <v>112666.1813106031</v>
      </c>
      <c r="AJ76" s="154">
        <f>SUM(AA76,AC76)</f>
        <v>54130.007699931826</v>
      </c>
      <c r="AK76" s="154">
        <f>SUM(AE76,AG76)</f>
        <v>58536.173610671278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4506.1422047977867</v>
      </c>
      <c r="AB78" s="112"/>
      <c r="AC78" s="112">
        <f>IF(AA75&lt;0,0,AA75)</f>
        <v>26162.400459409637</v>
      </c>
      <c r="AD78" s="112"/>
      <c r="AE78" s="112">
        <f>AC75</f>
        <v>43414.300410427801</v>
      </c>
      <c r="AF78" s="112"/>
      <c r="AG78" s="112">
        <f>AE75</f>
        <v>60825.946098749104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27317.098727751174</v>
      </c>
      <c r="AB79" s="112"/>
      <c r="AC79" s="112">
        <f>AA79-AA74+AC65-AC70</f>
        <v>48049.549282431195</v>
      </c>
      <c r="AD79" s="112"/>
      <c r="AE79" s="112">
        <f>AC79-AC74+AE65-AE70</f>
        <v>65301.449233449355</v>
      </c>
      <c r="AF79" s="112"/>
      <c r="AG79" s="112">
        <f>AE79-AE74+AG65-AG70</f>
        <v>88043.068532441932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0.3575757575757576</v>
      </c>
      <c r="I91" s="22">
        <f t="shared" ref="I91" si="52">(D91*H91)</f>
        <v>0.79980818525603981</v>
      </c>
      <c r="J91" s="24">
        <f>IF(I$32&lt;=1+I$131,I91,L91+J$33*(I91-L91))</f>
        <v>0.5452925878105922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49"/>
        <v>0.5452925878105922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0.3575757575757576</v>
      </c>
      <c r="I92" s="22">
        <f t="shared" ref="I92:I118" si="58">(D92*H92)</f>
        <v>5.9985613894202983E-2</v>
      </c>
      <c r="J92" s="24">
        <f t="shared" ref="J92:J118" si="59">IF(I$32&lt;=1+I$131,I92,L92+J$33*(I92-L92))</f>
        <v>4.0896944085794411E-2</v>
      </c>
      <c r="K92" s="22">
        <f t="shared" ref="K92:K118" si="60">(B92)</f>
        <v>0.11183758522648013</v>
      </c>
      <c r="L92" s="22">
        <f t="shared" ref="L92:L118" si="61">(K92*H92)</f>
        <v>3.9990409262801986E-2</v>
      </c>
      <c r="M92" s="226">
        <f t="shared" ref="M92:M118" si="62">(J92)</f>
        <v>4.0896944085794411E-2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0.10436002260000454</v>
      </c>
      <c r="K94" s="22">
        <f t="shared" si="60"/>
        <v>0.42945632726968369</v>
      </c>
      <c r="L94" s="22">
        <f t="shared" si="61"/>
        <v>0.10931615603228313</v>
      </c>
      <c r="M94" s="226">
        <f t="shared" si="62"/>
        <v>0.10436002260000454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0.16969696969696968</v>
      </c>
      <c r="I95" s="22">
        <f t="shared" si="58"/>
        <v>1.8187728506528583E-2</v>
      </c>
      <c r="J95" s="24">
        <f t="shared" si="59"/>
        <v>1.5922971071632652E-2</v>
      </c>
      <c r="K95" s="22">
        <f t="shared" si="60"/>
        <v>9.3197987688733441E-2</v>
      </c>
      <c r="L95" s="22">
        <f t="shared" si="61"/>
        <v>1.5815416092633552E-2</v>
      </c>
      <c r="M95" s="226">
        <f t="shared" si="62"/>
        <v>1.5922971071632652E-2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0.33636363636363642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0.28606060606060607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0.42909090909090908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12.899098552055049</v>
      </c>
      <c r="J119" s="24">
        <f>SUM(J91:J118)</f>
        <v>12.727589549966302</v>
      </c>
      <c r="K119" s="22">
        <f>SUM(K91:K118)</f>
        <v>22.782061694535514</v>
      </c>
      <c r="L119" s="22">
        <f>SUM(L91:L118)</f>
        <v>12.719444462623356</v>
      </c>
      <c r="M119" s="57">
        <f t="shared" si="49"/>
        <v>12.727589549966302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10.768106262441936</v>
      </c>
      <c r="J128" s="227">
        <f>(J30)</f>
        <v>0.57107669738868982</v>
      </c>
      <c r="K128" s="22">
        <f>(B128)</f>
        <v>0.53191651606475721</v>
      </c>
      <c r="L128" s="22">
        <f>IF(L124=L119,0,(L119-L124)/(B119-B124)*K128)</f>
        <v>0.27785021814339833</v>
      </c>
      <c r="M128" s="57">
        <f t="shared" si="63"/>
        <v>0.57107669738868982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2.3935286903110153</v>
      </c>
      <c r="K129" s="29">
        <f>(B129)</f>
        <v>9.0667655091570314</v>
      </c>
      <c r="L129" s="60">
        <f>IF(SUM(L124:L128)&gt;L130,0,L130-SUM(L124:L128))</f>
        <v>2.6786100822133623</v>
      </c>
      <c r="M129" s="57">
        <f t="shared" si="63"/>
        <v>2.3935286903110153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12.899098552055049</v>
      </c>
      <c r="J130" s="227">
        <f>(J119)</f>
        <v>12.727589549966302</v>
      </c>
      <c r="K130" s="22">
        <f>(B130)</f>
        <v>22.782061694535514</v>
      </c>
      <c r="L130" s="22">
        <f>(L119)</f>
        <v>12.719444462623356</v>
      </c>
      <c r="M130" s="57">
        <f t="shared" si="63"/>
        <v>12.727589549966302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8.0086236612702394E-3</v>
      </c>
      <c r="J6" s="24">
        <f t="shared" ref="J6:J13" si="3">IF(I$32&lt;=1+I$131,I6,B6*H6+J$33*(I6-B6*H6))</f>
        <v>8.0086236612702394E-3</v>
      </c>
      <c r="K6" s="22">
        <f t="shared" ref="K6:K31" si="4">B6</f>
        <v>4.0043118306351197E-2</v>
      </c>
      <c r="L6" s="22">
        <f t="shared" ref="L6:L29" si="5">IF(K6="","",K6*H6)</f>
        <v>8.0086236612702394E-3</v>
      </c>
      <c r="M6" s="256">
        <f t="shared" ref="M6:M31" si="6">J6</f>
        <v>8.0086236612702394E-3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3.2034494645080958E-2</v>
      </c>
      <c r="Z6" s="156">
        <f>Poor!Z6</f>
        <v>0.17</v>
      </c>
      <c r="AA6" s="121">
        <f>$M6*Z6*4</f>
        <v>5.4458640896637633E-3</v>
      </c>
      <c r="AB6" s="156">
        <f>Poor!AB6</f>
        <v>0.17</v>
      </c>
      <c r="AC6" s="121">
        <f t="shared" ref="AC6:AC29" si="7">$M6*AB6*4</f>
        <v>5.4458640896637633E-3</v>
      </c>
      <c r="AD6" s="156">
        <f>Poor!AD6</f>
        <v>0.33</v>
      </c>
      <c r="AE6" s="121">
        <f t="shared" ref="AE6:AE29" si="8">$M6*AD6*4</f>
        <v>1.0571383232876716E-2</v>
      </c>
      <c r="AF6" s="122">
        <f>1-SUM(Z6,AB6,AD6)</f>
        <v>0.32999999999999996</v>
      </c>
      <c r="AG6" s="121">
        <f>$M6*AF6*4</f>
        <v>1.0571383232876715E-2</v>
      </c>
      <c r="AH6" s="123">
        <f>SUM(Z6,AB6,AD6,AF6)</f>
        <v>1</v>
      </c>
      <c r="AI6" s="183">
        <f>SUM(AA6,AC6,AE6,AG6)/4</f>
        <v>8.0086236612702394E-3</v>
      </c>
      <c r="AJ6" s="120">
        <f>(AA6+AC6)/2</f>
        <v>5.4458640896637633E-3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6.2306674968866747E-3</v>
      </c>
      <c r="J7" s="24">
        <f t="shared" si="3"/>
        <v>6.2306674968866747E-3</v>
      </c>
      <c r="K7" s="22">
        <f t="shared" si="4"/>
        <v>3.1153337484433372E-2</v>
      </c>
      <c r="L7" s="22">
        <f t="shared" si="5"/>
        <v>6.2306674968866747E-3</v>
      </c>
      <c r="M7" s="256">
        <f t="shared" si="6"/>
        <v>6.2306674968866747E-3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1782.6900051273283</v>
      </c>
      <c r="T7" s="221">
        <f>IF($B$81=0,0,(SUMIF($N$6:$N$28,$U7,M$6:M$28)+SUMIF($N$91:$N$118,$U7,M$91:M$118))*$I$83*Poor!$B$81/$B$81)</f>
        <v>1915.7467063546487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2.4922669987546699E-2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2.4922669987546699E-2</v>
      </c>
      <c r="AH7" s="123">
        <f t="shared" ref="AH7:AH30" si="12">SUM(Z7,AB7,AD7,AF7)</f>
        <v>1</v>
      </c>
      <c r="AI7" s="183">
        <f t="shared" ref="AI7:AI30" si="13">SUM(AA7,AC7,AE7,AG7)/4</f>
        <v>6.2306674968866747E-3</v>
      </c>
      <c r="AJ7" s="120">
        <f t="shared" ref="AJ7:AJ31" si="14">(AA7+AC7)/2</f>
        <v>0</v>
      </c>
      <c r="AK7" s="119">
        <f t="shared" ref="AK7:AK31" si="15">(AE7+AG7)/2</f>
        <v>1.2461334993773349E-2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0.86873232328767125</v>
      </c>
      <c r="J8" s="24">
        <f t="shared" si="3"/>
        <v>0.17150956870915696</v>
      </c>
      <c r="K8" s="22">
        <f t="shared" si="4"/>
        <v>0.52994564383561638</v>
      </c>
      <c r="L8" s="22">
        <f t="shared" si="5"/>
        <v>0.15898369315068492</v>
      </c>
      <c r="M8" s="257">
        <f t="shared" si="6"/>
        <v>0.17150956870915696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3964.8</v>
      </c>
      <c r="T8" s="221">
        <f>IF($B$81=0,0,(SUMIF($N$6:$N$28,$U8,M$6:M$28)+SUMIF($N$91:$N$118,$U8,M$91:M$118))*$I$83*Poor!$B$81/$B$81)</f>
        <v>3900.7577527922667</v>
      </c>
      <c r="U8" s="222">
        <v>2</v>
      </c>
      <c r="V8" s="56"/>
      <c r="W8" s="115"/>
      <c r="X8" s="118">
        <f>Poor!X8</f>
        <v>1</v>
      </c>
      <c r="Y8" s="183">
        <f t="shared" si="9"/>
        <v>0.68603827483662783</v>
      </c>
      <c r="Z8" s="125">
        <f>IF($Y8=0,0,AA8/$Y8)</f>
        <v>0.95432458052625357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0.65470318885841949</v>
      </c>
      <c r="AB8" s="125">
        <f>IF($Y8=0,0,AC8/$Y8)</f>
        <v>4.5675419473746454E-2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3.1335085978208332E-2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0.17150956870915696</v>
      </c>
      <c r="AJ8" s="120">
        <f t="shared" si="14"/>
        <v>0.34301913741831391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8.8376413449564126E-3</v>
      </c>
      <c r="J9" s="24">
        <f t="shared" si="3"/>
        <v>8.8376413449564126E-3</v>
      </c>
      <c r="K9" s="22">
        <f t="shared" si="4"/>
        <v>4.4188206724782061E-2</v>
      </c>
      <c r="L9" s="22">
        <f t="shared" si="5"/>
        <v>8.8376413449564126E-3</v>
      </c>
      <c r="M9" s="257">
        <f t="shared" si="6"/>
        <v>8.8376413449564126E-3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151.25753888224236</v>
      </c>
      <c r="T9" s="221">
        <f>IF($B$81=0,0,(SUMIF($N$6:$N$28,$U9,M$6:M$28)+SUMIF($N$91:$N$118,$U9,M$91:M$118))*$I$83*Poor!$B$81/$B$81)</f>
        <v>151.25753888224236</v>
      </c>
      <c r="U9" s="222">
        <v>3</v>
      </c>
      <c r="V9" s="56"/>
      <c r="W9" s="115"/>
      <c r="X9" s="118">
        <f>Poor!X9</f>
        <v>1</v>
      </c>
      <c r="Y9" s="183">
        <f t="shared" si="9"/>
        <v>3.5350565379825651E-2</v>
      </c>
      <c r="Z9" s="125">
        <f>IF($Y9=0,0,AA9/$Y9)</f>
        <v>0.95432458052625357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3.3735913477468016E-2</v>
      </c>
      <c r="AB9" s="125">
        <f>IF($Y9=0,0,AC9/$Y9)</f>
        <v>4.5675419473746426E-2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1.6146519023576347E-3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8.8376413449564126E-3</v>
      </c>
      <c r="AJ9" s="120">
        <f t="shared" si="14"/>
        <v>1.7675282689912825E-2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6938.4</v>
      </c>
      <c r="T11" s="221">
        <f>IF($B$81=0,0,(SUMIF($N$6:$N$28,$U11,M$6:M$28)+SUMIF($N$91:$N$118,$U11,M$91:M$118))*$I$83*Poor!$B$81/$B$81)</f>
        <v>6930.9029909022693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142732.79999999996</v>
      </c>
      <c r="T14" s="221">
        <f>IF($B$81=0,0,(SUMIF($N$6:$N$28,$U14,M$6:M$28)+SUMIF($N$91:$N$118,$U14,M$91:M$118))*$I$83*Poor!$B$81/$B$81)</f>
        <v>142732.79999999996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256077.62754400953</v>
      </c>
      <c r="T23" s="179">
        <f>SUM(T7:T22)</f>
        <v>256139.14498893137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1.2991998471428059E-2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1.2991998471428059E-2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5.1967993885712237E-2</v>
      </c>
      <c r="Z27" s="156">
        <f>Poor!Z27</f>
        <v>0.25</v>
      </c>
      <c r="AA27" s="121">
        <f t="shared" si="16"/>
        <v>1.2991998471428059E-2</v>
      </c>
      <c r="AB27" s="156">
        <f>Poor!AB27</f>
        <v>0.25</v>
      </c>
      <c r="AC27" s="121">
        <f t="shared" si="7"/>
        <v>1.2991998471428059E-2</v>
      </c>
      <c r="AD27" s="156">
        <f>Poor!AD27</f>
        <v>0.25</v>
      </c>
      <c r="AE27" s="121">
        <f t="shared" si="8"/>
        <v>1.2991998471428059E-2</v>
      </c>
      <c r="AF27" s="122">
        <f t="shared" si="10"/>
        <v>0.25</v>
      </c>
      <c r="AG27" s="121">
        <f t="shared" si="11"/>
        <v>1.2991998471428059E-2</v>
      </c>
      <c r="AH27" s="123">
        <f t="shared" si="12"/>
        <v>1</v>
      </c>
      <c r="AI27" s="183">
        <f t="shared" si="13"/>
        <v>1.2991998471428059E-2</v>
      </c>
      <c r="AJ27" s="120">
        <f t="shared" si="14"/>
        <v>1.2991998471428059E-2</v>
      </c>
      <c r="AK27" s="119">
        <f t="shared" si="15"/>
        <v>1.2991998471428059E-2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2.0282843769556778E-2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2.0282843769556778E-2</v>
      </c>
      <c r="N28" s="228"/>
      <c r="O28" s="2"/>
      <c r="P28" s="22"/>
      <c r="V28" s="56"/>
      <c r="W28" s="110"/>
      <c r="X28" s="118"/>
      <c r="Y28" s="183">
        <f t="shared" si="9"/>
        <v>8.1131375078227111E-2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4.0565687539113555E-2</v>
      </c>
      <c r="AF28" s="122">
        <f t="shared" si="10"/>
        <v>0.5</v>
      </c>
      <c r="AG28" s="121">
        <f t="shared" si="11"/>
        <v>4.0565687539113555E-2</v>
      </c>
      <c r="AH28" s="123">
        <f t="shared" si="12"/>
        <v>1</v>
      </c>
      <c r="AI28" s="183">
        <f t="shared" si="13"/>
        <v>2.0282843769556778E-2</v>
      </c>
      <c r="AJ28" s="120">
        <f t="shared" si="14"/>
        <v>0</v>
      </c>
      <c r="AK28" s="119">
        <f t="shared" si="15"/>
        <v>4.0565687539113555E-2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0.29312303510302073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0.29312303510302073</v>
      </c>
      <c r="N29" s="228"/>
      <c r="P29" s="22"/>
      <c r="V29" s="56"/>
      <c r="W29" s="110"/>
      <c r="X29" s="118"/>
      <c r="Y29" s="183">
        <f t="shared" si="9"/>
        <v>1.1724921404120829</v>
      </c>
      <c r="Z29" s="156">
        <f>Poor!Z29</f>
        <v>0.25</v>
      </c>
      <c r="AA29" s="121">
        <f t="shared" si="16"/>
        <v>0.29312303510302073</v>
      </c>
      <c r="AB29" s="156">
        <f>Poor!AB29</f>
        <v>0.25</v>
      </c>
      <c r="AC29" s="121">
        <f t="shared" si="7"/>
        <v>0.29312303510302073</v>
      </c>
      <c r="AD29" s="156">
        <f>Poor!AD29</f>
        <v>0.25</v>
      </c>
      <c r="AE29" s="121">
        <f t="shared" si="8"/>
        <v>0.29312303510302073</v>
      </c>
      <c r="AF29" s="122">
        <f t="shared" si="10"/>
        <v>0.25</v>
      </c>
      <c r="AG29" s="121">
        <f t="shared" si="11"/>
        <v>0.29312303510302073</v>
      </c>
      <c r="AH29" s="123">
        <f t="shared" si="12"/>
        <v>1</v>
      </c>
      <c r="AI29" s="183">
        <f t="shared" si="13"/>
        <v>0.29312303510302073</v>
      </c>
      <c r="AJ29" s="120">
        <f t="shared" si="14"/>
        <v>0.29312303510302073</v>
      </c>
      <c r="AK29" s="119">
        <f t="shared" si="15"/>
        <v>0.29312303510302073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21.402843912159955</v>
      </c>
      <c r="J30" s="230">
        <f>IF(I$32&lt;=1,I30,1-SUM(J6:J29))</f>
        <v>0.47901562144372412</v>
      </c>
      <c r="K30" s="22">
        <f t="shared" si="4"/>
        <v>0.53191651606475721</v>
      </c>
      <c r="L30" s="22">
        <f>IF(L124=L119,0,IF(K30="",0,(L119-L124)/(B119-B124)*K30))</f>
        <v>0.23975886137550698</v>
      </c>
      <c r="M30" s="23">
        <f t="shared" si="6"/>
        <v>0.47901562144372412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1.9160624857748965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0.3421022901506407</v>
      </c>
      <c r="AC30" s="187">
        <f>IF(AC79*4/$I$83+SUM(AC6:AC29)&lt;1,AC79*4/$I$83,1-SUM(AC6:AC29))</f>
        <v>0.65548936445532147</v>
      </c>
      <c r="AD30" s="122">
        <f>IF($Y30=0,0,AE30/($Y$30))</f>
        <v>0.33545247110958387</v>
      </c>
      <c r="AE30" s="187">
        <f>IF(AE79*4/$I$83+SUM(AE6:AE29)&lt;1,AE79*4/$I$83,1-SUM(AE6:AE29))</f>
        <v>0.64274789565356094</v>
      </c>
      <c r="AF30" s="122">
        <f>IF($Y30=0,0,AG30/($Y$30))</f>
        <v>0.32244523873977549</v>
      </c>
      <c r="AG30" s="187">
        <f>IF(AG79*4/$I$83+SUM(AG6:AG29)&lt;1,AG79*4/$I$83,1-SUM(AG6:AG29))</f>
        <v>0.61782522566601417</v>
      </c>
      <c r="AH30" s="123">
        <f t="shared" si="12"/>
        <v>1</v>
      </c>
      <c r="AI30" s="183">
        <f t="shared" si="13"/>
        <v>0.47901562144372412</v>
      </c>
      <c r="AJ30" s="120">
        <f t="shared" si="14"/>
        <v>0.32774468222766073</v>
      </c>
      <c r="AK30" s="119">
        <f t="shared" si="15"/>
        <v>0.63028656065978761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0.24995445817617423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22.519289941892737</v>
      </c>
      <c r="J32" s="17"/>
      <c r="L32" s="22">
        <f>SUM(L6:L30)</f>
        <v>0.75004554182382577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1.7648326501249392E-2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4720</v>
      </c>
      <c r="J37" s="38">
        <f>J91*I$83</f>
        <v>4720</v>
      </c>
      <c r="K37" s="40">
        <f t="shared" ref="K37:K52" si="28">(B37/B$65)</f>
        <v>2.9323363389780806E-2</v>
      </c>
      <c r="L37" s="22">
        <f t="shared" ref="L37:L52" si="29">(K37*H37)</f>
        <v>1.7300784399970674E-2</v>
      </c>
      <c r="M37" s="24">
        <f t="shared" ref="M37:M52" si="30">J37/B$65</f>
        <v>1.7300784399970678E-2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4720</v>
      </c>
      <c r="AH37" s="123">
        <f>SUM(Z37,AB37,AD37,AF37)</f>
        <v>1</v>
      </c>
      <c r="AI37" s="112">
        <f>SUM(AA37,AC37,AE37,AG37)</f>
        <v>4720</v>
      </c>
      <c r="AJ37" s="148">
        <f>(AA37+AC37)</f>
        <v>0</v>
      </c>
      <c r="AK37" s="147">
        <f>(AE37+AG37)</f>
        <v>4720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</v>
      </c>
      <c r="J38" s="38">
        <f t="shared" ref="J38:J64" si="33">J92*I$83</f>
        <v>1055.7524924185575</v>
      </c>
      <c r="K38" s="40">
        <f t="shared" si="28"/>
        <v>6.5977567627006819E-3</v>
      </c>
      <c r="L38" s="22">
        <f t="shared" si="29"/>
        <v>3.8926764899934021E-3</v>
      </c>
      <c r="M38" s="24">
        <f t="shared" si="30"/>
        <v>3.8697767481070209E-3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1055.7524924185575</v>
      </c>
      <c r="AH38" s="123">
        <f t="shared" ref="AH38:AI58" si="35">SUM(Z38,AB38,AD38,AF38)</f>
        <v>1</v>
      </c>
      <c r="AI38" s="112">
        <f t="shared" si="35"/>
        <v>1055.7524924185575</v>
      </c>
      <c r="AJ38" s="148">
        <f t="shared" ref="AJ38:AJ64" si="36">(AA38+AC38)</f>
        <v>0</v>
      </c>
      <c r="AK38" s="147">
        <f t="shared" ref="AK38:AK64" si="37">(AE38+AG38)</f>
        <v>1055.7524924185575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0.95432458052625357</v>
      </c>
      <c r="AA39" s="147">
        <f>$J39*Z39</f>
        <v>0</v>
      </c>
      <c r="AB39" s="122">
        <f>AB8</f>
        <v>4.5675419473746454E-2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2970.6314606602218</v>
      </c>
      <c r="K40" s="40">
        <f t="shared" si="28"/>
        <v>2.6391027050802728E-2</v>
      </c>
      <c r="L40" s="22">
        <f t="shared" si="29"/>
        <v>1.1084231361337146E-2</v>
      </c>
      <c r="M40" s="24">
        <f t="shared" si="30"/>
        <v>1.088861322725688E-2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0.95432458052625357</v>
      </c>
      <c r="AA40" s="147">
        <f>$J40*Z40</f>
        <v>2834.9466225926581</v>
      </c>
      <c r="AB40" s="122">
        <f>AB9</f>
        <v>4.5675419473746426E-2</v>
      </c>
      <c r="AC40" s="147">
        <f>$J40*AB40</f>
        <v>135.68483806756367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2970.6314606602218</v>
      </c>
      <c r="AJ40" s="148">
        <f t="shared" si="36"/>
        <v>2970.6314606602218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279.99999999999994</v>
      </c>
      <c r="J41" s="38">
        <f t="shared" si="33"/>
        <v>279.99999999999994</v>
      </c>
      <c r="K41" s="40">
        <f t="shared" si="28"/>
        <v>3.6654204237226008E-3</v>
      </c>
      <c r="L41" s="22">
        <f t="shared" si="29"/>
        <v>1.0263177186423281E-3</v>
      </c>
      <c r="M41" s="24">
        <f t="shared" si="30"/>
        <v>1.0263177186423281E-3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279.99999999999994</v>
      </c>
      <c r="AH41" s="123">
        <f t="shared" si="35"/>
        <v>1</v>
      </c>
      <c r="AI41" s="112">
        <f t="shared" si="35"/>
        <v>279.99999999999994</v>
      </c>
      <c r="AJ41" s="148">
        <f t="shared" si="36"/>
        <v>0</v>
      </c>
      <c r="AK41" s="147">
        <f t="shared" si="37"/>
        <v>279.99999999999994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0.5</v>
      </c>
      <c r="F43" s="75">
        <f>Middle!F43</f>
        <v>1.1100000000000001</v>
      </c>
      <c r="G43" s="22">
        <f t="shared" si="32"/>
        <v>1.65</v>
      </c>
      <c r="H43" s="24">
        <f t="shared" si="26"/>
        <v>0.55500000000000005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0.6</v>
      </c>
      <c r="F47" s="75">
        <f>Middle!F47</f>
        <v>1.18</v>
      </c>
      <c r="G47" s="22">
        <f t="shared" si="32"/>
        <v>1.65</v>
      </c>
      <c r="H47" s="24">
        <f t="shared" si="26"/>
        <v>0.70799999999999996</v>
      </c>
      <c r="I47" s="39">
        <f t="shared" si="27"/>
        <v>118944</v>
      </c>
      <c r="J47" s="38">
        <f t="shared" si="33"/>
        <v>118943.99999999997</v>
      </c>
      <c r="K47" s="40">
        <f t="shared" si="28"/>
        <v>0.61579063118539701</v>
      </c>
      <c r="L47" s="22">
        <f t="shared" si="29"/>
        <v>0.43597976687926104</v>
      </c>
      <c r="M47" s="24">
        <f t="shared" si="30"/>
        <v>0.43597976687926093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29735.999999999993</v>
      </c>
      <c r="AB47" s="156">
        <f>Poor!AB47</f>
        <v>0.25</v>
      </c>
      <c r="AC47" s="147">
        <f t="shared" si="39"/>
        <v>29735.999999999993</v>
      </c>
      <c r="AD47" s="156">
        <f>Poor!AD47</f>
        <v>0.25</v>
      </c>
      <c r="AE47" s="147">
        <f t="shared" si="40"/>
        <v>29735.999999999993</v>
      </c>
      <c r="AF47" s="122">
        <f t="shared" si="31"/>
        <v>0.25</v>
      </c>
      <c r="AG47" s="147">
        <f t="shared" si="34"/>
        <v>29735.999999999993</v>
      </c>
      <c r="AH47" s="123">
        <f t="shared" si="35"/>
        <v>1</v>
      </c>
      <c r="AI47" s="112">
        <f t="shared" si="35"/>
        <v>118943.99999999997</v>
      </c>
      <c r="AJ47" s="148">
        <f t="shared" si="36"/>
        <v>59471.999999999985</v>
      </c>
      <c r="AK47" s="147">
        <f t="shared" si="37"/>
        <v>59471.999999999985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208408.4</v>
      </c>
      <c r="J65" s="39">
        <f>SUM(J37:J64)</f>
        <v>211726.78395307876</v>
      </c>
      <c r="K65" s="40">
        <f>SUM(K37:K64)</f>
        <v>1</v>
      </c>
      <c r="L65" s="22">
        <f>SUM(L37:L64)</f>
        <v>0.77628619602668414</v>
      </c>
      <c r="M65" s="24">
        <f>SUM(M37:M64)</f>
        <v>0.77606767815071742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53510.04662259265</v>
      </c>
      <c r="AB65" s="137"/>
      <c r="AC65" s="153">
        <f>SUM(AC37:AC64)</f>
        <v>50810.78483806755</v>
      </c>
      <c r="AD65" s="137"/>
      <c r="AE65" s="153">
        <f>SUM(AE37:AE64)</f>
        <v>50675.099999999991</v>
      </c>
      <c r="AF65" s="137"/>
      <c r="AG65" s="153">
        <f>SUM(AG37:AG64)</f>
        <v>56730.852492418548</v>
      </c>
      <c r="AH65" s="137"/>
      <c r="AI65" s="153">
        <f>SUM(AI37:AI64)</f>
        <v>211726.78395307876</v>
      </c>
      <c r="AJ65" s="153">
        <f>SUM(AJ37:AJ64)</f>
        <v>104320.83146066021</v>
      </c>
      <c r="AK65" s="153">
        <f>SUM(AK37:AK64)</f>
        <v>107405.95249241854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189460.59529208622</v>
      </c>
      <c r="J74" s="51">
        <f>J128*I$83</f>
        <v>4240.3049410351805</v>
      </c>
      <c r="K74" s="40">
        <f>B74/B$76</f>
        <v>1.0459977248708494E-2</v>
      </c>
      <c r="L74" s="22">
        <f>(L128*G$37*F$9/F$7)/B$130</f>
        <v>7.7793959447518286E-3</v>
      </c>
      <c r="M74" s="24">
        <f>J74/B$76</f>
        <v>1.5542500333682209E-2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1450.6180312652127</v>
      </c>
      <c r="AD74" s="156"/>
      <c r="AE74" s="147">
        <f>AE30*$I$83/4</f>
        <v>1422.4207707284297</v>
      </c>
      <c r="AF74" s="156"/>
      <c r="AG74" s="147">
        <f>AG30*$I$83/4</f>
        <v>1367.2661390415383</v>
      </c>
      <c r="AH74" s="155"/>
      <c r="AI74" s="147">
        <f>SUM(AA74,AC74,AE74,AG74)</f>
        <v>4240.3049410351814</v>
      </c>
      <c r="AJ74" s="148">
        <f>(AA74+AC74)</f>
        <v>1450.6180312652127</v>
      </c>
      <c r="AK74" s="147">
        <f>(AE74+AG74)</f>
        <v>2789.6869097699682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89257.407637463155</v>
      </c>
      <c r="K75" s="40">
        <f>B75/B$76</f>
        <v>0.63153543039514071</v>
      </c>
      <c r="L75" s="22">
        <f>(L129*G$37*F$9/F$7)/B$130</f>
        <v>0.33514754718778822</v>
      </c>
      <c r="M75" s="24">
        <f>J75/B$76</f>
        <v>0.32716592492289109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48773.095445614206</v>
      </c>
      <c r="AB75" s="158"/>
      <c r="AC75" s="149">
        <f>AA75+AC65-SUM(AC70,AC74)</f>
        <v>93396.311075438105</v>
      </c>
      <c r="AD75" s="158"/>
      <c r="AE75" s="149">
        <f>AC75+AE65-SUM(AE70,AE74)</f>
        <v>137912.0391277312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188538.67430412979</v>
      </c>
      <c r="AJ75" s="151">
        <f>AJ76-SUM(AJ70,AJ74)</f>
        <v>93396.311075438105</v>
      </c>
      <c r="AK75" s="149">
        <f>AJ75+AK76-SUM(AK70,AK74)</f>
        <v>188538.67430412979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208408.4</v>
      </c>
      <c r="J76" s="51">
        <f>J130*I$83</f>
        <v>211726.78395307876</v>
      </c>
      <c r="K76" s="40">
        <f>SUM(K70:K75)</f>
        <v>0.90075263299367103</v>
      </c>
      <c r="L76" s="22">
        <f>SUM(L70:L75)</f>
        <v>0.6591743029592162</v>
      </c>
      <c r="M76" s="24">
        <f>SUM(M70:M75)</f>
        <v>0.65895578508324937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53510.04662259265</v>
      </c>
      <c r="AB76" s="137"/>
      <c r="AC76" s="153">
        <f>AC65</f>
        <v>50810.78483806755</v>
      </c>
      <c r="AD76" s="137"/>
      <c r="AE76" s="153">
        <f>AE65</f>
        <v>50675.099999999991</v>
      </c>
      <c r="AF76" s="137"/>
      <c r="AG76" s="153">
        <f>AG65</f>
        <v>56730.852492418548</v>
      </c>
      <c r="AH76" s="137"/>
      <c r="AI76" s="153">
        <f>SUM(AA76,AC76,AE76,AG76)</f>
        <v>211726.78395307873</v>
      </c>
      <c r="AJ76" s="154">
        <f>SUM(AA76,AC76)</f>
        <v>104320.83146066021</v>
      </c>
      <c r="AK76" s="154">
        <f>SUM(AE76,AG76)</f>
        <v>107405.95249241854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48773.095445614206</v>
      </c>
      <c r="AD78" s="112"/>
      <c r="AE78" s="112">
        <f>AC75</f>
        <v>93396.311075438105</v>
      </c>
      <c r="AF78" s="112"/>
      <c r="AG78" s="112">
        <f>AE75</f>
        <v>137912.0391277312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48773.095445614206</v>
      </c>
      <c r="AB79" s="112"/>
      <c r="AC79" s="112">
        <f>AA79-AA74+AC65-AC70</f>
        <v>94846.929106703319</v>
      </c>
      <c r="AD79" s="112"/>
      <c r="AE79" s="112">
        <f>AC79-AC74+AE65-AE70</f>
        <v>139334.45989845964</v>
      </c>
      <c r="AF79" s="112"/>
      <c r="AG79" s="112">
        <f>AE79-AE74+AG65-AG70</f>
        <v>189905.9404431713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0.3575757575757576</v>
      </c>
      <c r="I91" s="22">
        <f t="shared" ref="I91" si="52">(D91*H91)</f>
        <v>0.53320545683735987</v>
      </c>
      <c r="J91" s="24">
        <f>IF(I$32&lt;=1+I$131,I91,L91+J$33*(I91-L91))</f>
        <v>0.53320545683735987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50"/>
        <v>0.53320545683735987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0.3575757575757576</v>
      </c>
      <c r="I92" s="22">
        <f t="shared" ref="I92:I118" si="59">(D92*H92)</f>
        <v>7.9980818525603972E-2</v>
      </c>
      <c r="J92" s="24">
        <f t="shared" ref="J92:J118" si="60">IF(I$32&lt;=1+I$131,I92,L92+J$33*(I92-L92))</f>
        <v>0.11926546398881745</v>
      </c>
      <c r="K92" s="22">
        <f t="shared" ref="K92:K118" si="61">(B92)</f>
        <v>0.33551275567944039</v>
      </c>
      <c r="L92" s="22">
        <f t="shared" ref="L92:L118" si="62">(K92*H92)</f>
        <v>0.11997122778840597</v>
      </c>
      <c r="M92" s="226">
        <f t="shared" ref="M92:M118" si="63">(J92)</f>
        <v>0.11926546398881745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0.33558409005863715</v>
      </c>
      <c r="K94" s="22">
        <f t="shared" si="61"/>
        <v>1.3420510227177616</v>
      </c>
      <c r="L94" s="22">
        <f t="shared" si="62"/>
        <v>0.34161298760088482</v>
      </c>
      <c r="M94" s="226">
        <f t="shared" si="63"/>
        <v>0.33558409005863715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0.16969696969696968</v>
      </c>
      <c r="I95" s="22">
        <f t="shared" si="59"/>
        <v>3.1630832185267105E-2</v>
      </c>
      <c r="J95" s="24">
        <f t="shared" si="60"/>
        <v>3.1630832185267105E-2</v>
      </c>
      <c r="K95" s="22">
        <f t="shared" si="61"/>
        <v>0.18639597537746688</v>
      </c>
      <c r="L95" s="22">
        <f t="shared" si="62"/>
        <v>3.1630832185267105E-2</v>
      </c>
      <c r="M95" s="226">
        <f t="shared" si="63"/>
        <v>3.1630832185267105E-2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0.33636363636363642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0.28606060606060607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0.42909090909090908</v>
      </c>
      <c r="I101" s="22">
        <f t="shared" si="59"/>
        <v>13.436777512301466</v>
      </c>
      <c r="J101" s="24">
        <f t="shared" si="60"/>
        <v>13.436777512301466</v>
      </c>
      <c r="K101" s="22">
        <f t="shared" si="61"/>
        <v>31.314523863414436</v>
      </c>
      <c r="L101" s="22">
        <f t="shared" si="62"/>
        <v>13.436777512301466</v>
      </c>
      <c r="M101" s="226">
        <f t="shared" si="63"/>
        <v>13.436777512301466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23.54332545142865</v>
      </c>
      <c r="J119" s="24">
        <f>SUM(J91:J118)</f>
        <v>23.918194186950501</v>
      </c>
      <c r="K119" s="22">
        <f>SUM(K91:K118)</f>
        <v>50.852550002480513</v>
      </c>
      <c r="L119" s="22">
        <f>SUM(L91:L118)</f>
        <v>23.924928848292335</v>
      </c>
      <c r="M119" s="57">
        <f t="shared" si="50"/>
        <v>23.918194186950501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21.402843912159955</v>
      </c>
      <c r="J128" s="227">
        <f>(J30)</f>
        <v>0.47901562144372412</v>
      </c>
      <c r="K128" s="22">
        <f>(B128)</f>
        <v>0.53191651606475721</v>
      </c>
      <c r="L128" s="22">
        <f>IF(L124=L119,0,(L119-L124)/(B119-B124)*K128)</f>
        <v>0.23975886137550698</v>
      </c>
      <c r="M128" s="57">
        <f t="shared" si="90"/>
        <v>0.47901562144372412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10.083164579544915</v>
      </c>
      <c r="K129" s="29">
        <f>(B129)</f>
        <v>32.115187052506947</v>
      </c>
      <c r="L129" s="60">
        <f>IF(SUM(L124:L128)&gt;L130,0,L130-SUM(L124:L128))</f>
        <v>10.329156000954967</v>
      </c>
      <c r="M129" s="57">
        <f t="shared" si="90"/>
        <v>10.083164579544915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23.54332545142865</v>
      </c>
      <c r="J130" s="227">
        <f>(J119)</f>
        <v>23.918194186950501</v>
      </c>
      <c r="K130" s="22">
        <f>(B130)</f>
        <v>50.852550002480513</v>
      </c>
      <c r="L130" s="22">
        <f>(L119)</f>
        <v>23.924928848292335</v>
      </c>
      <c r="M130" s="57">
        <f t="shared" si="90"/>
        <v>23.918194186950501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526.71519398393411</v>
      </c>
      <c r="G72" s="109">
        <f>Poor!T7</f>
        <v>1171.8395853766719</v>
      </c>
      <c r="H72" s="109">
        <f>Middle!T7</f>
        <v>1437.0783965945006</v>
      </c>
      <c r="I72" s="109">
        <f>Rich!T7</f>
        <v>1915.7467063546487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62.062428711675089</v>
      </c>
      <c r="H73" s="109">
        <f>Middle!T8</f>
        <v>1277.7117477324696</v>
      </c>
      <c r="I73" s="109">
        <f>Rich!T8</f>
        <v>3900.7577527922667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17.72332934541102</v>
      </c>
      <c r="H74" s="109">
        <f>Middle!T9</f>
        <v>105.1491898820714</v>
      </c>
      <c r="I74" s="109">
        <f>Rich!T9</f>
        <v>151.25753888224236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2206.3049999999998</v>
      </c>
      <c r="H76" s="109">
        <f>Middle!T11</f>
        <v>6226.825824991256</v>
      </c>
      <c r="I76" s="109">
        <f>Rich!T11</f>
        <v>6930.9029909022693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4206.9000000000005</v>
      </c>
      <c r="G78" s="109">
        <f>Poor!T13</f>
        <v>7335.8255693756937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5664</v>
      </c>
      <c r="H79" s="109">
        <f>Middle!T14</f>
        <v>0</v>
      </c>
      <c r="I79" s="109">
        <f>Rich!T14</f>
        <v>142732.79999999996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5480.7247477193769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27971.779985076966</v>
      </c>
      <c r="G88" s="109">
        <f>Poor!T23</f>
        <v>46913.536417268755</v>
      </c>
      <c r="H88" s="109">
        <f>Middle!T23</f>
        <v>136741.6451592003</v>
      </c>
      <c r="I88" s="109">
        <f>Rich!T23</f>
        <v>256139.14498893137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2991.8379376132361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16778.957937613231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41332.397937613234</v>
      </c>
      <c r="G100" s="238">
        <f t="shared" si="0"/>
        <v>22341.641505421445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2016-06-04T22:24:52Z</dcterms:modified>
  <cp:category/>
</cp:coreProperties>
</file>