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<sst xmlns="http://schemas.openxmlformats.org/spreadsheetml/2006/main" count="790" uniqueCount="145">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</sst>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0.087831392979452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0.0133737758405978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0.0112663449564134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0.0128970022022072</c:v>
                </c:pt>
                <c:pt idx="2" formatCode="0.0%">
                  <c:v>0.323968645217508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69960"/>
        <c:axId val="-2017566664"/>
      </c:barChart>
      <c:catAx>
        <c:axId val="-201756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56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56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56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0.043814050200505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0.0043814050200505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0.0114065052725382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734264"/>
        <c:axId val="2115720984"/>
      </c:barChart>
      <c:catAx>
        <c:axId val="211573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2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2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3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0.00449364680219096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0.00186958709412506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0.000679283310865439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0.000997113116866699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0.00166185519477783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0.00049855655843335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7.27061647715302E-5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462600"/>
        <c:axId val="2115452744"/>
      </c:barChart>
      <c:catAx>
        <c:axId val="211546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5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45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6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219432"/>
        <c:axId val="2115217352"/>
      </c:barChart>
      <c:catAx>
        <c:axId val="21152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21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21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21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2938.475568808641</c:v>
                </c:pt>
                <c:pt idx="6">
                  <c:v>3746.46087848238</c:v>
                </c:pt>
                <c:pt idx="7">
                  <c:v>4096.665792396907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223.9999999999999</c:v>
                </c:pt>
                <c:pt idx="7">
                  <c:v>1779.338116105002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6519.5</c:v>
                </c:pt>
                <c:pt idx="7">
                  <c:v>16625.64247621867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1152.0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046392"/>
        <c:axId val="21150412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46392"/>
        <c:axId val="2115041240"/>
      </c:lineChart>
      <c:catAx>
        <c:axId val="211504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04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04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04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169688"/>
        <c:axId val="2090677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9688"/>
        <c:axId val="2090677352"/>
      </c:lineChart>
      <c:catAx>
        <c:axId val="209016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7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67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16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709512"/>
        <c:axId val="20906992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09512"/>
        <c:axId val="2090699272"/>
      </c:lineChart>
      <c:catAx>
        <c:axId val="2090709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69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69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70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0.0247474114630598</c:v>
                </c:pt>
                <c:pt idx="2">
                  <c:v>0.0610892880280915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0.002431928811199</c:v>
                </c:pt>
                <c:pt idx="2">
                  <c:v>0.0610892880280915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-0.298583394707124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521272"/>
        <c:axId val="2090518328"/>
      </c:barChart>
      <c:catAx>
        <c:axId val="20905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51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51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5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0.0229336439838532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-0.1777775463391</c:v>
                </c:pt>
                <c:pt idx="2">
                  <c:v>-0.0236157372637392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451704"/>
        <c:axId val="2090446520"/>
      </c:barChart>
      <c:catAx>
        <c:axId val="209045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4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4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45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0.287224359701986</c:v>
                </c:pt>
                <c:pt idx="2">
                  <c:v>0.266521811328426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388344"/>
        <c:axId val="2090362328"/>
      </c:barChart>
      <c:catAx>
        <c:axId val="209038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6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36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8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0.196478986527247</c:v>
                </c:pt>
                <c:pt idx="2">
                  <c:v>0.21882163683893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-1.445805345614301</c:v>
                </c:pt>
                <c:pt idx="2">
                  <c:v>-1.445805345614302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307256"/>
        <c:axId val="2090303816"/>
      </c:barChart>
      <c:catAx>
        <c:axId val="209030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0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30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0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0.140175354452055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0.00331411550435865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0.0222896264009963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0.0180261519302615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0.115881162635067</c:v>
                </c:pt>
                <c:pt idx="2" formatCode="0.0%">
                  <c:v>0.462706368189074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18248"/>
        <c:axId val="2122232280"/>
      </c:barChart>
      <c:catAx>
        <c:axId val="21219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23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3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1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81768"/>
        <c:axId val="20900788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1768"/>
        <c:axId val="20900788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81768"/>
        <c:axId val="2090078872"/>
      </c:scatterChart>
      <c:catAx>
        <c:axId val="2090081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78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078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81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965080"/>
        <c:axId val="20899641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5080"/>
        <c:axId val="2089964184"/>
      </c:lineChart>
      <c:catAx>
        <c:axId val="2089965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964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9964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965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01272"/>
        <c:axId val="-2045195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66760"/>
        <c:axId val="-2045460856"/>
      </c:scatterChart>
      <c:valAx>
        <c:axId val="-204500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195560"/>
        <c:crosses val="autoZero"/>
        <c:crossBetween val="midCat"/>
      </c:valAx>
      <c:valAx>
        <c:axId val="-2045195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001272"/>
        <c:crosses val="autoZero"/>
        <c:crossBetween val="midCat"/>
      </c:valAx>
      <c:valAx>
        <c:axId val="-20453667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5460856"/>
        <c:crosses val="autoZero"/>
        <c:crossBetween val="midCat"/>
      </c:valAx>
      <c:valAx>
        <c:axId val="-2045460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3667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05464"/>
        <c:axId val="-2045041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05464"/>
        <c:axId val="-2045041944"/>
      </c:lineChart>
      <c:catAx>
        <c:axId val="208990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041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041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9054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0.139154389535685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0.094029841916165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0.019930722941434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0.0364178154432232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0.0170761131023278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0.0051496535956922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0.00726959040922819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0.245012609638578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0.212494884109123</c:v>
                </c:pt>
                <c:pt idx="2" formatCode="0.0%">
                  <c:v>0.384078898713878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614024"/>
        <c:axId val="-2018300792"/>
      </c:barChart>
      <c:catAx>
        <c:axId val="-20176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0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0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61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24760"/>
        <c:axId val="2122121160"/>
      </c:barChart>
      <c:catAx>
        <c:axId val="212212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2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2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2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0.00912797053867788</c:v>
                </c:pt>
                <c:pt idx="1">
                  <c:v>0.0100258165739729</c:v>
                </c:pt>
                <c:pt idx="2">
                  <c:v>0.00976174664426954</c:v>
                </c:pt>
                <c:pt idx="3">
                  <c:v>0.00441779957641296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0.0962066840984973</c:v>
                </c:pt>
                <c:pt idx="1">
                  <c:v>0.105669772253823</c:v>
                </c:pt>
                <c:pt idx="2">
                  <c:v>0.102886536681442</c:v>
                </c:pt>
                <c:pt idx="3">
                  <c:v>0.0465625788840461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0.109455348676371</c:v>
                </c:pt>
                <c:pt idx="1">
                  <c:v>0.120221602843659</c:v>
                </c:pt>
                <c:pt idx="2">
                  <c:v>0.117055086682355</c:v>
                </c:pt>
                <c:pt idx="3">
                  <c:v>0.0529747320030949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0.0133737758405978</c:v>
                </c:pt>
                <c:pt idx="1">
                  <c:v>0.0133737758405978</c:v>
                </c:pt>
                <c:pt idx="2">
                  <c:v>0.0133737758405978</c:v>
                </c:pt>
                <c:pt idx="3">
                  <c:v>0.0133737758405978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0.0450653798256538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-0.932113816856533</c:v>
                </c:pt>
                <c:pt idx="1">
                  <c:v>-1.30081463905737</c:v>
                </c:pt>
                <c:pt idx="2">
                  <c:v>-1.30081463905737</c:v>
                </c:pt>
                <c:pt idx="3">
                  <c:v>-1.30081463905737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36856"/>
        <c:axId val="2121931432"/>
      </c:barChart>
      <c:catAx>
        <c:axId val="2121936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31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193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3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-7.10447975277509E-17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62408"/>
        <c:axId val="2121753672"/>
      </c:barChart>
      <c:catAx>
        <c:axId val="2121762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753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175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76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0.00357624976403905</c:v>
                </c:pt>
                <c:pt idx="1">
                  <c:v>0.00114889033558735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0.424370128896612</c:v>
                </c:pt>
                <c:pt idx="1">
                  <c:v>0.136331288911607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0.302520393574188</c:v>
                </c:pt>
                <c:pt idx="1">
                  <c:v>0.0971863766312911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0.0132564620174346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0.0222896264009963</c:v>
                </c:pt>
                <c:pt idx="1">
                  <c:v>0.0222896264009963</c:v>
                </c:pt>
                <c:pt idx="2">
                  <c:v>0.0222896264009963</c:v>
                </c:pt>
                <c:pt idx="3">
                  <c:v>0.0222896264009963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0.0721046077210461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0.187603494534246</c:v>
                </c:pt>
                <c:pt idx="2">
                  <c:v>-0.237774518431947</c:v>
                </c:pt>
                <c:pt idx="3">
                  <c:v>-0.237774518431947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545656"/>
        <c:axId val="2121537128"/>
      </c:barChart>
      <c:catAx>
        <c:axId val="212154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3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153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4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0.028667603697408</c:v>
                </c:pt>
                <c:pt idx="1">
                  <c:v>0.0171406510615316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0.348340962820482</c:v>
                </c:pt>
                <c:pt idx="1">
                  <c:v>0.208276595322256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0.235382051376361</c:v>
                </c:pt>
                <c:pt idx="1">
                  <c:v>0.140737316288299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0.0797228917657361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0.0364178154432232</c:v>
                </c:pt>
                <c:pt idx="1">
                  <c:v>0.0364178154432232</c:v>
                </c:pt>
                <c:pt idx="2">
                  <c:v>0.0364178154432232</c:v>
                </c:pt>
                <c:pt idx="3">
                  <c:v>0.0364178154432232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0.0683044524093114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0.0060580524899723</c:v>
                </c:pt>
                <c:pt idx="1">
                  <c:v>0.00363565543855869</c:v>
                </c:pt>
                <c:pt idx="2">
                  <c:v>0.0048468539642655</c:v>
                </c:pt>
                <c:pt idx="3">
                  <c:v>0.0060580524899723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0.245012609638578</c:v>
                </c:pt>
                <c:pt idx="1">
                  <c:v>0.245012609638578</c:v>
                </c:pt>
                <c:pt idx="2">
                  <c:v>0.245012609638578</c:v>
                </c:pt>
                <c:pt idx="3">
                  <c:v>0.245012609638578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0.318170563039493</c:v>
                </c:pt>
                <c:pt idx="2">
                  <c:v>0.665697638013127</c:v>
                </c:pt>
                <c:pt idx="3">
                  <c:v>0.552447393802891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340936"/>
        <c:axId val="2121334568"/>
      </c:barChart>
      <c:catAx>
        <c:axId val="2121340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34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133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4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93256"/>
        <c:axId val="2115988696"/>
      </c:barChart>
      <c:catAx>
        <c:axId val="211599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8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8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9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8847.1884419127182</v>
      </c>
      <c r="T23" s="179">
        <f>SUM(T7:T22)</f>
        <v>9497.602987690474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30477.097850140082</v>
      </c>
      <c r="T30" s="233">
        <f t="shared" si="24"/>
        <v>29826.683304362326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-7.1044797527750934E-17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-1.7761199381937734E-17</v>
      </c>
      <c r="AJ30" s="120">
        <f t="shared" si="14"/>
        <v>-3.5522398763875467E-17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0.54348767051035418</v>
      </c>
      <c r="K31" s="22" t="str">
        <f t="shared" si="4"/>
        <v/>
      </c>
      <c r="L31" s="22">
        <f>(1-SUM(L6:L30))</f>
        <v>0.65353960432159164</v>
      </c>
      <c r="M31" s="240">
        <f t="shared" si="6"/>
        <v>0.54348767051035418</v>
      </c>
      <c r="N31" s="167">
        <f>M31*I83</f>
        <v>6957.5700685894553</v>
      </c>
      <c r="P31" s="22"/>
      <c r="Q31" s="237" t="s">
        <v>142</v>
      </c>
      <c r="R31" s="233">
        <f t="shared" si="24"/>
        <v>10945.076551611397</v>
      </c>
      <c r="S31" s="233">
        <f t="shared" si="24"/>
        <v>50747.92451680675</v>
      </c>
      <c r="T31" s="233">
        <f>IF(T25&gt;T$23,T25-T$23,0)</f>
        <v>50097.509971028994</v>
      </c>
      <c r="V31" s="56"/>
      <c r="W31" s="129" t="s">
        <v>84</v>
      </c>
      <c r="X31" s="130"/>
      <c r="Y31" s="121">
        <f>M31*4</f>
        <v>2.1739506820414167</v>
      </c>
      <c r="Z31" s="131"/>
      <c r="AA31" s="132">
        <f>1-AA32+IF($Y32&lt;0,$Y32/4,0)</f>
        <v>0.49512467038582131</v>
      </c>
      <c r="AB31" s="131"/>
      <c r="AC31" s="133">
        <f>1-AC32+IF($Y32&lt;0,$Y32/4,0)</f>
        <v>0.66711274651699604</v>
      </c>
      <c r="AD31" s="134"/>
      <c r="AE31" s="133">
        <f>1-AE32+IF($Y32&lt;0,$Y32/4,0)</f>
        <v>0.67515637692795494</v>
      </c>
      <c r="AF31" s="134"/>
      <c r="AG31" s="133">
        <f>1-AG32+IF($Y32&lt;0,$Y32/4,0)</f>
        <v>0.67560842619321027</v>
      </c>
      <c r="AH31" s="123"/>
      <c r="AI31" s="182">
        <f>SUM(AA31,AC31,AE31,AG31)/4</f>
        <v>0.62825055500599558</v>
      </c>
      <c r="AJ31" s="135">
        <f t="shared" si="14"/>
        <v>0.58111870845140867</v>
      </c>
      <c r="AK31" s="136">
        <f t="shared" si="15"/>
        <v>0.6753824015605826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0.45651232948964576</v>
      </c>
      <c r="J32" s="17"/>
      <c r="L32" s="22">
        <f>SUM(L6:L30)</f>
        <v>0.34646039567840836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83485.844516806756</v>
      </c>
      <c r="T32" s="233">
        <f t="shared" si="24"/>
        <v>82835.429971028992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0.50487532961417869</v>
      </c>
      <c r="AB32" s="137"/>
      <c r="AC32" s="139">
        <f>SUM(AC6:AC30)</f>
        <v>0.33288725348300396</v>
      </c>
      <c r="AD32" s="137"/>
      <c r="AE32" s="139">
        <f>SUM(AE6:AE30)</f>
        <v>0.32484362307204506</v>
      </c>
      <c r="AF32" s="137"/>
      <c r="AG32" s="139">
        <f>SUM(AG6:AG30)</f>
        <v>0.32439157380678979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7.4251361686638004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43139.939902439532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6529.2000000000007</v>
      </c>
      <c r="J65" s="39">
        <f>SUM(J37:J64)</f>
        <v>6529.1999999999989</v>
      </c>
      <c r="K65" s="40">
        <f>SUM(K37:K64)</f>
        <v>1</v>
      </c>
      <c r="L65" s="22">
        <f>SUM(L37:L64)</f>
        <v>0.19647898652724716</v>
      </c>
      <c r="M65" s="24">
        <f>SUM(M37:M64)</f>
        <v>0.21882163683893019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6529.2</v>
      </c>
      <c r="J70" s="51">
        <f t="shared" ref="J70:J77" si="44">J124*I$83</f>
        <v>6529.2</v>
      </c>
      <c r="K70" s="40">
        <f>B70/B$76</f>
        <v>0.70376014372307771</v>
      </c>
      <c r="L70" s="22">
        <f t="shared" ref="L70:L74" si="45">(L124*G$37*F$9/F$7)/B$130</f>
        <v>0.19647898652724713</v>
      </c>
      <c r="M70" s="24">
        <f>J70/B$76</f>
        <v>0.21882163683893022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1632.3</v>
      </c>
      <c r="AB70" s="156">
        <f>Poor!AB70</f>
        <v>0.25</v>
      </c>
      <c r="AC70" s="147">
        <f>$J70*AB70</f>
        <v>1632.3</v>
      </c>
      <c r="AD70" s="156">
        <f>Poor!AD70</f>
        <v>0.25</v>
      </c>
      <c r="AE70" s="147">
        <f>$J70*AD70</f>
        <v>1632.3</v>
      </c>
      <c r="AF70" s="156">
        <f>Poor!AF70</f>
        <v>0.25</v>
      </c>
      <c r="AG70" s="147">
        <f>$J70*AF70</f>
        <v>1632.3</v>
      </c>
      <c r="AH70" s="155">
        <f>SUM(Z70,AB70,AD70,AF70)</f>
        <v>1</v>
      </c>
      <c r="AI70" s="147">
        <f>SUM(AA70,AC70,AE70,AG70)</f>
        <v>6529.2</v>
      </c>
      <c r="AJ70" s="148">
        <f>(AA70+AC70)</f>
        <v>3264.6</v>
      </c>
      <c r="AK70" s="147">
        <f>(AE70+AG70)</f>
        <v>3264.6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-2.2737367544323203E-13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-2.2737367544323203E-13</v>
      </c>
      <c r="AJ74" s="148">
        <f>(AA74+AC74)</f>
        <v>-2.2737367544323203E-13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6529.2</v>
      </c>
      <c r="J76" s="51">
        <f t="shared" si="44"/>
        <v>6529.2</v>
      </c>
      <c r="K76" s="40">
        <f>SUM(K70:K75)</f>
        <v>2.4160351384949807</v>
      </c>
      <c r="L76" s="22">
        <f>SUM(L70:L75)</f>
        <v>0.19647898652724713</v>
      </c>
      <c r="M76" s="24">
        <f>SUM(M70:M75)</f>
        <v>0.21882163683893022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43139.939902439532</v>
      </c>
      <c r="J77" s="100">
        <f t="shared" si="44"/>
        <v>43139.939902439532</v>
      </c>
      <c r="K77" s="40"/>
      <c r="L77" s="22">
        <f>-(L131*G$37*F$9/F$7)/B$130</f>
        <v>-1.4458053456143014</v>
      </c>
      <c r="M77" s="24">
        <f>-J77/B$76</f>
        <v>-1.4458053456143016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1584.6102744436503</v>
      </c>
      <c r="AB77" s="112"/>
      <c r="AC77" s="111">
        <f>AC31*$I$83/4</f>
        <v>2135.0455260478302</v>
      </c>
      <c r="AD77" s="112"/>
      <c r="AE77" s="111">
        <f>AE31*$I$83/4</f>
        <v>2160.78857654681</v>
      </c>
      <c r="AF77" s="112"/>
      <c r="AG77" s="111">
        <f>AG31*$I$83/4</f>
        <v>2162.2353271393831</v>
      </c>
      <c r="AH77" s="110"/>
      <c r="AI77" s="154">
        <f>SUM(AA77,AC77,AE77,AG77)</f>
        <v>8042.6797041776736</v>
      </c>
      <c r="AJ77" s="153">
        <f>SUM(AA77,AC77)</f>
        <v>3719.6558004914805</v>
      </c>
      <c r="AK77" s="160">
        <f>SUM(AE77,AG77)</f>
        <v>4323.0239036861931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-2.2737367544323206E-13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0.51002572210036234</v>
      </c>
      <c r="J119" s="24">
        <f>SUM(J91:J118)</f>
        <v>0.51002572210036234</v>
      </c>
      <c r="K119" s="22">
        <f>SUM(K91:K118)</f>
        <v>3.8457917307557601</v>
      </c>
      <c r="L119" s="22">
        <f>SUM(L91:L118)</f>
        <v>0.45794985554773299</v>
      </c>
      <c r="M119" s="57">
        <f t="shared" si="49"/>
        <v>0.51002572210036234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0.51002572210036234</v>
      </c>
      <c r="J124" s="236">
        <f>IF(SUMPRODUCT($B$124:$B124,$H$124:$H124)&lt;J$119,($B124*$H124),J$119)</f>
        <v>0.51002572210036234</v>
      </c>
      <c r="K124" s="29">
        <f>(B124)</f>
        <v>2.7065149411656972</v>
      </c>
      <c r="L124" s="29">
        <f>IF(SUMPRODUCT($B$124:$B124,$H$124:$H124)&lt;L$119,($B124*$H124),L$119)</f>
        <v>0.45794985554773299</v>
      </c>
      <c r="M124" s="239">
        <f t="shared" si="66"/>
        <v>0.51002572210036234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0.51002572210036234</v>
      </c>
      <c r="J130" s="227">
        <f>(J119)</f>
        <v>0.51002572210036234</v>
      </c>
      <c r="K130" s="29">
        <f>(B130)</f>
        <v>3.8457917307557601</v>
      </c>
      <c r="L130" s="29">
        <f>(L119)</f>
        <v>0.45794985554773299</v>
      </c>
      <c r="M130" s="239">
        <f t="shared" si="66"/>
        <v>0.51002572210036234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3.3698583287551243</v>
      </c>
      <c r="J131" s="236">
        <f>IF(SUMPRODUCT($B124:$B125,$H124:$H125)&gt;(J119-J128),SUMPRODUCT($B124:$B125,$H124:$H125)+J128-J119,0)</f>
        <v>3.3698583287551243</v>
      </c>
      <c r="K131" s="29"/>
      <c r="L131" s="29">
        <f>IF(I131&lt;SUM(L126:L127),0,I131-(SUM(L126:L127)))</f>
        <v>3.3698583287551243</v>
      </c>
      <c r="M131" s="236">
        <f>IF(I131&lt;SUM(M126:M127),0,I131-(SUM(M126:M127)))</f>
        <v>3.3698583287551243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2938.4755688086407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0.2738391161603364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9.1279705386778792E-3</v>
      </c>
      <c r="AB9" s="125">
        <f>IF($Y9=0,0,AC9/$Y9)</f>
        <v>0.30077449721918825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1.0025816573972942E-2</v>
      </c>
      <c r="AD9" s="125">
        <f>IF($Y9=0,0,AE9/$Y9)</f>
        <v>0.29285239932808643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9.7617466442695474E-3</v>
      </c>
      <c r="AF9" s="122">
        <f t="shared" si="10"/>
        <v>0.13253398729238897</v>
      </c>
      <c r="AG9" s="121">
        <f t="shared" si="11"/>
        <v>4.4177995764129651E-3</v>
      </c>
      <c r="AH9" s="123">
        <f t="shared" si="12"/>
        <v>1</v>
      </c>
      <c r="AI9" s="183">
        <f t="shared" si="13"/>
        <v>8.3333333333333332E-3</v>
      </c>
      <c r="AJ9" s="120">
        <f t="shared" si="14"/>
        <v>9.5768935563254106E-3</v>
      </c>
      <c r="AK9" s="119">
        <f t="shared" si="15"/>
        <v>7.0897731103412558E-3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8.7831392979452041E-2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8.7831392979452041E-2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0.35132557191780817</v>
      </c>
      <c r="Z10" s="125">
        <f>IF($Y10=0,0,AA10/$Y10)</f>
        <v>0.27383911616033635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9.620668409849728E-2</v>
      </c>
      <c r="AB10" s="125">
        <f>IF($Y10=0,0,AC10/$Y10)</f>
        <v>0.30077449721918825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0.10566977225382251</v>
      </c>
      <c r="AD10" s="125">
        <f>IF($Y10=0,0,AE10/$Y10)</f>
        <v>0.29285239932808638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0.10288653668144229</v>
      </c>
      <c r="AF10" s="122">
        <f t="shared" si="10"/>
        <v>0.13253398729238908</v>
      </c>
      <c r="AG10" s="121">
        <f t="shared" si="11"/>
        <v>4.6562578884046114E-2</v>
      </c>
      <c r="AH10" s="123">
        <f t="shared" si="12"/>
        <v>1</v>
      </c>
      <c r="AI10" s="183">
        <f t="shared" si="13"/>
        <v>8.7831392979452055E-2</v>
      </c>
      <c r="AJ10" s="120">
        <f t="shared" si="14"/>
        <v>0.1009382281761599</v>
      </c>
      <c r="AK10" s="119">
        <f t="shared" si="15"/>
        <v>7.47245577827442E-2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0.2738391161603364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0.10945534867637119</v>
      </c>
      <c r="AB11" s="125">
        <f>IF($Y11=0,0,AC11/$Y11)</f>
        <v>0.30077449721918825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0.12022160284365871</v>
      </c>
      <c r="AD11" s="125">
        <f>IF($Y11=0,0,AE11/$Y11)</f>
        <v>0.29285239932808643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0.11705508668235476</v>
      </c>
      <c r="AF11" s="122">
        <f t="shared" si="10"/>
        <v>0.13253398729238897</v>
      </c>
      <c r="AG11" s="121">
        <f t="shared" si="11"/>
        <v>5.2974732003094861E-2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0.11483847576001495</v>
      </c>
      <c r="AK11" s="119">
        <f t="shared" si="15"/>
        <v>8.5014909342724806E-2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1.3373775840597757E-2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1.3373775840597757E-2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5.3495103362391029E-2</v>
      </c>
      <c r="Z15" s="116">
        <v>0.25</v>
      </c>
      <c r="AA15" s="121">
        <f t="shared" si="16"/>
        <v>1.3373775840597757E-2</v>
      </c>
      <c r="AB15" s="116">
        <v>0.25</v>
      </c>
      <c r="AC15" s="121">
        <f t="shared" si="7"/>
        <v>1.3373775840597757E-2</v>
      </c>
      <c r="AD15" s="116">
        <v>0.25</v>
      </c>
      <c r="AE15" s="121">
        <f t="shared" si="8"/>
        <v>1.3373775840597757E-2</v>
      </c>
      <c r="AF15" s="122">
        <f t="shared" si="10"/>
        <v>0.25</v>
      </c>
      <c r="AG15" s="121">
        <f t="shared" si="11"/>
        <v>1.3373775840597757E-2</v>
      </c>
      <c r="AH15" s="123">
        <f t="shared" si="12"/>
        <v>1</v>
      </c>
      <c r="AI15" s="183">
        <f t="shared" si="13"/>
        <v>1.3373775840597757E-2</v>
      </c>
      <c r="AJ15" s="120">
        <f t="shared" si="14"/>
        <v>1.3373775840597757E-2</v>
      </c>
      <c r="AK15" s="119">
        <f t="shared" si="15"/>
        <v>1.3373775840597757E-2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1.1266344956413449E-2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1.1266344956413449E-2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4.5065379825653798E-2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4.5065379825653798E-2</v>
      </c>
      <c r="AH16" s="123">
        <f t="shared" si="12"/>
        <v>1</v>
      </c>
      <c r="AI16" s="183">
        <f t="shared" si="13"/>
        <v>1.1266344956413449E-2</v>
      </c>
      <c r="AJ16" s="120">
        <f t="shared" si="14"/>
        <v>0</v>
      </c>
      <c r="AK16" s="119">
        <f t="shared" si="15"/>
        <v>2.2532689912826899E-2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1.87733499377335E-2</v>
      </c>
      <c r="Z17" s="116">
        <v>0.29409999999999997</v>
      </c>
      <c r="AA17" s="121">
        <f t="shared" si="16"/>
        <v>5.5212422166874215E-3</v>
      </c>
      <c r="AB17" s="116">
        <v>0.17649999999999999</v>
      </c>
      <c r="AC17" s="121">
        <f t="shared" si="7"/>
        <v>3.3134962640099627E-3</v>
      </c>
      <c r="AD17" s="116"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34576.758670957999</v>
      </c>
      <c r="T23" s="179">
        <f>SUM(T7:T22)</f>
        <v>38098.418053248541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0.32396864521750812</v>
      </c>
      <c r="J30" s="230">
        <f>IF(I$32&lt;=1,I30,1-SUM(J6:J29))</f>
        <v>0.32396864521750812</v>
      </c>
      <c r="K30" s="22">
        <f t="shared" si="4"/>
        <v>0.59392078206724785</v>
      </c>
      <c r="L30" s="22">
        <f>IF(L124=L119,0,IF(K30="",0,(L119-L124)/(B119-B124)*K30))</f>
        <v>1.289700220220721E-2</v>
      </c>
      <c r="M30" s="175">
        <f t="shared" si="6"/>
        <v>0.32396864521750812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4747.5276210947995</v>
      </c>
      <c r="T30" s="233">
        <f t="shared" si="50"/>
        <v>1225.868238804258</v>
      </c>
      <c r="V30" s="56"/>
      <c r="W30" s="110"/>
      <c r="X30" s="118"/>
      <c r="Y30" s="183">
        <f>M30*4</f>
        <v>1.2958745808700325</v>
      </c>
      <c r="Z30" s="122">
        <f>IF($Y30=0,0,AA30/($Y$30))</f>
        <v>-0.71929323301543902</v>
      </c>
      <c r="AA30" s="187">
        <f>IF(AA79*4/$I$83+SUM(AA6:AA29)&lt;1,AA79*4/$I$83,1-SUM(AA6:AA29))</f>
        <v>-0.93211381685653272</v>
      </c>
      <c r="AB30" s="122">
        <f>IF($Y30=0,0,AC30/($Y$30))</f>
        <v>-1.0038121422090256</v>
      </c>
      <c r="AC30" s="187">
        <f>IF(AC79*4/$I$83+SUM(AC6:AC29)&lt;1,AC79*4/$I$83,1-SUM(AC6:AC29))</f>
        <v>-1.3008146390573705</v>
      </c>
      <c r="AD30" s="122">
        <f>IF($Y30=0,0,AE30/($Y$30))</f>
        <v>-1.0038121422090256</v>
      </c>
      <c r="AE30" s="187">
        <f>IF(AE79*4/$I$83+SUM(AE6:AE29)&lt;1,AE79*4/$I$83,1-SUM(AE6:AE29))</f>
        <v>-1.3008146390573705</v>
      </c>
      <c r="AF30" s="122">
        <f>IF($Y30=0,0,AG30/($Y$30))</f>
        <v>-1.0038121422090256</v>
      </c>
      <c r="AG30" s="187">
        <f>IF(AG79*4/$I$83+SUM(AG6:AG29)&lt;1,AG79*4/$I$83,1-SUM(AG6:AG29))</f>
        <v>-1.3008146390573705</v>
      </c>
      <c r="AH30" s="123">
        <f t="shared" si="12"/>
        <v>-3.7307296596425159</v>
      </c>
      <c r="AI30" s="183">
        <f t="shared" si="13"/>
        <v>-1.2086394335071611</v>
      </c>
      <c r="AJ30" s="120">
        <f t="shared" si="14"/>
        <v>-1.1164642279569517</v>
      </c>
      <c r="AK30" s="119">
        <f t="shared" si="15"/>
        <v>-1.3008146390573705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9.5758183804454333E-2</v>
      </c>
      <c r="K31" s="22" t="str">
        <f t="shared" si="4"/>
        <v/>
      </c>
      <c r="L31" s="22">
        <f>(1-SUM(L6:L30))</f>
        <v>0.59298787756748095</v>
      </c>
      <c r="M31" s="178">
        <f t="shared" si="6"/>
        <v>9.5758183804454333E-2</v>
      </c>
      <c r="N31" s="167">
        <f>M31*I83</f>
        <v>1225.8682388042621</v>
      </c>
      <c r="P31" s="22"/>
      <c r="Q31" s="237" t="s">
        <v>142</v>
      </c>
      <c r="R31" s="233">
        <f t="shared" si="50"/>
        <v>0</v>
      </c>
      <c r="S31" s="233">
        <f t="shared" si="50"/>
        <v>25018.354287761467</v>
      </c>
      <c r="T31" s="233">
        <f>IF(T25&gt;T$23,T25-T$23,0)</f>
        <v>21496.694905470926</v>
      </c>
      <c r="V31" s="56"/>
      <c r="W31" s="129" t="s">
        <v>84</v>
      </c>
      <c r="X31" s="130"/>
      <c r="Y31" s="121">
        <f>M31*4</f>
        <v>0.38303273521781733</v>
      </c>
      <c r="Z31" s="131"/>
      <c r="AA31" s="132">
        <f>1-AA32+IF($Y32&lt;0,$Y32/4,0)</f>
        <v>0.93211381685653272</v>
      </c>
      <c r="AB31" s="131"/>
      <c r="AC31" s="133">
        <f>1-AC32+IF($Y32&lt;0,$Y32/4,0)</f>
        <v>1.3008146390573705</v>
      </c>
      <c r="AD31" s="134"/>
      <c r="AE31" s="133">
        <f>1-AE32+IF($Y32&lt;0,$Y32/4,0)</f>
        <v>1.3008146390573707</v>
      </c>
      <c r="AF31" s="134"/>
      <c r="AG31" s="133">
        <f>1-AG32+IF($Y32&lt;0,$Y32/4,0)</f>
        <v>2.9797219551452208</v>
      </c>
      <c r="AH31" s="123"/>
      <c r="AI31" s="182">
        <f>SUM(AA31,AC31,AE31,AG31)/4</f>
        <v>1.6283662625291235</v>
      </c>
      <c r="AJ31" s="135">
        <f t="shared" si="14"/>
        <v>1.1164642279569517</v>
      </c>
      <c r="AK31" s="136">
        <f t="shared" si="15"/>
        <v>2.1402682971012958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0.90424181619554567</v>
      </c>
      <c r="J32" s="17"/>
      <c r="L32" s="22">
        <f>SUM(L6:L30)</f>
        <v>0.40701212243251905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57756.274287761473</v>
      </c>
      <c r="T32" s="233">
        <f t="shared" si="50"/>
        <v>54234.614905470931</v>
      </c>
      <c r="V32" s="56"/>
      <c r="W32" s="110"/>
      <c r="X32" s="118"/>
      <c r="Y32" s="115">
        <f>SUM(Y6:Y31)</f>
        <v>4</v>
      </c>
      <c r="Z32" s="137"/>
      <c r="AA32" s="138">
        <f>SUM(AA6:AA30)</f>
        <v>6.7886183143467282E-2</v>
      </c>
      <c r="AB32" s="137"/>
      <c r="AC32" s="139">
        <f>SUM(AC6:AC30)</f>
        <v>-0.30081463905737049</v>
      </c>
      <c r="AD32" s="137"/>
      <c r="AE32" s="139">
        <f>SUM(AE6:AE30)</f>
        <v>-0.30081463905737071</v>
      </c>
      <c r="AF32" s="137"/>
      <c r="AG32" s="139">
        <f>SUM(AG6:AG30)</f>
        <v>-1.9797219551452208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1.8942372959405511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1179.9999999999998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1179.9999999999998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0.2738391161603364</v>
      </c>
      <c r="AA40" s="147">
        <f t="shared" si="64"/>
        <v>0</v>
      </c>
      <c r="AB40" s="122">
        <f>AB9</f>
        <v>0.30077449721918825</v>
      </c>
      <c r="AC40" s="147">
        <f t="shared" si="65"/>
        <v>0</v>
      </c>
      <c r="AD40" s="122">
        <f>AD9</f>
        <v>0.29285239932808643</v>
      </c>
      <c r="AE40" s="147">
        <f t="shared" si="66"/>
        <v>0</v>
      </c>
      <c r="AF40" s="122">
        <f t="shared" si="57"/>
        <v>0.13253398729238897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0.2738391161603364</v>
      </c>
      <c r="AA41" s="147">
        <f t="shared" si="64"/>
        <v>0</v>
      </c>
      <c r="AB41" s="122">
        <f>AB11</f>
        <v>0.30077449721918825</v>
      </c>
      <c r="AC41" s="147">
        <f t="shared" si="65"/>
        <v>0</v>
      </c>
      <c r="AD41" s="122">
        <f>AD11</f>
        <v>0.29285239932808643</v>
      </c>
      <c r="AE41" s="147">
        <f t="shared" si="66"/>
        <v>0</v>
      </c>
      <c r="AF41" s="122">
        <f t="shared" si="57"/>
        <v>0.13253398729238897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33545.665000000001</v>
      </c>
      <c r="J65" s="39">
        <f>SUM(J37:J64)</f>
        <v>33545.665000000001</v>
      </c>
      <c r="K65" s="40">
        <f>SUM(K37:K64)</f>
        <v>1</v>
      </c>
      <c r="L65" s="22">
        <f>SUM(L37:L64)</f>
        <v>0.4577760347621152</v>
      </c>
      <c r="M65" s="24">
        <f>SUM(M37:M64)</f>
        <v>0.49411791132714677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4366.4162499999993</v>
      </c>
      <c r="AB65" s="137"/>
      <c r="AC65" s="153">
        <f>SUM(AC37:AC64)</f>
        <v>3186.4162499999993</v>
      </c>
      <c r="AD65" s="137"/>
      <c r="AE65" s="153">
        <f>SUM(AE37:AE64)</f>
        <v>3186.4162499999993</v>
      </c>
      <c r="AF65" s="137"/>
      <c r="AG65" s="153">
        <f>SUM(AG37:AG64)</f>
        <v>3186.4162499999993</v>
      </c>
      <c r="AH65" s="137"/>
      <c r="AI65" s="153">
        <f>SUM(AI37:AI64)</f>
        <v>13925.664999999997</v>
      </c>
      <c r="AJ65" s="153">
        <f>SUM(AJ37:AJ64)</f>
        <v>7552.8324999999986</v>
      </c>
      <c r="AK65" s="153">
        <f>SUM(AK37:AK64)</f>
        <v>6372.8324999999986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4147.3517642271308</v>
      </c>
      <c r="J71" s="51">
        <f t="shared" si="75"/>
        <v>4147.3517642271308</v>
      </c>
      <c r="K71" s="40">
        <f t="shared" ref="K71:K72" si="78">B71/B$76</f>
        <v>0.25303677517552908</v>
      </c>
      <c r="L71" s="22">
        <f t="shared" si="76"/>
        <v>2.4747411463059813E-2</v>
      </c>
      <c r="M71" s="24">
        <f t="shared" ref="M71:M72" si="79">J71/B$76</f>
        <v>6.1089288028091486E-2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4147.3517642271308</v>
      </c>
      <c r="J74" s="51">
        <f t="shared" si="75"/>
        <v>4147.3517642271308</v>
      </c>
      <c r="K74" s="40">
        <f>B74/B$76</f>
        <v>6.7874502872293421E-2</v>
      </c>
      <c r="L74" s="22">
        <f t="shared" si="76"/>
        <v>2.4319288111990041E-3</v>
      </c>
      <c r="M74" s="24">
        <f>J74/B$76</f>
        <v>6.1089288028091486E-2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-2983.1620589432177</v>
      </c>
      <c r="AB74" s="156"/>
      <c r="AC74" s="147">
        <f>AC30*$I$83/4</f>
        <v>-4163.1620589432177</v>
      </c>
      <c r="AD74" s="156"/>
      <c r="AE74" s="147">
        <f>AE30*$I$83/4</f>
        <v>-4163.1620589432177</v>
      </c>
      <c r="AF74" s="156"/>
      <c r="AG74" s="147">
        <f>AG30*$I$83/4</f>
        <v>-4163.1620589432177</v>
      </c>
      <c r="AH74" s="155"/>
      <c r="AI74" s="147">
        <f>SUM(AA74,AC74,AE74,AG74)</f>
        <v>-15472.648235772871</v>
      </c>
      <c r="AJ74" s="148">
        <f>(AA74+AC74)</f>
        <v>-7146.3241178864355</v>
      </c>
      <c r="AK74" s="147">
        <f>(AE74+AG74)</f>
        <v>-8326.3241178864355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33545.665000000001</v>
      </c>
      <c r="J76" s="51">
        <f t="shared" si="75"/>
        <v>33545.665000000001</v>
      </c>
      <c r="K76" s="40">
        <f>SUM(K70:K75)</f>
        <v>1.0946304586106326</v>
      </c>
      <c r="L76" s="22">
        <f>SUM(L70:L75)</f>
        <v>0.46020796357331428</v>
      </c>
      <c r="M76" s="24">
        <f>SUM(M70:M75)</f>
        <v>0.55520719935523832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4366.4162499999993</v>
      </c>
      <c r="AB76" s="137"/>
      <c r="AC76" s="153">
        <f>AC65</f>
        <v>3186.4162499999993</v>
      </c>
      <c r="AD76" s="137"/>
      <c r="AE76" s="153">
        <f>AE65</f>
        <v>3186.4162499999993</v>
      </c>
      <c r="AF76" s="137"/>
      <c r="AG76" s="153">
        <f>AG65</f>
        <v>3186.4162499999993</v>
      </c>
      <c r="AH76" s="137"/>
      <c r="AI76" s="153">
        <f>SUM(AA76,AC76,AE76,AG76)</f>
        <v>13925.664999999997</v>
      </c>
      <c r="AJ76" s="154">
        <f>SUM(AA76,AC76)</f>
        <v>7552.8324999999986</v>
      </c>
      <c r="AK76" s="154">
        <f>SUM(AE76,AG76)</f>
        <v>6372.8324999999986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20270.826666666657</v>
      </c>
      <c r="K77" s="40"/>
      <c r="L77" s="22">
        <f>-(L131*G$37*F$9/F$7)/B$130</f>
        <v>-0.29858339470712414</v>
      </c>
      <c r="M77" s="24">
        <f>-J77/B$76</f>
        <v>-0.29858339470712414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2983.1620589432177</v>
      </c>
      <c r="AB77" s="112"/>
      <c r="AC77" s="111">
        <f>AC31*$I$83/4</f>
        <v>4163.1620589432177</v>
      </c>
      <c r="AD77" s="112"/>
      <c r="AE77" s="111">
        <f>AE31*$I$83/4</f>
        <v>4163.1620589432187</v>
      </c>
      <c r="AF77" s="112"/>
      <c r="AG77" s="111">
        <f>AG31*$I$83/4</f>
        <v>9536.3820619746111</v>
      </c>
      <c r="AH77" s="110"/>
      <c r="AI77" s="154">
        <f>SUM(AA77,AC77,AE77,AG77)</f>
        <v>20845.868238804265</v>
      </c>
      <c r="AJ77" s="153">
        <f>SUM(AA77,AC77)</f>
        <v>7146.3241178864355</v>
      </c>
      <c r="AK77" s="160">
        <f>SUM(AE77,AG77)</f>
        <v>13699.54412091783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-2983.1620589432177</v>
      </c>
      <c r="AB79" s="112"/>
      <c r="AC79" s="112">
        <f>AA79-AA74+AC65-AC70</f>
        <v>-4163.1620589432177</v>
      </c>
      <c r="AD79" s="112"/>
      <c r="AE79" s="112">
        <f>AC79-AC74+AE65-AE70</f>
        <v>-4163.1620589432177</v>
      </c>
      <c r="AF79" s="112"/>
      <c r="AG79" s="112">
        <f>AE79-AE74+AG65-AG70</f>
        <v>-4163.1620589432177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2.6204055649944635</v>
      </c>
      <c r="J119" s="24">
        <f>SUM(J91:J118)</f>
        <v>2.6204055649944635</v>
      </c>
      <c r="K119" s="22">
        <f>SUM(K91:K118)</f>
        <v>8.7502781889204542</v>
      </c>
      <c r="L119" s="22">
        <f>SUM(L91:L118)</f>
        <v>2.4276773650845023</v>
      </c>
      <c r="M119" s="57">
        <f t="shared" si="80"/>
        <v>2.6204055649944635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0.32396864521750812</v>
      </c>
      <c r="J125" s="236">
        <f>IF(SUMPRODUCT($B$124:$B125,$H$124:$H125)&lt;J$119,($B125*$H125),IF(SUMPRODUCT($B$124:$B124,$H$124:$H124)&lt;J$119,J$119-SUMPRODUCT($B$124:$B124,$H$124:$H124),0))</f>
        <v>0.32396864521750812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0.13124044530754686</v>
      </c>
      <c r="M125" s="239">
        <f t="shared" si="93"/>
        <v>0.32396864521750812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0.32396864521750812</v>
      </c>
      <c r="J128" s="227">
        <f>(J30)</f>
        <v>0.32396864521750812</v>
      </c>
      <c r="K128" s="29">
        <f>(B128)</f>
        <v>0.59392078206724785</v>
      </c>
      <c r="L128" s="29">
        <f>IF(L124=L119,0,(L119-L124)/(B119-B124)*K128)</f>
        <v>1.289700220220721E-2</v>
      </c>
      <c r="M128" s="239">
        <f t="shared" si="93"/>
        <v>0.32396864521750812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2.6204055649944635</v>
      </c>
      <c r="J130" s="227">
        <f>(J119)</f>
        <v>2.6204055649944635</v>
      </c>
      <c r="K130" s="29">
        <f>(B130)</f>
        <v>8.7502781889204542</v>
      </c>
      <c r="L130" s="29">
        <f>(L119)</f>
        <v>2.4276773650845023</v>
      </c>
      <c r="M130" s="239">
        <f t="shared" si="93"/>
        <v>2.6204055649944635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1.5834471310785307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3746.460878482379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223.99999999999994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0.75685581562371351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3.5762497640390548E-3</v>
      </c>
      <c r="AB8" s="125">
        <f>IF($Y8=0,0,AC8/$Y8)</f>
        <v>0.24314418437628646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1.1488903355873462E-3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0.14017535445205478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0.14017535445205478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0.56070141780821914</v>
      </c>
      <c r="Z10" s="125">
        <f>IF($Y10=0,0,AA10/$Y10)</f>
        <v>0.75685581562371362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0.4243701288966123</v>
      </c>
      <c r="AB10" s="125">
        <f>IF($Y10=0,0,AC10/$Y10)</f>
        <v>0.24314418437628643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0.13633128891160684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0.14017535445205478</v>
      </c>
      <c r="AJ10" s="120">
        <f t="shared" si="14"/>
        <v>0.28035070890410957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6519.5</v>
      </c>
      <c r="U11" s="222">
        <v>5</v>
      </c>
      <c r="V11" s="56"/>
      <c r="W11" s="115"/>
      <c r="X11" s="118">
        <f>Poor!X11</f>
        <v>1</v>
      </c>
      <c r="Y11" s="183">
        <f t="shared" si="9"/>
        <v>0.39970677020547951</v>
      </c>
      <c r="Z11" s="125">
        <f>IF($Y11=0,0,AA11/$Y11)</f>
        <v>0.75685581562371351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0.30252039357418842</v>
      </c>
      <c r="AB11" s="125">
        <f>IF($Y11=0,0,AC11/$Y11)</f>
        <v>0.24314418437628652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9.7186376631291094E-2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0.19985338510273976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3.314115504358655E-3</v>
      </c>
      <c r="K13" s="22">
        <f t="shared" si="4"/>
        <v>0</v>
      </c>
      <c r="L13" s="22">
        <f t="shared" si="5"/>
        <v>0</v>
      </c>
      <c r="M13" s="224">
        <f t="shared" si="6"/>
        <v>3.314115504358655E-3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1.325646201743462E-2</v>
      </c>
      <c r="Z13" s="156">
        <f>Poor!Z13</f>
        <v>1</v>
      </c>
      <c r="AA13" s="121">
        <f>$M13*Z13*4</f>
        <v>1.325646201743462E-2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3.314115504358655E-3</v>
      </c>
      <c r="AJ13" s="120">
        <f t="shared" si="14"/>
        <v>6.6282310087173099E-3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2.2289626400996271E-2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2.2289626400996271E-2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8.9158505603985083E-2</v>
      </c>
      <c r="Z15" s="156">
        <f>Poor!Z15</f>
        <v>0.25</v>
      </c>
      <c r="AA15" s="121">
        <f t="shared" si="16"/>
        <v>2.2289626400996271E-2</v>
      </c>
      <c r="AB15" s="156">
        <f>Poor!AB15</f>
        <v>0.25</v>
      </c>
      <c r="AC15" s="121">
        <f t="shared" si="7"/>
        <v>2.2289626400996271E-2</v>
      </c>
      <c r="AD15" s="156">
        <f>Poor!AD15</f>
        <v>0.25</v>
      </c>
      <c r="AE15" s="121">
        <f t="shared" si="8"/>
        <v>2.2289626400996271E-2</v>
      </c>
      <c r="AF15" s="122">
        <f t="shared" si="10"/>
        <v>0.25</v>
      </c>
      <c r="AG15" s="121">
        <f t="shared" si="11"/>
        <v>2.2289626400996271E-2</v>
      </c>
      <c r="AH15" s="123">
        <f t="shared" si="12"/>
        <v>1</v>
      </c>
      <c r="AI15" s="183">
        <f t="shared" si="13"/>
        <v>2.2289626400996271E-2</v>
      </c>
      <c r="AJ15" s="120">
        <f t="shared" si="14"/>
        <v>2.2289626400996271E-2</v>
      </c>
      <c r="AK15" s="119">
        <f t="shared" si="15"/>
        <v>2.2289626400996271E-2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1.8026151930261521E-2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1.8026151930261521E-2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1152</v>
      </c>
      <c r="U16" s="222">
        <v>10</v>
      </c>
      <c r="V16" s="56"/>
      <c r="W16" s="110"/>
      <c r="X16" s="118"/>
      <c r="Y16" s="183">
        <f t="shared" si="9"/>
        <v>7.2104607721046085E-2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7.2104607721046085E-2</v>
      </c>
      <c r="AH16" s="123">
        <f t="shared" si="12"/>
        <v>1</v>
      </c>
      <c r="AI16" s="183">
        <f t="shared" si="13"/>
        <v>1.8026151930261521E-2</v>
      </c>
      <c r="AJ16" s="120">
        <f t="shared" si="14"/>
        <v>0</v>
      </c>
      <c r="AK16" s="119">
        <f t="shared" si="15"/>
        <v>3.6052303860523043E-2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1.87733499377335E-2</v>
      </c>
      <c r="Z17" s="156">
        <f>Poor!Z17</f>
        <v>0.29409999999999997</v>
      </c>
      <c r="AA17" s="121">
        <f t="shared" si="16"/>
        <v>5.5212422166874215E-3</v>
      </c>
      <c r="AB17" s="156">
        <f>Poor!AB17</f>
        <v>0.17649999999999999</v>
      </c>
      <c r="AC17" s="121">
        <f t="shared" si="7"/>
        <v>3.3134962640099627E-3</v>
      </c>
      <c r="AD17" s="156">
        <f>Poor!AD17</f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55892.172223081478</v>
      </c>
      <c r="T23" s="179">
        <f>SUM(T7:T22)</f>
        <v>57210.041573768125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1.8598446474372556</v>
      </c>
      <c r="J30" s="230">
        <f>IF(I$32&lt;=1,I30,1-SUM(J6:J29))</f>
        <v>0.46270636818907385</v>
      </c>
      <c r="K30" s="22">
        <f t="shared" si="4"/>
        <v>0.63544987546699883</v>
      </c>
      <c r="L30" s="22">
        <f>IF(L124=L119,0,IF(K30="",0,(L119-L124)/(B119-B124)*K30))</f>
        <v>0.11588116263506661</v>
      </c>
      <c r="M30" s="175">
        <f t="shared" si="6"/>
        <v>0.46270636818907385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1.8508254727562954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0.10136206643777283</v>
      </c>
      <c r="AC30" s="187">
        <f>IF(AC79*4/$I$84+SUM(AC6:AC29)&lt;1,AC79*4/$I$84,1-SUM(AC6:AC29))</f>
        <v>0.18760349453424593</v>
      </c>
      <c r="AD30" s="122">
        <f>IF($Y30=0,0,AE30/($Y$30))</f>
        <v>-0.12846944346289305</v>
      </c>
      <c r="AE30" s="187">
        <f>IF(AE79*4/$I$84+SUM(AE6:AE29)&lt;1,AE79*4/$I$84,1-SUM(AE6:AE29))</f>
        <v>-0.23777451843194716</v>
      </c>
      <c r="AF30" s="122">
        <f>IF($Y30=0,0,AG30/($Y$30))</f>
        <v>-0.12846944346289305</v>
      </c>
      <c r="AG30" s="187">
        <f>IF(AG79*4/$I$84+SUM(AG6:AG29)&lt;1,AG79*4/$I$84,1-SUM(AG6:AG29))</f>
        <v>-0.23777451843194716</v>
      </c>
      <c r="AH30" s="123">
        <f t="shared" si="12"/>
        <v>-0.15557682048801325</v>
      </c>
      <c r="AI30" s="183">
        <f t="shared" si="13"/>
        <v>-7.1986385582412105E-2</v>
      </c>
      <c r="AJ30" s="120">
        <f t="shared" si="14"/>
        <v>9.3801747267122967E-2</v>
      </c>
      <c r="AK30" s="119">
        <f t="shared" si="15"/>
        <v>-0.23777451843194716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0.45175972734781011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3702.9407356379888</v>
      </c>
      <c r="T31" s="233">
        <f>IF(T25&gt;T$23,T25-T$23,0)</f>
        <v>2385.0713849513413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0.31472649641737627</v>
      </c>
      <c r="AD31" s="134"/>
      <c r="AE31" s="133">
        <f>1-AE32+IF($Y32&lt;0,$Y32/4,0)</f>
        <v>0.97365292722967611</v>
      </c>
      <c r="AF31" s="134"/>
      <c r="AG31" s="133">
        <f>1-AG32+IF($Y32&lt;0,$Y32/4,0)</f>
        <v>0.88814057275894132</v>
      </c>
      <c r="AH31" s="123"/>
      <c r="AI31" s="182">
        <f>SUM(AA31,AC31,AE31,AG31)/4</f>
        <v>0.54412999910149851</v>
      </c>
      <c r="AJ31" s="135">
        <f t="shared" si="14"/>
        <v>0.15736324820868813</v>
      </c>
      <c r="AK31" s="136">
        <f t="shared" si="15"/>
        <v>0.93089674999430871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2.3971382792481819</v>
      </c>
      <c r="J32" s="17"/>
      <c r="L32" s="22">
        <f>SUM(L6:L30)</f>
        <v>0.54824027265218989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36440.860735637994</v>
      </c>
      <c r="T32" s="233">
        <f t="shared" si="24"/>
        <v>35122.991384951347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0.68527350358262373</v>
      </c>
      <c r="AD32" s="137"/>
      <c r="AE32" s="139">
        <f>SUM(AE6:AE30)</f>
        <v>2.6347072770323915E-2</v>
      </c>
      <c r="AF32" s="137"/>
      <c r="AG32" s="139">
        <f>SUM(AG6:AG30)</f>
        <v>0.11185942724105866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2.25794839121864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2385.0713849513418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0.32954905554216329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544.41503975565365</v>
      </c>
      <c r="AB37" s="122">
        <f>IF($J37=0,0,AC37/($J37))</f>
        <v>0.67045094445783671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1107.5849602443461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4425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4.3814050200504974E-2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0.32954905554216324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1458.2545707740724</v>
      </c>
      <c r="AB38" s="122">
        <f>IF($J38=0,0,AC38/($J38))</f>
        <v>0.67045094445783671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2966.7454292259276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4425</v>
      </c>
      <c r="AJ38" s="148">
        <f t="shared" ref="AJ38:AJ64" si="38">(AA38+AC38)</f>
        <v>4425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442.5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4.3814050200504974E-3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0.75685581562371351</v>
      </c>
      <c r="AA39" s="147">
        <f t="shared" ref="AA39:AA64" si="40">$J39*Z39</f>
        <v>334.90869841349325</v>
      </c>
      <c r="AB39" s="122">
        <f>AB8</f>
        <v>0.24314418437628646</v>
      </c>
      <c r="AC39" s="147">
        <f t="shared" ref="AC39:AC64" si="41">$J39*AB39</f>
        <v>107.59130158650676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442.5</v>
      </c>
      <c r="AJ39" s="148">
        <f t="shared" si="38"/>
        <v>442.5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0.75685581562371351</v>
      </c>
      <c r="AA41" s="147">
        <f t="shared" si="40"/>
        <v>0</v>
      </c>
      <c r="AB41" s="122">
        <f>AB11</f>
        <v>0.24314418437628652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1.1406505272538245E-2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53207.5</v>
      </c>
      <c r="J65" s="39">
        <f>SUM(J37:J64)</f>
        <v>53207.5</v>
      </c>
      <c r="K65" s="40">
        <f>SUM(K37:K64)</f>
        <v>1</v>
      </c>
      <c r="L65" s="22">
        <f>SUM(L37:L64)</f>
        <v>0.52942026833011524</v>
      </c>
      <c r="M65" s="24">
        <f>SUM(M37:M64)</f>
        <v>0.52683301153522444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9193.9216910567811</v>
      </c>
      <c r="AD65" s="137"/>
      <c r="AE65" s="153">
        <f>SUM(AE37:AE64)</f>
        <v>5012</v>
      </c>
      <c r="AF65" s="137"/>
      <c r="AG65" s="153">
        <f>SUM(AG37:AG64)</f>
        <v>5012</v>
      </c>
      <c r="AH65" s="137"/>
      <c r="AI65" s="153">
        <f>SUM(AI37:AI64)</f>
        <v>26567.5</v>
      </c>
      <c r="AJ65" s="153">
        <f>SUM(AJ37:AJ64)</f>
        <v>16543.5</v>
      </c>
      <c r="AK65" s="153">
        <f>SUM(AK37:AK64)</f>
        <v>10024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0.27470666864696275</v>
      </c>
      <c r="L72" s="22">
        <f t="shared" si="45"/>
        <v>2.2933643983853169E-2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23809.186764227125</v>
      </c>
      <c r="J74" s="51">
        <f t="shared" si="44"/>
        <v>5923.4314825118008</v>
      </c>
      <c r="K74" s="40">
        <f>B74/B$76</f>
        <v>4.8816357829535556E-2</v>
      </c>
      <c r="L74" s="22">
        <f t="shared" si="45"/>
        <v>1.4688615509789596E-2</v>
      </c>
      <c r="M74" s="24">
        <f>J74/B$76</f>
        <v>5.8650739962491219E-2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1844.3433821135625</v>
      </c>
      <c r="AD74" s="156"/>
      <c r="AE74" s="147">
        <f>AE30*$I$84/4</f>
        <v>-2337.5783089432189</v>
      </c>
      <c r="AF74" s="156"/>
      <c r="AG74" s="147">
        <f>AG30*$I$84/4</f>
        <v>-2337.5783089432189</v>
      </c>
      <c r="AH74" s="155"/>
      <c r="AI74" s="147">
        <f>SUM(AA74,AC74,AE74,AG74)</f>
        <v>-2830.8132357728755</v>
      </c>
      <c r="AJ74" s="148">
        <f>(AA74+AC74)</f>
        <v>1844.3433821135625</v>
      </c>
      <c r="AK74" s="147">
        <f>(AE74+AG74)</f>
        <v>-4675.1566178864377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53207.5</v>
      </c>
      <c r="J76" s="51">
        <f t="shared" si="44"/>
        <v>53207.5</v>
      </c>
      <c r="K76" s="40">
        <f>SUM(K70:K75)</f>
        <v>1.1014571998026617</v>
      </c>
      <c r="L76" s="22">
        <f>SUM(L70:L75)</f>
        <v>0.52942026833011546</v>
      </c>
      <c r="M76" s="24">
        <f>SUM(M70:M75)</f>
        <v>0.55044874879896377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9193.9216910567811</v>
      </c>
      <c r="AD76" s="137"/>
      <c r="AE76" s="153">
        <f>AE65</f>
        <v>5012</v>
      </c>
      <c r="AF76" s="137"/>
      <c r="AG76" s="153">
        <f>AG65</f>
        <v>5012</v>
      </c>
      <c r="AH76" s="137"/>
      <c r="AI76" s="153">
        <f>SUM(AA76,AC76,AE76,AG76)</f>
        <v>26567.5</v>
      </c>
      <c r="AJ76" s="154">
        <f>SUM(AA76,AC76)</f>
        <v>16543.5</v>
      </c>
      <c r="AK76" s="154">
        <f>SUM(AE76,AG76)</f>
        <v>10024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2385.0713849513418</v>
      </c>
      <c r="K77" s="40"/>
      <c r="L77" s="22">
        <f>-(L131*G$37*F$9/F$7)/B$130</f>
        <v>-0.17777754633910015</v>
      </c>
      <c r="M77" s="24">
        <f>-J77/B$76</f>
        <v>-2.3615737263739212E-2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3094.0987122029082</v>
      </c>
      <c r="AD77" s="112"/>
      <c r="AE77" s="111">
        <f>AE31*$I$84/4</f>
        <v>9572.0516148687584</v>
      </c>
      <c r="AF77" s="112"/>
      <c r="AG77" s="111">
        <f>AG31*$I$84/4</f>
        <v>8731.3735376900895</v>
      </c>
      <c r="AH77" s="110"/>
      <c r="AI77" s="154">
        <f>SUM(AA77,AC77,AE77,AG77)</f>
        <v>21397.523864761759</v>
      </c>
      <c r="AJ77" s="153">
        <f>SUM(AA77,AC77)</f>
        <v>3094.0987122029082</v>
      </c>
      <c r="AK77" s="160">
        <f>SUM(AE77,AG77)</f>
        <v>18303.425152558848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1844.3433821135623</v>
      </c>
      <c r="AD79" s="112"/>
      <c r="AE79" s="112">
        <f>AC79-AC74+AE65-AE70</f>
        <v>-2337.5783089432189</v>
      </c>
      <c r="AF79" s="112"/>
      <c r="AG79" s="112">
        <f>AE79-AE74+AG65-AG70</f>
        <v>-2337.5783089432189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0.34565702081328548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0.34565702081328548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3.4565702081328545E-2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3.4565702081328545E-2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8.9987997282916343E-2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8.9987997282916343E-2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4.1562815672142115</v>
      </c>
      <c r="J119" s="24">
        <f>SUM(J91:J118)</f>
        <v>4.1562815672142115</v>
      </c>
      <c r="K119" s="22">
        <f>SUM(K91:K118)</f>
        <v>13.017150474149673</v>
      </c>
      <c r="L119" s="22">
        <f>SUM(L91:L118)</f>
        <v>4.1766929072229138</v>
      </c>
      <c r="M119" s="57">
        <f t="shared" si="49"/>
        <v>4.1562815672142115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0.18092769373236006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1.8598446474372556</v>
      </c>
      <c r="J128" s="227">
        <f>(J30)</f>
        <v>0.46270636818907385</v>
      </c>
      <c r="K128" s="22">
        <f>(B128)</f>
        <v>0.63544987546699883</v>
      </c>
      <c r="L128" s="22">
        <f>IF(L124=L119,0,(L119-L124)/(B119-B124)*K128)</f>
        <v>0.11588116263506661</v>
      </c>
      <c r="M128" s="57">
        <f t="shared" si="63"/>
        <v>0.46270636818907385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4.1562815672142115</v>
      </c>
      <c r="J130" s="227">
        <f>(J119)</f>
        <v>4.1562815672142115</v>
      </c>
      <c r="K130" s="22">
        <f>(B130)</f>
        <v>13.017150474149673</v>
      </c>
      <c r="L130" s="22">
        <f>(L119)</f>
        <v>4.1766929072229138</v>
      </c>
      <c r="M130" s="57">
        <f t="shared" si="63"/>
        <v>4.1562815672142115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0.18630885183034973</v>
      </c>
      <c r="K131" s="29"/>
      <c r="L131" s="29">
        <f>IF(I131&lt;SUM(L126:L127),0,I131-(SUM(L126:L127)))</f>
        <v>1.4025194373461716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4096.6657923969069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1779.3381161050022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0.62581741758702181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2.8667603697408037E-2</v>
      </c>
      <c r="AB8" s="125">
        <f>IF($Y8=0,0,AC8/$Y8)</f>
        <v>0.37418258241297819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1.7140651061531651E-2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0.13915438953568454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0.13915438953568454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0.55661755814273817</v>
      </c>
      <c r="Z10" s="125">
        <f>IF($Y10=0,0,AA10/$Y10)</f>
        <v>0.62581741758702181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0.34834096282048238</v>
      </c>
      <c r="AB10" s="125">
        <f>IF($Y10=0,0,AC10/$Y10)</f>
        <v>0.37418258241297814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0.20827659532225579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0.13915438953568454</v>
      </c>
      <c r="AJ10" s="120">
        <f t="shared" si="14"/>
        <v>0.27830877907136908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9.4029841916165008E-2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9.4029841916165008E-2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16625.642476218669</v>
      </c>
      <c r="U11" s="222">
        <v>5</v>
      </c>
      <c r="V11" s="56"/>
      <c r="W11" s="115"/>
      <c r="X11" s="118">
        <f>Poor!X11</f>
        <v>1</v>
      </c>
      <c r="Y11" s="183">
        <f t="shared" si="9"/>
        <v>0.37611936766466003</v>
      </c>
      <c r="Z11" s="125">
        <f>IF($Y11=0,0,AA11/$Y11)</f>
        <v>0.62581741758702181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0.23538205137636112</v>
      </c>
      <c r="AB11" s="125">
        <f>IF($Y11=0,0,AC11/$Y11)</f>
        <v>0.37418258241297825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0.14073731628829891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9.4029841916165008E-2</v>
      </c>
      <c r="AJ11" s="120">
        <f t="shared" si="14"/>
        <v>0.18805968383233002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1.9930722941434022E-2</v>
      </c>
      <c r="K13" s="22">
        <f t="shared" si="4"/>
        <v>0</v>
      </c>
      <c r="L13" s="22">
        <f t="shared" si="5"/>
        <v>0</v>
      </c>
      <c r="M13" s="224">
        <f t="shared" si="6"/>
        <v>1.9930722941434022E-2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7.972289176573609E-2</v>
      </c>
      <c r="Z13" s="156">
        <f>Poor!Z13</f>
        <v>1</v>
      </c>
      <c r="AA13" s="121">
        <f>$M13*Z13*4</f>
        <v>7.972289176573609E-2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1.9930722941434022E-2</v>
      </c>
      <c r="AJ13" s="120">
        <f t="shared" si="14"/>
        <v>3.9861445882868045E-2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3.6417815443223235E-2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3.6417815443223235E-2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0.14567126177289294</v>
      </c>
      <c r="Z15" s="156">
        <f>Poor!Z15</f>
        <v>0.25</v>
      </c>
      <c r="AA15" s="121">
        <f t="shared" si="16"/>
        <v>3.6417815443223235E-2</v>
      </c>
      <c r="AB15" s="156">
        <f>Poor!AB15</f>
        <v>0.25</v>
      </c>
      <c r="AC15" s="121">
        <f t="shared" si="7"/>
        <v>3.6417815443223235E-2</v>
      </c>
      <c r="AD15" s="156">
        <f>Poor!AD15</f>
        <v>0.25</v>
      </c>
      <c r="AE15" s="121">
        <f t="shared" si="8"/>
        <v>3.6417815443223235E-2</v>
      </c>
      <c r="AF15" s="122">
        <f t="shared" si="10"/>
        <v>0.25</v>
      </c>
      <c r="AG15" s="121">
        <f t="shared" si="11"/>
        <v>3.6417815443223235E-2</v>
      </c>
      <c r="AH15" s="123">
        <f t="shared" si="12"/>
        <v>1</v>
      </c>
      <c r="AI15" s="183">
        <f t="shared" si="13"/>
        <v>3.6417815443223235E-2</v>
      </c>
      <c r="AJ15" s="120">
        <f t="shared" si="14"/>
        <v>3.6417815443223235E-2</v>
      </c>
      <c r="AK15" s="119">
        <f t="shared" si="15"/>
        <v>3.6417815443223235E-2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1.7076113102327848E-2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1.7076113102327848E-2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6.8304452409311392E-2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6.8304452409311392E-2</v>
      </c>
      <c r="AH16" s="123">
        <f t="shared" si="12"/>
        <v>1</v>
      </c>
      <c r="AI16" s="183">
        <f t="shared" si="13"/>
        <v>1.7076113102327848E-2</v>
      </c>
      <c r="AJ16" s="120">
        <f t="shared" si="14"/>
        <v>0</v>
      </c>
      <c r="AK16" s="119">
        <f t="shared" si="15"/>
        <v>3.4152226204655696E-2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5.1496535956921975E-3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5.1496535956921975E-3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2.059861438276879E-2</v>
      </c>
      <c r="Z17" s="156">
        <f>Poor!Z17</f>
        <v>0.29409999999999997</v>
      </c>
      <c r="AA17" s="121">
        <f t="shared" si="16"/>
        <v>6.058052489972301E-3</v>
      </c>
      <c r="AB17" s="156">
        <f>Poor!AB17</f>
        <v>0.17649999999999999</v>
      </c>
      <c r="AC17" s="121">
        <f t="shared" si="7"/>
        <v>3.6356554385586913E-3</v>
      </c>
      <c r="AD17" s="156">
        <f>Poor!AD17</f>
        <v>0.23530000000000001</v>
      </c>
      <c r="AE17" s="121">
        <f t="shared" si="8"/>
        <v>4.8468539642654964E-3</v>
      </c>
      <c r="AF17" s="122">
        <f t="shared" si="10"/>
        <v>0.29410000000000003</v>
      </c>
      <c r="AG17" s="121">
        <f t="shared" si="11"/>
        <v>6.0580524899723018E-3</v>
      </c>
      <c r="AH17" s="123">
        <f t="shared" si="12"/>
        <v>1</v>
      </c>
      <c r="AI17" s="183">
        <f t="shared" si="13"/>
        <v>5.1496535956921975E-3</v>
      </c>
      <c r="AJ17" s="120">
        <f t="shared" si="14"/>
        <v>4.8468539642654964E-3</v>
      </c>
      <c r="AK17" s="119">
        <f t="shared" si="15"/>
        <v>5.4524532271188995E-3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162926.20759123089</v>
      </c>
      <c r="T23" s="179">
        <f>SUM(T7:T22)</f>
        <v>162232.75079045442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7.2695904092281941E-3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7.2695904092281941E-3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2.9078361636912776E-2</v>
      </c>
      <c r="Z27" s="156">
        <f>Poor!Z27</f>
        <v>0.25</v>
      </c>
      <c r="AA27" s="121">
        <f t="shared" si="16"/>
        <v>7.2695904092281941E-3</v>
      </c>
      <c r="AB27" s="156">
        <f>Poor!AB27</f>
        <v>0.25</v>
      </c>
      <c r="AC27" s="121">
        <f t="shared" si="7"/>
        <v>7.2695904092281941E-3</v>
      </c>
      <c r="AD27" s="156">
        <f>Poor!AD27</f>
        <v>0.25</v>
      </c>
      <c r="AE27" s="121">
        <f t="shared" si="8"/>
        <v>7.2695904092281941E-3</v>
      </c>
      <c r="AF27" s="122">
        <f t="shared" si="10"/>
        <v>0.25</v>
      </c>
      <c r="AG27" s="121">
        <f t="shared" si="11"/>
        <v>7.2695904092281941E-3</v>
      </c>
      <c r="AH27" s="123">
        <f t="shared" si="12"/>
        <v>1</v>
      </c>
      <c r="AI27" s="183">
        <f t="shared" si="13"/>
        <v>7.2695904092281941E-3</v>
      </c>
      <c r="AJ27" s="120">
        <f t="shared" si="14"/>
        <v>7.2695904092281941E-3</v>
      </c>
      <c r="AK27" s="119">
        <f t="shared" si="15"/>
        <v>7.2695904092281941E-3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0.24501260963857774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0.24501260963857774</v>
      </c>
      <c r="N29" s="228"/>
      <c r="P29" s="22"/>
      <c r="V29" s="56"/>
      <c r="W29" s="110"/>
      <c r="X29" s="118"/>
      <c r="Y29" s="183">
        <f t="shared" si="9"/>
        <v>0.98005043855431095</v>
      </c>
      <c r="Z29" s="156">
        <f>Poor!Z29</f>
        <v>0.25</v>
      </c>
      <c r="AA29" s="121">
        <f t="shared" si="16"/>
        <v>0.24501260963857774</v>
      </c>
      <c r="AB29" s="156">
        <f>Poor!AB29</f>
        <v>0.25</v>
      </c>
      <c r="AC29" s="121">
        <f t="shared" si="7"/>
        <v>0.24501260963857774</v>
      </c>
      <c r="AD29" s="156">
        <f>Poor!AD29</f>
        <v>0.25</v>
      </c>
      <c r="AE29" s="121">
        <f t="shared" si="8"/>
        <v>0.24501260963857774</v>
      </c>
      <c r="AF29" s="122">
        <f t="shared" si="10"/>
        <v>0.25</v>
      </c>
      <c r="AG29" s="121">
        <f t="shared" si="11"/>
        <v>0.24501260963857774</v>
      </c>
      <c r="AH29" s="123">
        <f t="shared" si="12"/>
        <v>1</v>
      </c>
      <c r="AI29" s="183">
        <f t="shared" si="13"/>
        <v>0.24501260963857774</v>
      </c>
      <c r="AJ29" s="120">
        <f t="shared" si="14"/>
        <v>0.24501260963857774</v>
      </c>
      <c r="AK29" s="119">
        <f t="shared" si="15"/>
        <v>0.24501260963857774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9.8801532363744897</v>
      </c>
      <c r="J30" s="230">
        <f>IF(I$32&lt;=1,I30,1-SUM(J6:J29))</f>
        <v>0.38407889871387779</v>
      </c>
      <c r="K30" s="22">
        <f t="shared" si="4"/>
        <v>0.64712539405799685</v>
      </c>
      <c r="L30" s="22">
        <f>IF(L124=L119,0,IF(K30="",0,(L119-L124)/(B119-B124)*K30))</f>
        <v>0.21249488410912301</v>
      </c>
      <c r="M30" s="175">
        <f t="shared" si="6"/>
        <v>0.38407889871387779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1.5363155948555112</v>
      </c>
      <c r="Z30" s="122">
        <f>IF($Y30=0,0,AA30/($Y$30))</f>
        <v>7.2265296814198642E-17</v>
      </c>
      <c r="AA30" s="187">
        <f>IF(AA79*4/$I$83+SUM(AA6:AA29)&lt;1,AA79*4/$I$83,1-SUM(AA6:AA29))</f>
        <v>1.1102230246251565E-16</v>
      </c>
      <c r="AB30" s="122">
        <f>IF($Y30=0,0,AC30/($Y$30))</f>
        <v>0.20709974181406163</v>
      </c>
      <c r="AC30" s="187">
        <f>IF(AC79*4/$I$83+SUM(AC6:AC29)&lt;1,AC79*4/$I$83,1-SUM(AC6:AC29))</f>
        <v>0.31817056303949287</v>
      </c>
      <c r="AD30" s="122">
        <f>IF($Y30=0,0,AE30/($Y$30))</f>
        <v>0.43330786997298915</v>
      </c>
      <c r="AE30" s="187">
        <f>IF(AE79*4/$I$83+SUM(AE6:AE29)&lt;1,AE79*4/$I$83,1-SUM(AE6:AE29))</f>
        <v>0.66569763801312731</v>
      </c>
      <c r="AF30" s="122">
        <f>IF($Y30=0,0,AG30/($Y$30))</f>
        <v>0.35959238821294937</v>
      </c>
      <c r="AG30" s="187">
        <f>IF(AG79*4/$I$83+SUM(AG6:AG29)&lt;1,AG79*4/$I$83,1-SUM(AG6:AG29))</f>
        <v>0.55244739380289121</v>
      </c>
      <c r="AH30" s="123">
        <f t="shared" si="12"/>
        <v>1.0000000000000002</v>
      </c>
      <c r="AI30" s="183">
        <f t="shared" si="13"/>
        <v>0.3840788987138779</v>
      </c>
      <c r="AJ30" s="120">
        <f t="shared" si="14"/>
        <v>0.15908528151974649</v>
      </c>
      <c r="AK30" s="119">
        <f t="shared" si="15"/>
        <v>0.60907251590800926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0.3189733002441949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10.572759552204051</v>
      </c>
      <c r="J32" s="17"/>
      <c r="L32" s="22">
        <f>SUM(L6:L30)</f>
        <v>0.6810266997558051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0.6577691148218453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3.5967178623737397E-2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103.98111340122482</v>
      </c>
      <c r="AB37" s="122">
        <f>IF($J37=0,0,AC37/($J37))</f>
        <v>0.12838960087801971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371.17433613835493</v>
      </c>
      <c r="AD37" s="122">
        <f>IF($J37=0,0,AE37/($J37))</f>
        <v>0.2249521926830669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650.33678904674639</v>
      </c>
      <c r="AF37" s="122">
        <f t="shared" ref="AF37:AF64" si="31">1-SUM(Z37,AB37,AD37)</f>
        <v>0.61069102781517604</v>
      </c>
      <c r="AG37" s="147">
        <f>$J37*AF37</f>
        <v>1765.507761413674</v>
      </c>
      <c r="AH37" s="123">
        <f>SUM(Z37,AB37,AD37,AF37)</f>
        <v>1</v>
      </c>
      <c r="AI37" s="112">
        <f>SUM(AA37,AC37,AE37,AG37)</f>
        <v>2891</v>
      </c>
      <c r="AJ37" s="148">
        <f>(AA37+AC37)</f>
        <v>475.15544953957976</v>
      </c>
      <c r="AK37" s="147">
        <f>(AE37+AG37)</f>
        <v>2415.8445504604206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3.5967178623737404E-2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381.97143698409127</v>
      </c>
      <c r="AB38" s="122">
        <f>IF($J38=0,0,AC38/($J38))</f>
        <v>0.12838960087801971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1363.4975613245695</v>
      </c>
      <c r="AD38" s="122">
        <f>IF($J38=0,0,AE38/($J38))</f>
        <v>0.22495219268306693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2388.9922862941712</v>
      </c>
      <c r="AF38" s="122">
        <f t="shared" si="31"/>
        <v>0.61069102781517592</v>
      </c>
      <c r="AG38" s="147">
        <f t="shared" ref="AG38:AG64" si="34">$J38*AF38</f>
        <v>6485.5387153971697</v>
      </c>
      <c r="AH38" s="123">
        <f t="shared" ref="AH38:AI58" si="35">SUM(Z38,AB38,AD38,AF38)</f>
        <v>1</v>
      </c>
      <c r="AI38" s="112">
        <f t="shared" si="35"/>
        <v>10620.000000000002</v>
      </c>
      <c r="AJ38" s="148">
        <f t="shared" ref="AJ38:AJ64" si="36">(AA38+AC38)</f>
        <v>1745.4689983086607</v>
      </c>
      <c r="AK38" s="147">
        <f t="shared" ref="AK38:AK64" si="37">(AE38+AG38)</f>
        <v>8874.5310016913409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1036.4371666913337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4.4936468021909591E-3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0.62581741758702181</v>
      </c>
      <c r="AA39" s="147">
        <f>$J39*Z39</f>
        <v>648.62043114998005</v>
      </c>
      <c r="AB39" s="122">
        <f>AB8</f>
        <v>0.37418258241297819</v>
      </c>
      <c r="AC39" s="147">
        <f>$J39*AB39</f>
        <v>387.81673554135358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1036.4371666913337</v>
      </c>
      <c r="AJ39" s="148">
        <f t="shared" si="36"/>
        <v>1036.4371666913337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431.21091532447502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1.8695870941250624E-3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431.21091532447502</v>
      </c>
      <c r="AH40" s="123">
        <f t="shared" si="35"/>
        <v>1</v>
      </c>
      <c r="AI40" s="112">
        <f t="shared" si="35"/>
        <v>431.21091532447502</v>
      </c>
      <c r="AJ40" s="148">
        <f t="shared" si="36"/>
        <v>0</v>
      </c>
      <c r="AK40" s="147">
        <f t="shared" si="37"/>
        <v>431.21091532447502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156.67329923455924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6.7928331086543922E-4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0.62581741758702181</v>
      </c>
      <c r="AA41" s="147">
        <f>$J41*Z41</f>
        <v>98.048879531810584</v>
      </c>
      <c r="AB41" s="122">
        <f>AB11</f>
        <v>0.37418258241297825</v>
      </c>
      <c r="AC41" s="147">
        <f>$J41*AB41</f>
        <v>58.624419702748661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156.67329923455924</v>
      </c>
      <c r="AJ41" s="148">
        <f t="shared" si="36"/>
        <v>156.67329923455924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229.97915483971997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9.9711311686669969E-4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57.494788709929992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114.98957741985998</v>
      </c>
      <c r="AF42" s="122">
        <f t="shared" si="31"/>
        <v>0.25</v>
      </c>
      <c r="AG42" s="147">
        <f t="shared" si="34"/>
        <v>57.494788709929992</v>
      </c>
      <c r="AH42" s="123">
        <f t="shared" si="35"/>
        <v>1</v>
      </c>
      <c r="AI42" s="112">
        <f t="shared" si="35"/>
        <v>229.97915483971997</v>
      </c>
      <c r="AJ42" s="148">
        <f t="shared" si="36"/>
        <v>57.494788709929992</v>
      </c>
      <c r="AK42" s="147">
        <f t="shared" si="37"/>
        <v>172.48436612978998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383.29859139953322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1.6618551947778326E-3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95.824647849883306</v>
      </c>
      <c r="AB43" s="156">
        <f>Poor!AB43</f>
        <v>0.25</v>
      </c>
      <c r="AC43" s="147">
        <f t="shared" si="39"/>
        <v>95.824647849883306</v>
      </c>
      <c r="AD43" s="156">
        <f>Poor!AD43</f>
        <v>0.25</v>
      </c>
      <c r="AE43" s="147">
        <f t="shared" si="40"/>
        <v>95.824647849883306</v>
      </c>
      <c r="AF43" s="122">
        <f t="shared" si="31"/>
        <v>0.25</v>
      </c>
      <c r="AG43" s="147">
        <f t="shared" si="34"/>
        <v>95.824647849883306</v>
      </c>
      <c r="AH43" s="123">
        <f t="shared" si="35"/>
        <v>1</v>
      </c>
      <c r="AI43" s="112">
        <f t="shared" si="35"/>
        <v>383.29859139953322</v>
      </c>
      <c r="AJ43" s="148">
        <f t="shared" si="36"/>
        <v>191.64929569976661</v>
      </c>
      <c r="AK43" s="147">
        <f t="shared" si="37"/>
        <v>191.64929569976661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114.98957741985998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4.9855655843334984E-4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28.747394354964996</v>
      </c>
      <c r="AB44" s="156">
        <f>Poor!AB44</f>
        <v>0.25</v>
      </c>
      <c r="AC44" s="147">
        <f t="shared" si="39"/>
        <v>28.747394354964996</v>
      </c>
      <c r="AD44" s="156">
        <f>Poor!AD44</f>
        <v>0.25</v>
      </c>
      <c r="AE44" s="147">
        <f t="shared" si="40"/>
        <v>28.747394354964996</v>
      </c>
      <c r="AF44" s="122">
        <f t="shared" si="31"/>
        <v>0.25</v>
      </c>
      <c r="AG44" s="147">
        <f t="shared" si="34"/>
        <v>28.747394354964996</v>
      </c>
      <c r="AH44" s="123">
        <f t="shared" si="35"/>
        <v>1</v>
      </c>
      <c r="AI44" s="112">
        <f t="shared" si="35"/>
        <v>114.98957741985998</v>
      </c>
      <c r="AJ44" s="148">
        <f t="shared" si="36"/>
        <v>57.494788709929992</v>
      </c>
      <c r="AK44" s="147">
        <f t="shared" si="37"/>
        <v>57.494788709929992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16.769313373729577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7.2706164771530179E-5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4.1923283434323944</v>
      </c>
      <c r="AB45" s="156">
        <f>Poor!AB45</f>
        <v>0.25</v>
      </c>
      <c r="AC45" s="147">
        <f t="shared" si="39"/>
        <v>4.1923283434323944</v>
      </c>
      <c r="AD45" s="156">
        <f>Poor!AD45</f>
        <v>0.25</v>
      </c>
      <c r="AE45" s="147">
        <f t="shared" si="40"/>
        <v>4.1923283434323944</v>
      </c>
      <c r="AF45" s="122">
        <f t="shared" si="31"/>
        <v>0.25</v>
      </c>
      <c r="AG45" s="147">
        <f t="shared" si="34"/>
        <v>4.1923283434323944</v>
      </c>
      <c r="AH45" s="123">
        <f t="shared" si="35"/>
        <v>1</v>
      </c>
      <c r="AI45" s="112">
        <f t="shared" si="35"/>
        <v>16.769313373729577</v>
      </c>
      <c r="AJ45" s="148">
        <f t="shared" si="36"/>
        <v>8.3846566868647887</v>
      </c>
      <c r="AK45" s="147">
        <f t="shared" si="37"/>
        <v>8.3846566868647887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136396</v>
      </c>
      <c r="J65" s="39">
        <f>SUM(J37:J64)</f>
        <v>137880.35801828321</v>
      </c>
      <c r="K65" s="40">
        <f>SUM(K37:K64)</f>
        <v>1</v>
      </c>
      <c r="L65" s="22">
        <f>SUM(L37:L64)</f>
        <v>0.61017277634459877</v>
      </c>
      <c r="M65" s="24">
        <f>SUM(M37:M64)</f>
        <v>0.5978033688928146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6430.8810203253179</v>
      </c>
      <c r="AB65" s="137"/>
      <c r="AC65" s="153">
        <f>SUM(AC37:AC64)</f>
        <v>7321.8774232553069</v>
      </c>
      <c r="AD65" s="137"/>
      <c r="AE65" s="153">
        <f>SUM(AE37:AE64)</f>
        <v>8295.0830233090583</v>
      </c>
      <c r="AF65" s="137"/>
      <c r="AG65" s="153">
        <f>SUM(AG37:AG64)</f>
        <v>13880.516551393528</v>
      </c>
      <c r="AH65" s="137"/>
      <c r="AI65" s="153">
        <f>SUM(AI37:AI64)</f>
        <v>35928.358018283208</v>
      </c>
      <c r="AJ65" s="153">
        <f>SUM(AJ37:AJ64)</f>
        <v>13752.758443580626</v>
      </c>
      <c r="AK65" s="153">
        <f>SUM(AK37:AK64)</f>
        <v>22175.599574702588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61471.923173844822</v>
      </c>
      <c r="K73" s="40">
        <f>B73/B$76</f>
        <v>0.33796527130438553</v>
      </c>
      <c r="L73" s="22">
        <f>(L127*G$37*F$9/F$7)/B$130</f>
        <v>0.2872243597019864</v>
      </c>
      <c r="M73" s="24">
        <f>J73/B$76</f>
        <v>0.26652181132842601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110672.47591869874</v>
      </c>
      <c r="J74" s="51">
        <f>J128*I$83</f>
        <v>4302.2574298037762</v>
      </c>
      <c r="K74" s="40">
        <f>B74/B$76</f>
        <v>1.9047430585260341E-2</v>
      </c>
      <c r="L74" s="22">
        <f>(L128*G$37*F$9/F$7)/B$130</f>
        <v>1.032001622363684E-2</v>
      </c>
      <c r="M74" s="24">
        <f>J74/B$76</f>
        <v>1.8653157145412977E-2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3.1090391013586122E-13</v>
      </c>
      <c r="AB74" s="156"/>
      <c r="AC74" s="147">
        <f>AC30*$I$83/4</f>
        <v>890.99640292999038</v>
      </c>
      <c r="AD74" s="156"/>
      <c r="AE74" s="147">
        <f>AE30*$I$83/4</f>
        <v>1864.2020029837411</v>
      </c>
      <c r="AF74" s="156"/>
      <c r="AG74" s="147">
        <f>AG30*$I$83/4</f>
        <v>1547.0590238900452</v>
      </c>
      <c r="AH74" s="155"/>
      <c r="AI74" s="147">
        <f>SUM(AA74,AC74,AE74,AG74)</f>
        <v>4302.2574298037771</v>
      </c>
      <c r="AJ74" s="148">
        <f>(AA74+AC74)</f>
        <v>890.99640292999072</v>
      </c>
      <c r="AK74" s="147">
        <f>(AE74+AG74)</f>
        <v>3411.2610268737862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5902.576507178167</v>
      </c>
      <c r="AB75" s="158"/>
      <c r="AC75" s="149">
        <f>AA75+AC65-SUM(AC70,AC74)</f>
        <v>5902.5765071781661</v>
      </c>
      <c r="AD75" s="158"/>
      <c r="AE75" s="149">
        <f>AC75+AE65-SUM(AE70,AE74)</f>
        <v>5902.5765071781661</v>
      </c>
      <c r="AF75" s="158"/>
      <c r="AG75" s="149">
        <f>IF(SUM(AG6:AG29)+((AG65-AG70-$J$75)*4/I$83)&lt;1,0,AG65-AG70-$J$75-(1-SUM(AG6:AG29))*I$83/4)</f>
        <v>5902.5765071781661</v>
      </c>
      <c r="AH75" s="134"/>
      <c r="AI75" s="149">
        <f>AI76-SUM(AI70,AI74)</f>
        <v>5902.5765071781643</v>
      </c>
      <c r="AJ75" s="151">
        <f>AJ76-SUM(AJ70,AJ74)</f>
        <v>0</v>
      </c>
      <c r="AK75" s="149">
        <f>AJ75+AK76-SUM(AK70,AK74)</f>
        <v>5902.576507178168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136396</v>
      </c>
      <c r="J76" s="51">
        <f>J130*I$83</f>
        <v>137880.35801828321</v>
      </c>
      <c r="K76" s="40">
        <f>SUM(K70:K75)</f>
        <v>0.8295764775593083</v>
      </c>
      <c r="L76" s="22">
        <f>SUM(L70:L75)</f>
        <v>0.4090730198645825</v>
      </c>
      <c r="M76" s="24">
        <f>SUM(M70:M75)</f>
        <v>0.39670361241279828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6430.8810203253179</v>
      </c>
      <c r="AB76" s="137"/>
      <c r="AC76" s="153">
        <f>AC65</f>
        <v>7321.8774232553069</v>
      </c>
      <c r="AD76" s="137"/>
      <c r="AE76" s="153">
        <f>AE65</f>
        <v>8295.0830233090583</v>
      </c>
      <c r="AF76" s="137"/>
      <c r="AG76" s="153">
        <f>AG65</f>
        <v>13880.516551393528</v>
      </c>
      <c r="AH76" s="137"/>
      <c r="AI76" s="153">
        <f>SUM(AA76,AC76,AE76,AG76)</f>
        <v>35928.358018283208</v>
      </c>
      <c r="AJ76" s="154">
        <f>SUM(AA76,AC76)</f>
        <v>13752.758443580624</v>
      </c>
      <c r="AK76" s="154">
        <f>SUM(AE76,AG76)</f>
        <v>22175.599574702588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5902.5765071781661</v>
      </c>
      <c r="AB78" s="112"/>
      <c r="AC78" s="112">
        <f>IF(AA75&lt;0,0,AA75)</f>
        <v>5902.576507178167</v>
      </c>
      <c r="AD78" s="112"/>
      <c r="AE78" s="112">
        <f>AC75</f>
        <v>5902.5765071781661</v>
      </c>
      <c r="AF78" s="112"/>
      <c r="AG78" s="112">
        <f>AE75</f>
        <v>5902.5765071781661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5902.576507178167</v>
      </c>
      <c r="AB79" s="112"/>
      <c r="AC79" s="112">
        <f>AA79-AA74+AC65-AC70</f>
        <v>6793.572910108157</v>
      </c>
      <c r="AD79" s="112"/>
      <c r="AE79" s="112">
        <f>AC79-AC74+AE65-AE70</f>
        <v>7766.7785101619074</v>
      </c>
      <c r="AF79" s="112"/>
      <c r="AG79" s="112">
        <f>AE79-AE74+AG65-AG70</f>
        <v>13352.212038246376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9.2526691408862341E-2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9.2526691408862341E-2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3.8495839956927305E-2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3.8495839956927305E-2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1.398682185101692E-2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1.398682185101692E-2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2.0531114643694559E-2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2.0531114643694559E-2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3.4218524406157594E-2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3.4218524406157594E-2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1.026555732184728E-2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1.026555732184728E-2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1.4970604427693946E-3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1.4970604427693946E-3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12.176590156151445</v>
      </c>
      <c r="J119" s="24">
        <f>SUM(J91:J118)</f>
        <v>12.309104447139683</v>
      </c>
      <c r="K119" s="22">
        <f>SUM(K91:K118)</f>
        <v>33.974419340253071</v>
      </c>
      <c r="L119" s="22">
        <f>SUM(L91:L118)</f>
        <v>12.563797438507788</v>
      </c>
      <c r="M119" s="57">
        <f t="shared" si="50"/>
        <v>12.309104447139683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5.4878325947853073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5.9141096007581657</v>
      </c>
      <c r="M127" s="57">
        <f t="shared" si="90"/>
        <v>5.4878325947853073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9.8801532363744897</v>
      </c>
      <c r="J128" s="227">
        <f>(J30)</f>
        <v>0.38407889871387779</v>
      </c>
      <c r="K128" s="22">
        <f>(B128)</f>
        <v>0.64712539405799685</v>
      </c>
      <c r="L128" s="22">
        <f>IF(L124=L119,0,(L119-L124)/(B119-B124)*K128)</f>
        <v>0.21249488410912301</v>
      </c>
      <c r="M128" s="57">
        <f t="shared" si="90"/>
        <v>0.38407889871387779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12.176590156151445</v>
      </c>
      <c r="J130" s="227">
        <f>(J119)</f>
        <v>12.309104447139683</v>
      </c>
      <c r="K130" s="22">
        <f>(B130)</f>
        <v>33.974419340253071</v>
      </c>
      <c r="L130" s="22">
        <f>(L119)</f>
        <v>12.563797438507788</v>
      </c>
      <c r="M130" s="57">
        <f t="shared" si="90"/>
        <v>12.309104447139683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2938.4755688086407</v>
      </c>
      <c r="H72" s="109">
        <f>Middle!T7</f>
        <v>3746.460878482379</v>
      </c>
      <c r="I72" s="109">
        <f>Rich!T7</f>
        <v>4096.6657923969069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223.99999999999994</v>
      </c>
      <c r="I73" s="109">
        <f>Rich!T8</f>
        <v>1779.3381161050022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6519.5</v>
      </c>
      <c r="I76" s="109">
        <f>Rich!T11</f>
        <v>16625.642476218669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9497.602987690474</v>
      </c>
      <c r="G88" s="109">
        <f>Poor!T23</f>
        <v>38098.418053248541</v>
      </c>
      <c r="H88" s="109">
        <f>Middle!T23</f>
        <v>57210.041573768125</v>
      </c>
      <c r="I88" s="109">
        <f>Rich!T23</f>
        <v>162232.75079045442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29826.683304362326</v>
      </c>
      <c r="G98" s="238">
        <f t="shared" si="0"/>
        <v>1225.868238804258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50097.509971028994</v>
      </c>
      <c r="G99" s="238">
        <f t="shared" si="0"/>
        <v>21496.694905470926</v>
      </c>
      <c r="H99" s="238">
        <f t="shared" si="0"/>
        <v>2385.0713849513413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82835.429971028992</v>
      </c>
      <c r="G100" s="238">
        <f t="shared" si="0"/>
        <v>54234.614905470931</v>
      </c>
      <c r="H100" s="238">
        <f t="shared" si="0"/>
        <v>35122.991384951347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2016-06-04T22:25:33Z</dcterms:modified>
  <cp:category/>
</cp:coreProperties>
</file>