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2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H103" i="12"/>
  <c r="I103" i="12"/>
  <c r="B50" i="12"/>
  <c r="B104" i="12"/>
  <c r="C50" i="12"/>
  <c r="C104" i="12"/>
  <c r="D104" i="12"/>
  <c r="G50" i="1"/>
  <c r="G50" i="12"/>
  <c r="F50" i="12"/>
  <c r="H104" i="12"/>
  <c r="I104" i="12"/>
  <c r="B51" i="12"/>
  <c r="B105" i="12"/>
  <c r="C51" i="12"/>
  <c r="C105" i="12"/>
  <c r="D105" i="12"/>
  <c r="G51" i="1"/>
  <c r="G51" i="12"/>
  <c r="F51" i="12"/>
  <c r="H105" i="12"/>
  <c r="I105" i="12"/>
  <c r="B52" i="12"/>
  <c r="B106" i="12"/>
  <c r="C52" i="12"/>
  <c r="C106" i="12"/>
  <c r="D106" i="12"/>
  <c r="G52" i="1"/>
  <c r="G52" i="12"/>
  <c r="F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H108" i="12"/>
  <c r="I108" i="12"/>
  <c r="B55" i="12"/>
  <c r="B109" i="12"/>
  <c r="C55" i="12"/>
  <c r="C109" i="12"/>
  <c r="D109" i="12"/>
  <c r="G55" i="1"/>
  <c r="G55" i="12"/>
  <c r="F55" i="12"/>
  <c r="H109" i="12"/>
  <c r="I109" i="12"/>
  <c r="B56" i="12"/>
  <c r="B110" i="12"/>
  <c r="C56" i="12"/>
  <c r="C110" i="12"/>
  <c r="D110" i="12"/>
  <c r="G56" i="1"/>
  <c r="G56" i="12"/>
  <c r="F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H103" i="7"/>
  <c r="I103" i="7"/>
  <c r="B50" i="7"/>
  <c r="B104" i="7"/>
  <c r="C50" i="7"/>
  <c r="C104" i="7"/>
  <c r="D104" i="7"/>
  <c r="G50" i="7"/>
  <c r="F50" i="7"/>
  <c r="H104" i="7"/>
  <c r="I104" i="7"/>
  <c r="B51" i="7"/>
  <c r="B105" i="7"/>
  <c r="C51" i="7"/>
  <c r="C105" i="7"/>
  <c r="D105" i="7"/>
  <c r="G51" i="7"/>
  <c r="F51" i="7"/>
  <c r="H105" i="7"/>
  <c r="I105" i="7"/>
  <c r="B52" i="7"/>
  <c r="B106" i="7"/>
  <c r="C52" i="7"/>
  <c r="C106" i="7"/>
  <c r="D106" i="7"/>
  <c r="G52" i="7"/>
  <c r="F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H108" i="7"/>
  <c r="I108" i="7"/>
  <c r="B55" i="7"/>
  <c r="B109" i="7"/>
  <c r="C55" i="7"/>
  <c r="C109" i="7"/>
  <c r="D109" i="7"/>
  <c r="G55" i="7"/>
  <c r="F55" i="7"/>
  <c r="H109" i="7"/>
  <c r="I109" i="7"/>
  <c r="B56" i="7"/>
  <c r="B110" i="7"/>
  <c r="C56" i="7"/>
  <c r="C110" i="7"/>
  <c r="D110" i="7"/>
  <c r="G56" i="7"/>
  <c r="F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49" i="12"/>
  <c r="E50" i="12"/>
  <c r="E51" i="12"/>
  <c r="E52" i="12"/>
  <c r="E53" i="12"/>
  <c r="E54" i="12"/>
  <c r="E55" i="12"/>
  <c r="E56" i="12"/>
  <c r="F58" i="12"/>
  <c r="E60" i="12"/>
  <c r="E61" i="12"/>
  <c r="E62" i="12"/>
  <c r="F62" i="12"/>
  <c r="E63" i="12"/>
  <c r="F63" i="12"/>
  <c r="E64" i="12"/>
  <c r="F64" i="12"/>
  <c r="E30" i="12"/>
  <c r="E8" i="12"/>
  <c r="H8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49" i="7"/>
  <c r="E50" i="7"/>
  <c r="E51" i="7"/>
  <c r="E52" i="7"/>
  <c r="E53" i="7"/>
  <c r="E54" i="7"/>
  <c r="E55" i="7"/>
  <c r="E56" i="7"/>
  <c r="F58" i="7"/>
  <c r="E60" i="7"/>
  <c r="E61" i="7"/>
  <c r="E62" i="7"/>
  <c r="F62" i="7"/>
  <c r="E63" i="7"/>
  <c r="F63" i="7"/>
  <c r="E64" i="7"/>
  <c r="F64" i="7"/>
  <c r="E30" i="7"/>
  <c r="E8" i="7"/>
  <c r="H8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49" i="8"/>
  <c r="E50" i="8"/>
  <c r="E51" i="8"/>
  <c r="E52" i="8"/>
  <c r="E53" i="8"/>
  <c r="E54" i="8"/>
  <c r="E55" i="8"/>
  <c r="E56" i="8"/>
  <c r="F58" i="8"/>
  <c r="E60" i="8"/>
  <c r="E61" i="8"/>
  <c r="E62" i="8"/>
  <c r="F62" i="8"/>
  <c r="E63" i="8"/>
  <c r="F63" i="8"/>
  <c r="E64" i="8"/>
  <c r="F64" i="8"/>
  <c r="E30" i="8"/>
  <c r="E8" i="8"/>
  <c r="H8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<sst xmlns="http://schemas.openxmlformats.org/spreadsheetml/2006/main" count="790" uniqueCount="145">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</sst>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0.0130858012920299</c:v>
                </c:pt>
                <c:pt idx="2" formatCode="0.0%">
                  <c:v>0.0130858012920299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0.222417476969178</c:v>
                </c:pt>
                <c:pt idx="2" formatCode="0.0%">
                  <c:v>0.222417476969178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0.0408740912204234</c:v>
                </c:pt>
                <c:pt idx="2" formatCode="0.0%">
                  <c:v>0.0408740912204234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0.0138088146014944</c:v>
                </c:pt>
                <c:pt idx="2" formatCode="0.0%">
                  <c:v>0.0138088146014944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0.0154074564134496</c:v>
                </c:pt>
                <c:pt idx="2" formatCode="0.0%">
                  <c:v>0.0154074564134496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0.0471699330635118</c:v>
                </c:pt>
                <c:pt idx="2" formatCode="0.0%">
                  <c:v>0.0410384960984704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0.00113830946450809</c:v>
                </c:pt>
                <c:pt idx="2" formatCode="0.0%">
                  <c:v>0.00113830946450809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-0.00275361612702366</c:v>
                </c:pt>
                <c:pt idx="2" formatCode="0.0%">
                  <c:v>-0.00275361612702366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0.0513271914755993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0.206072820924489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0.349724318245822</c:v>
                </c:pt>
                <c:pt idx="2" formatCode="0.0%">
                  <c:v>0.205715619121452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594344"/>
        <c:axId val="2091593944"/>
      </c:barChart>
      <c:catAx>
        <c:axId val="209159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59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593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59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0.142745018973624</c:v>
                </c:pt>
                <c:pt idx="2">
                  <c:v>0.144767804857397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0.0142745018973624</c:v>
                </c:pt>
                <c:pt idx="2">
                  <c:v>0.0141878110737721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0.0090322515607336</c:v>
                </c:pt>
                <c:pt idx="2">
                  <c:v>0.00922424051159622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0.00439525623393362</c:v>
                </c:pt>
                <c:pt idx="2">
                  <c:v>0.00448868151415875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0.0105849060679594</c:v>
                </c:pt>
                <c:pt idx="2">
                  <c:v>0.0105849060679594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0.00564528323624502</c:v>
                </c:pt>
                <c:pt idx="2">
                  <c:v>0.00576527900901123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0.00756064719139958</c:v>
                </c:pt>
                <c:pt idx="2">
                  <c:v>0.00772135581564004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0.0176415101132657</c:v>
                </c:pt>
                <c:pt idx="2">
                  <c:v>0.0180164969031601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0.00252021573046653</c:v>
                </c:pt>
                <c:pt idx="2">
                  <c:v>0.00257378527188001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0.00282264161812251</c:v>
                </c:pt>
                <c:pt idx="2">
                  <c:v>0.00288263950450562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0.00100808629218661</c:v>
                </c:pt>
                <c:pt idx="2">
                  <c:v>0.00100808629218661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0.000887115937124217</c:v>
                </c:pt>
                <c:pt idx="2">
                  <c:v>0.000887115937124218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0.00141132080906126</c:v>
                </c:pt>
                <c:pt idx="2">
                  <c:v>0.00141132080906126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0.69333294930046</c:v>
                </c:pt>
                <c:pt idx="2">
                  <c:v>0.69333294930046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0.0632156512597478</c:v>
                </c:pt>
                <c:pt idx="2">
                  <c:v>0.0632156512597478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285704"/>
        <c:axId val="2140272936"/>
      </c:barChart>
      <c:catAx>
        <c:axId val="214028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7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27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8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0.0975659800402695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0.0245273377618804</c:v>
                </c:pt>
                <c:pt idx="2">
                  <c:v>0.0243235736341609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0.0323800698059118</c:v>
                </c:pt>
                <c:pt idx="2">
                  <c:v>0.0334560767893936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0.0169751348916969</c:v>
                </c:pt>
                <c:pt idx="2">
                  <c:v>0.0169751348916969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0.0218251734321817</c:v>
                </c:pt>
                <c:pt idx="2">
                  <c:v>0.022550435581692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0.0236439378848635</c:v>
                </c:pt>
                <c:pt idx="2">
                  <c:v>0.024429638546833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0.0254627023375454</c:v>
                </c:pt>
                <c:pt idx="2">
                  <c:v>0.026308841511974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0.00363752890536362</c:v>
                </c:pt>
                <c:pt idx="2">
                  <c:v>0.003758405930282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0.0183331456830327</c:v>
                </c:pt>
                <c:pt idx="2">
                  <c:v>0.0183331456830327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0.0112399643175736</c:v>
                </c:pt>
                <c:pt idx="2">
                  <c:v>0.0112399643175736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0.0029100231242909</c:v>
                </c:pt>
                <c:pt idx="2">
                  <c:v>0.0029100231242909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0.073356832924833</c:v>
                </c:pt>
                <c:pt idx="2">
                  <c:v>0.0733568329248331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0.539601430761369</c:v>
                </c:pt>
                <c:pt idx="2">
                  <c:v>0.539601430761369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0.0380173735309147</c:v>
                </c:pt>
                <c:pt idx="2">
                  <c:v>0.0380173735309147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569384"/>
        <c:axId val="-2045717832"/>
      </c:barChart>
      <c:catAx>
        <c:axId val="-204556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71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71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569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0.0097930632468668</c:v>
                </c:pt>
                <c:pt idx="2">
                  <c:v>0.0097930632468668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0.0236240250704242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0.203818128825415</c:v>
                </c:pt>
                <c:pt idx="2">
                  <c:v>0.203818128825415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0.217406004080443</c:v>
                </c:pt>
                <c:pt idx="2">
                  <c:v>0.217406004080443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0.0647041678810842</c:v>
                </c:pt>
                <c:pt idx="2">
                  <c:v>0.0647041678810842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0.140371375912174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0.418898280384727</c:v>
                </c:pt>
                <c:pt idx="2">
                  <c:v>0.418898280384728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743592"/>
        <c:axId val="-2044748504"/>
      </c:barChart>
      <c:catAx>
        <c:axId val="-204474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74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74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74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5519.739038910723</c:v>
                </c:pt>
                <c:pt idx="5">
                  <c:v>6168.033286825658</c:v>
                </c:pt>
                <c:pt idx="6">
                  <c:v>5378.58156045633</c:v>
                </c:pt>
                <c:pt idx="7">
                  <c:v>8222.33955785368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384.0</c:v>
                </c:pt>
                <c:pt idx="5">
                  <c:v>1760.495144860074</c:v>
                </c:pt>
                <c:pt idx="6">
                  <c:v>10247.36205806188</c:v>
                </c:pt>
                <c:pt idx="7">
                  <c:v>47892.71801753039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57.68100002863468</c:v>
                </c:pt>
                <c:pt idx="5">
                  <c:v>464.2278771393137</c:v>
                </c:pt>
                <c:pt idx="6">
                  <c:v>1456.983420878065</c:v>
                </c:pt>
                <c:pt idx="7">
                  <c:v>1382.647607473435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4015.54</c:v>
                </c:pt>
                <c:pt idx="6">
                  <c:v>25427.13036991204</c:v>
                </c:pt>
                <c:pt idx="7">
                  <c:v>25049.33961939691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1034.974077337533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19053.94285714286</c:v>
                </c:pt>
                <c:pt idx="5">
                  <c:v>3496.5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110043.4285714286</c:v>
                </c:pt>
                <c:pt idx="7">
                  <c:v>110762.6666666667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5504.162180053346</c:v>
                </c:pt>
                <c:pt idx="5">
                  <c:v>2098.273464865074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16425.6</c:v>
                </c:pt>
                <c:pt idx="5">
                  <c:v>29311.2</c:v>
                </c:pt>
                <c:pt idx="6">
                  <c:v>10033.37142857143</c:v>
                </c:pt>
                <c:pt idx="7">
                  <c:v>7803.733333333334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944936"/>
        <c:axId val="-20449510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944936"/>
        <c:axId val="-2044951064"/>
      </c:lineChart>
      <c:catAx>
        <c:axId val="-204494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95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95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94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459208"/>
        <c:axId val="-20454656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459208"/>
        <c:axId val="-2045465624"/>
      </c:lineChart>
      <c:catAx>
        <c:axId val="-204545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46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465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5459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685816"/>
        <c:axId val="-204569159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685816"/>
        <c:axId val="-2045691592"/>
      </c:lineChart>
      <c:catAx>
        <c:axId val="-2045685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691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69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68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0.384595510704349</c:v>
                </c:pt>
                <c:pt idx="2">
                  <c:v>0.384595510704349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0.392005957190614</c:v>
                </c:pt>
                <c:pt idx="2">
                  <c:v>0.392005957190614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0.205702716390829</c:v>
                </c:pt>
                <c:pt idx="2">
                  <c:v>0.264947459735767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0.142042029887885</c:v>
                </c:pt>
                <c:pt idx="2">
                  <c:v>0.083552279882107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-0.186303240799785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632760"/>
        <c:axId val="-2144550264"/>
      </c:barChart>
      <c:catAx>
        <c:axId val="-214463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55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5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63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0.0315598577395135</c:v>
                </c:pt>
                <c:pt idx="2">
                  <c:v>0.0185169619148626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0.444121824646168</c:v>
                </c:pt>
                <c:pt idx="2">
                  <c:v>0.460155488376787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0.0315598577395135</c:v>
                </c:pt>
                <c:pt idx="2">
                  <c:v>0.0185169619148626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933304"/>
        <c:axId val="-2145258488"/>
      </c:barChart>
      <c:catAx>
        <c:axId val="-214493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25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258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93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0.0292479515119632</c:v>
                </c:pt>
                <c:pt idx="2">
                  <c:v>0.00697816686684463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0.514779632489644</c:v>
                </c:pt>
                <c:pt idx="2">
                  <c:v>0.5398562679941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0.0292479515119632</c:v>
                </c:pt>
                <c:pt idx="2">
                  <c:v>0.00697816686684463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485992"/>
        <c:axId val="-2144488776"/>
      </c:barChart>
      <c:catAx>
        <c:axId val="-214448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48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48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485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0.42066375206451</c:v>
                </c:pt>
                <c:pt idx="2">
                  <c:v>0.42066375206451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0.0989692612008077</c:v>
                </c:pt>
                <c:pt idx="2">
                  <c:v>0.118777512163801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0.152097279302727</c:v>
                </c:pt>
                <c:pt idx="2">
                  <c:v>0.133340681143958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-0.321694490863702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568840"/>
        <c:axId val="-2144576760"/>
      </c:barChart>
      <c:catAx>
        <c:axId val="-214456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57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7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56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0.0423074613058175</c:v>
                </c:pt>
                <c:pt idx="2" formatCode="0.0%">
                  <c:v>0.0423074613058175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0.0429453055506138</c:v>
                </c:pt>
                <c:pt idx="2" formatCode="0.0%">
                  <c:v>0.0429453055506138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0.16577700146771</c:v>
                </c:pt>
                <c:pt idx="2" formatCode="0.0%">
                  <c:v>0.162644783560711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0.0360274475182352</c:v>
                </c:pt>
                <c:pt idx="2" formatCode="0.0%">
                  <c:v>0.0344958533626086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0.0404006461483722</c:v>
                </c:pt>
                <c:pt idx="2" formatCode="0.0%">
                  <c:v>0.0404006461483722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0.000728090553282334</c:v>
                </c:pt>
                <c:pt idx="2" formatCode="0.0%">
                  <c:v>0.000728090553282334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0.0143849092688134</c:v>
                </c:pt>
                <c:pt idx="2" formatCode="0.0%">
                  <c:v>0.0141474221274835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0.0036065646682085</c:v>
                </c:pt>
                <c:pt idx="2" formatCode="0.0%">
                  <c:v>0.00293014492989792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0.0269542474648639</c:v>
                </c:pt>
                <c:pt idx="2" formatCode="0.0%">
                  <c:v>0.0212248701802807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0.00702499555239281</c:v>
                </c:pt>
                <c:pt idx="2" formatCode="0.0%">
                  <c:v>0.00696969079391459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0.00455103148905888</c:v>
                </c:pt>
                <c:pt idx="2" formatCode="0.0%">
                  <c:v>0.00450986705122837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0.0375465098740583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0.00383003460997243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0.284644534208285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0.293096871700664</c:v>
                </c:pt>
                <c:pt idx="2" formatCode="0.0%">
                  <c:v>0.171967302750276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430488"/>
        <c:axId val="2091421288"/>
      </c:barChart>
      <c:catAx>
        <c:axId val="209143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42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42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43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309048"/>
        <c:axId val="-21453167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09048"/>
        <c:axId val="-21453167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09048"/>
        <c:axId val="-2145316712"/>
      </c:scatterChart>
      <c:catAx>
        <c:axId val="-21453090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316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316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3090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559128"/>
        <c:axId val="20785285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59128"/>
        <c:axId val="2078528504"/>
      </c:lineChart>
      <c:catAx>
        <c:axId val="20785591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528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8528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5591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35928"/>
        <c:axId val="20791290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22824"/>
        <c:axId val="2079125816"/>
      </c:scatterChart>
      <c:valAx>
        <c:axId val="20791359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129064"/>
        <c:crosses val="autoZero"/>
        <c:crossBetween val="midCat"/>
      </c:valAx>
      <c:valAx>
        <c:axId val="2079129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135928"/>
        <c:crosses val="autoZero"/>
        <c:crossBetween val="midCat"/>
      </c:valAx>
      <c:valAx>
        <c:axId val="2079122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79125816"/>
        <c:crosses val="autoZero"/>
        <c:crossBetween val="midCat"/>
      </c:valAx>
      <c:valAx>
        <c:axId val="20791258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122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31576"/>
        <c:axId val="20790180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31576"/>
        <c:axId val="2079018008"/>
      </c:lineChart>
      <c:catAx>
        <c:axId val="207903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018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9018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0315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0.03962600249066</c:v>
                </c:pt>
                <c:pt idx="2" formatCode="0.0%">
                  <c:v>0.03962600249066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0.0412771378165214</c:v>
                </c:pt>
                <c:pt idx="2" formatCode="0.0%">
                  <c:v>0.0412771378165214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0.065</c:v>
                </c:pt>
                <c:pt idx="2" formatCode="0.0%">
                  <c:v>0.065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0.186243297945205</c:v>
                </c:pt>
                <c:pt idx="2" formatCode="0.0%">
                  <c:v>0.148157365092175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0.0883764134495641</c:v>
                </c:pt>
                <c:pt idx="2" formatCode="0.0%">
                  <c:v>0.0883764134495641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0.00133245330012453</c:v>
                </c:pt>
                <c:pt idx="2" formatCode="0.0%">
                  <c:v>0.00133245330012453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0.0630018679950187</c:v>
                </c:pt>
                <c:pt idx="2" formatCode="0.0%">
                  <c:v>0.0597532005858398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0.107749066002491</c:v>
                </c:pt>
                <c:pt idx="2" formatCode="0.0%">
                  <c:v>0.100620847649813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0.00708281444582814</c:v>
                </c:pt>
                <c:pt idx="2" formatCode="0.0%">
                  <c:v>0.0062758463304307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0.011974699875467</c:v>
                </c:pt>
                <c:pt idx="2" formatCode="0.0%">
                  <c:v>0.0115992983081841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0.0467933055232992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0.00444145532089784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0.223567794307367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0.351293114461907</c:v>
                </c:pt>
                <c:pt idx="2" formatCode="0.0%">
                  <c:v>0.0838138004600445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184808"/>
        <c:axId val="2091163768"/>
      </c:barChart>
      <c:catAx>
        <c:axId val="209118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16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16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18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0.00337510007116171</c:v>
                </c:pt>
                <c:pt idx="2" formatCode="0.0%">
                  <c:v>0.00337510007116171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0.178302374911937</c:v>
                </c:pt>
                <c:pt idx="2" formatCode="0.0%">
                  <c:v>0.178302374911937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0.00115637911403665</c:v>
                </c:pt>
                <c:pt idx="2" formatCode="0.0%">
                  <c:v>0.00115637911403665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0.0115917230030244</c:v>
                </c:pt>
                <c:pt idx="2" formatCode="0.0%">
                  <c:v>0.0115917230030244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0.0169720690268635</c:v>
                </c:pt>
                <c:pt idx="2" formatCode="0.0%">
                  <c:v>0.0169720690268635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0.00119685109411137</c:v>
                </c:pt>
                <c:pt idx="2" formatCode="0.0%">
                  <c:v>0.00119685109411137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0.000726228429105141</c:v>
                </c:pt>
                <c:pt idx="2" formatCode="0.0%">
                  <c:v>0.000726228429105141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0.000893819605052481</c:v>
                </c:pt>
                <c:pt idx="2" formatCode="0.0%">
                  <c:v>0.000893819605052481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0.00529441332474743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0.00106259597781643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0.0148954987529235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0.210405328492258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0.348969911594252</c:v>
                </c:pt>
                <c:pt idx="2" formatCode="0.0%">
                  <c:v>0.305935030028444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946344"/>
        <c:axId val="2090938264"/>
      </c:barChart>
      <c:catAx>
        <c:axId val="209094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93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93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946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0.0444281374440779</c:v>
                </c:pt>
                <c:pt idx="1">
                  <c:v>0.0437885900758357</c:v>
                </c:pt>
                <c:pt idx="2">
                  <c:v>0.0184499391467531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0.370559783878188</c:v>
                </c:pt>
                <c:pt idx="1">
                  <c:v>0.365225539676436</c:v>
                </c:pt>
                <c:pt idx="2">
                  <c:v>0.153884584322088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0.0680984903491031</c:v>
                </c:pt>
                <c:pt idx="1">
                  <c:v>0.0671182059440038</c:v>
                </c:pt>
                <c:pt idx="2">
                  <c:v>0.0282796685885867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0.00200867334993773</c:v>
                </c:pt>
                <c:pt idx="3">
                  <c:v>0.000989346575342465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0.0552352584059776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0.0616298256537982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0.0410384960984704</c:v>
                </c:pt>
                <c:pt idx="1">
                  <c:v>0.0410384960984704</c:v>
                </c:pt>
                <c:pt idx="2">
                  <c:v>0.0410384960984704</c:v>
                </c:pt>
                <c:pt idx="3">
                  <c:v>0.0410384960984704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0.00455323785803238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-0.00323935401183063</c:v>
                </c:pt>
                <c:pt idx="1">
                  <c:v>-0.0019440529856787</c:v>
                </c:pt>
                <c:pt idx="2">
                  <c:v>-0.00259170349875467</c:v>
                </c:pt>
                <c:pt idx="3">
                  <c:v>-0.00323935401183063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0.206072820924489</c:v>
                </c:pt>
                <c:pt idx="1">
                  <c:v>0.206072820924489</c:v>
                </c:pt>
                <c:pt idx="2">
                  <c:v>0.206072820924489</c:v>
                </c:pt>
                <c:pt idx="3">
                  <c:v>0.206072820924489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0.326409348687415</c:v>
                </c:pt>
                <c:pt idx="3">
                  <c:v>0.496453127798393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926504"/>
        <c:axId val="2141136392"/>
      </c:barChart>
      <c:catAx>
        <c:axId val="2140926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36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113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26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0.060695861698703</c:v>
                </c:pt>
                <c:pt idx="1">
                  <c:v>0.0459708049679636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0.405833110807697</c:v>
                </c:pt>
                <c:pt idx="1">
                  <c:v>0.307376388840053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0.0718403915378858</c:v>
                </c:pt>
                <c:pt idx="1">
                  <c:v>0.0544116276757772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0.00309909602561822</c:v>
                </c:pt>
                <c:pt idx="3">
                  <c:v>0.00152642043052838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0.0463668920120975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0.0678882761074542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0.0539084949297278</c:v>
                </c:pt>
                <c:pt idx="1">
                  <c:v>0.0539084949297278</c:v>
                </c:pt>
                <c:pt idx="2">
                  <c:v>0.0539084949297278</c:v>
                </c:pt>
                <c:pt idx="3">
                  <c:v>0.0539084949297278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0.210405328492258</c:v>
                </c:pt>
                <c:pt idx="1">
                  <c:v>0.210405328492258</c:v>
                </c:pt>
                <c:pt idx="2">
                  <c:v>0.210405328492258</c:v>
                </c:pt>
                <c:pt idx="3">
                  <c:v>0.210405328492258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0.109089158465135</c:v>
                </c:pt>
                <c:pt idx="2">
                  <c:v>0.581637160030765</c:v>
                </c:pt>
                <c:pt idx="3">
                  <c:v>0.569709435341208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290392"/>
        <c:axId val="2090904632"/>
      </c:barChart>
      <c:catAx>
        <c:axId val="2140290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904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090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90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0.0287690736879559</c:v>
                </c:pt>
                <c:pt idx="1">
                  <c:v>0.0287690736879559</c:v>
                </c:pt>
                <c:pt idx="2">
                  <c:v>0.055845848923679</c:v>
                </c:pt>
                <c:pt idx="3">
                  <c:v>0.055845848923679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0.0468195954561058</c:v>
                </c:pt>
                <c:pt idx="1">
                  <c:v>0.0515623798472416</c:v>
                </c:pt>
                <c:pt idx="2">
                  <c:v>0.00828469136331928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0.285561111350939</c:v>
                </c:pt>
                <c:pt idx="1">
                  <c:v>0.314488204129866</c:v>
                </c:pt>
                <c:pt idx="2">
                  <c:v>0.0505298187620383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0.0605655712256431</c:v>
                </c:pt>
                <c:pt idx="1">
                  <c:v>0.0667008110339089</c:v>
                </c:pt>
                <c:pt idx="2">
                  <c:v>0.0107170311908825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0.0709328215812024</c:v>
                </c:pt>
                <c:pt idx="1">
                  <c:v>0.0781182548541136</c:v>
                </c:pt>
                <c:pt idx="2">
                  <c:v>0.0125515081581726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0.00195128268279665</c:v>
                </c:pt>
                <c:pt idx="3">
                  <c:v>0.000961079530332681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0.056589688509934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0.0117205797195917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0.0212248701802807</c:v>
                </c:pt>
                <c:pt idx="1">
                  <c:v>0.0212248701802807</c:v>
                </c:pt>
                <c:pt idx="2">
                  <c:v>0.0212248701802807</c:v>
                </c:pt>
                <c:pt idx="3">
                  <c:v>0.0212248701802807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0.0278787631756583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0.00530540759906506</c:v>
                </c:pt>
                <c:pt idx="1">
                  <c:v>0.00318396613816723</c:v>
                </c:pt>
                <c:pt idx="2">
                  <c:v>0.00424468686861615</c:v>
                </c:pt>
                <c:pt idx="3">
                  <c:v>0.00530540759906506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0.00766006921994486</c:v>
                </c:pt>
                <c:pt idx="3">
                  <c:v>0.00766006921994486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0.284644534208285</c:v>
                </c:pt>
                <c:pt idx="1">
                  <c:v>0.284644534208285</c:v>
                </c:pt>
                <c:pt idx="2">
                  <c:v>0.284644534208285</c:v>
                </c:pt>
                <c:pt idx="3">
                  <c:v>0.284644534208285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0.402758332241395</c:v>
                </c:pt>
                <c:pt idx="3">
                  <c:v>0.28511087875971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005096"/>
        <c:axId val="2141008408"/>
      </c:barChart>
      <c:catAx>
        <c:axId val="21410050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084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100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0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0.0269456816936488</c:v>
                </c:pt>
                <c:pt idx="1">
                  <c:v>0.0269456816936488</c:v>
                </c:pt>
                <c:pt idx="2">
                  <c:v>0.0523063232876712</c:v>
                </c:pt>
                <c:pt idx="3">
                  <c:v>0.0523063232876712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0.0799033032450206</c:v>
                </c:pt>
                <c:pt idx="1">
                  <c:v>0.0458410229219544</c:v>
                </c:pt>
                <c:pt idx="2">
                  <c:v>0.123862616953581</c:v>
                </c:pt>
                <c:pt idx="3">
                  <c:v>0.0103930568794436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0.182127121091435</c:v>
                </c:pt>
                <c:pt idx="1">
                  <c:v>0.104487464142258</c:v>
                </c:pt>
                <c:pt idx="2">
                  <c:v>0.282325522480984</c:v>
                </c:pt>
                <c:pt idx="3">
                  <c:v>0.0236893526540225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0.108639497901044</c:v>
                </c:pt>
                <c:pt idx="1">
                  <c:v>0.0623271568415629</c:v>
                </c:pt>
                <c:pt idx="2">
                  <c:v>0.168408213028226</c:v>
                </c:pt>
                <c:pt idx="3">
                  <c:v>0.0141307860274237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0.00357097484433375</c:v>
                </c:pt>
                <c:pt idx="3">
                  <c:v>0.00175883835616438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0.239012802343359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0.402483390599253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0.0251033853217228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0.0136454145297478</c:v>
                </c:pt>
                <c:pt idx="1">
                  <c:v>0.00818910460557798</c:v>
                </c:pt>
                <c:pt idx="2">
                  <c:v>0.0109172595676629</c:v>
                </c:pt>
                <c:pt idx="3">
                  <c:v>0.0136454145297478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0.00888291064179569</c:v>
                </c:pt>
                <c:pt idx="3">
                  <c:v>0.00888291064179569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0.223567794307367</c:v>
                </c:pt>
                <c:pt idx="1">
                  <c:v>0.223567794307367</c:v>
                </c:pt>
                <c:pt idx="2">
                  <c:v>0.223567794307367</c:v>
                </c:pt>
                <c:pt idx="3">
                  <c:v>0.223567794307367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0.335255201840177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883192"/>
        <c:axId val="2140876792"/>
      </c:barChart>
      <c:catAx>
        <c:axId val="2140883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876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087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88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0.0785208422453539</c:v>
                </c:pt>
                <c:pt idx="2">
                  <c:v>0.0785208422453538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0.0134607158134892</c:v>
                </c:pt>
                <c:pt idx="2">
                  <c:v>0.0134607158134892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0.0332715433243025</c:v>
                </c:pt>
                <c:pt idx="2">
                  <c:v>0.0343527530980577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0.00748609724796806</c:v>
                </c:pt>
                <c:pt idx="2">
                  <c:v>0.00748609724796806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0.0830956794524455</c:v>
                </c:pt>
                <c:pt idx="2">
                  <c:v>0.0830956794524455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0.0498662832089233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0.696592043348068</c:v>
                </c:pt>
                <c:pt idx="2">
                  <c:v>0.696592043348068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630344"/>
        <c:axId val="2140627672"/>
      </c:barChart>
      <c:catAx>
        <c:axId val="21406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62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62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63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3.3751000711617148E-3</v>
      </c>
      <c r="J7" s="24">
        <f t="shared" si="3"/>
        <v>3.3751000711617148E-3</v>
      </c>
      <c r="K7" s="22">
        <f t="shared" si="4"/>
        <v>6.7502001423234296E-3</v>
      </c>
      <c r="L7" s="22">
        <f t="shared" si="5"/>
        <v>3.3751000711617148E-3</v>
      </c>
      <c r="M7" s="177">
        <f t="shared" si="6"/>
        <v>3.3751000711617148E-3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5519.7390389107231</v>
      </c>
      <c r="T7" s="221">
        <f>IF($B$81=0,0,(SUMIF($N$6:$N$28,$U7,M$6:M$28)+SUMIF($N$91:$N$118,$U7,M$91:M$118))*$I$83*Poor!$B$81/$B$81)</f>
        <v>5519.7390389107231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1.3500400284646859E-2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1.3500400284646859E-2</v>
      </c>
      <c r="AH7" s="123">
        <f t="shared" ref="AH7:AH30" si="12">SUM(Z7,AB7,AD7,AF7)</f>
        <v>1</v>
      </c>
      <c r="AI7" s="183">
        <f t="shared" ref="AI7:AI30" si="13">SUM(AA7,AC7,AE7,AG7)/4</f>
        <v>3.3751000711617148E-3</v>
      </c>
      <c r="AJ7" s="120">
        <f t="shared" ref="AJ7:AJ31" si="14">(AA7+AC7)/2</f>
        <v>0</v>
      </c>
      <c r="AK7" s="119">
        <f t="shared" ref="AK7:AK31" si="15">(AE7+AG7)/2</f>
        <v>6.7502001423234296E-3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384</v>
      </c>
      <c r="T8" s="221">
        <f>IF($B$81=0,0,(SUMIF($N$6:$N$28,$U8,M$6:M$28)+SUMIF($N$91:$N$118,$U8,M$91:M$118))*$I$83*Poor!$B$81/$B$81)</f>
        <v>384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0.56902370342534092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6.0695861698703023E-2</v>
      </c>
      <c r="AB8" s="125">
        <f>IF($Y8=0,0,AC8/$Y8)</f>
        <v>0.43097629657465913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4.5970804967963637E-2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5.333333333333333E-2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0.17830237491193737</v>
      </c>
      <c r="J9" s="24">
        <f t="shared" si="3"/>
        <v>0.17830237491193737</v>
      </c>
      <c r="K9" s="22">
        <f t="shared" si="4"/>
        <v>0.16358016046966731</v>
      </c>
      <c r="L9" s="22">
        <f t="shared" si="5"/>
        <v>0.17830237491193737</v>
      </c>
      <c r="M9" s="223">
        <f t="shared" si="6"/>
        <v>0.17830237491193737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57.681000028634685</v>
      </c>
      <c r="T9" s="221">
        <f>IF($B$81=0,0,(SUMIF($N$6:$N$28,$U9,M$6:M$28)+SUMIF($N$91:$N$118,$U9,M$91:M$118))*$I$83*Poor!$B$81/$B$81)</f>
        <v>57.681000028634685</v>
      </c>
      <c r="U9" s="222">
        <v>3</v>
      </c>
      <c r="V9" s="56"/>
      <c r="W9" s="115"/>
      <c r="X9" s="118">
        <f>Poor!X9</f>
        <v>1</v>
      </c>
      <c r="Y9" s="183">
        <f t="shared" si="9"/>
        <v>0.71320949964774949</v>
      </c>
      <c r="Z9" s="125">
        <f>IF($Y9=0,0,AA9/$Y9)</f>
        <v>0.56902370342534081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0.40583311080769674</v>
      </c>
      <c r="AB9" s="125">
        <f>IF($Y9=0,0,AC9/$Y9)</f>
        <v>0.43097629657465913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0.30737638884005275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0.17830237491193737</v>
      </c>
      <c r="AJ9" s="120">
        <f t="shared" si="14"/>
        <v>0.35660474982387474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1</v>
      </c>
      <c r="H11" s="24">
        <f t="shared" si="1"/>
        <v>1</v>
      </c>
      <c r="I11" s="22">
        <f t="shared" si="2"/>
        <v>3.1563004803415763E-2</v>
      </c>
      <c r="J11" s="24">
        <f t="shared" si="3"/>
        <v>3.1563004803415763E-2</v>
      </c>
      <c r="K11" s="22">
        <f t="shared" si="4"/>
        <v>3.1563004803415763E-2</v>
      </c>
      <c r="L11" s="22">
        <f t="shared" si="5"/>
        <v>3.1563004803415763E-2</v>
      </c>
      <c r="M11" s="223">
        <f t="shared" si="6"/>
        <v>3.1563004803415763E-2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0.12625201921366305</v>
      </c>
      <c r="Z11" s="125">
        <f>IF($Y11=0,0,AA11/$Y11)</f>
        <v>0.56902370342534081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7.1840391537885837E-2</v>
      </c>
      <c r="AB11" s="125">
        <f>IF($Y11=0,0,AC11/$Y11)</f>
        <v>0.43097629657465919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5.4411627675777216E-2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3.1563004803415763E-2</v>
      </c>
      <c r="AJ11" s="120">
        <f t="shared" si="14"/>
        <v>6.3126009606831526E-2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1</v>
      </c>
      <c r="H12" s="24">
        <f t="shared" si="1"/>
        <v>1</v>
      </c>
      <c r="I12" s="22">
        <f t="shared" si="2"/>
        <v>1.1563791140366483E-3</v>
      </c>
      <c r="J12" s="24">
        <f t="shared" si="3"/>
        <v>1.1563791140366483E-3</v>
      </c>
      <c r="K12" s="22">
        <f t="shared" si="4"/>
        <v>1.1563791140366483E-3</v>
      </c>
      <c r="L12" s="22">
        <f t="shared" si="5"/>
        <v>1.1563791140366483E-3</v>
      </c>
      <c r="M12" s="223">
        <f t="shared" si="6"/>
        <v>1.1563791140366483E-3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1034.9740773375329</v>
      </c>
      <c r="U12" s="222">
        <v>6</v>
      </c>
      <c r="V12" s="56"/>
      <c r="W12" s="117"/>
      <c r="X12" s="118">
        <v>1</v>
      </c>
      <c r="Y12" s="183">
        <f t="shared" si="9"/>
        <v>4.6255164561465932E-3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3.0990960256182176E-3</v>
      </c>
      <c r="AF12" s="122">
        <f>1-SUM(Z12,AB12,AD12)</f>
        <v>0.32999999999999996</v>
      </c>
      <c r="AG12" s="121">
        <f>$M12*AF12*4</f>
        <v>1.5264204305283757E-3</v>
      </c>
      <c r="AH12" s="123">
        <f t="shared" si="12"/>
        <v>1</v>
      </c>
      <c r="AI12" s="183">
        <f t="shared" si="13"/>
        <v>1.1563791140366483E-3</v>
      </c>
      <c r="AJ12" s="120">
        <f t="shared" si="14"/>
        <v>0</v>
      </c>
      <c r="AK12" s="119">
        <f t="shared" si="15"/>
        <v>2.3127582280732966E-3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1</v>
      </c>
      <c r="H13" s="24">
        <f t="shared" si="1"/>
        <v>1</v>
      </c>
      <c r="I13" s="22">
        <f t="shared" si="2"/>
        <v>1.1591723003024372E-2</v>
      </c>
      <c r="J13" s="24">
        <f t="shared" si="3"/>
        <v>1.1591723003024372E-2</v>
      </c>
      <c r="K13" s="22">
        <f t="shared" si="4"/>
        <v>1.1591723003024372E-2</v>
      </c>
      <c r="L13" s="22">
        <f t="shared" si="5"/>
        <v>1.1591723003024372E-2</v>
      </c>
      <c r="M13" s="224">
        <f t="shared" si="6"/>
        <v>1.1591723003024372E-2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19053.942857142862</v>
      </c>
      <c r="T13" s="221">
        <f>IF($B$81=0,0,(SUMIF($N$6:$N$28,$U13,M$6:M$28)+SUMIF($N$91:$N$118,$U13,M$91:M$118))*$I$83*Poor!$B$81/$B$81)</f>
        <v>19053.942857142862</v>
      </c>
      <c r="U13" s="222">
        <v>7</v>
      </c>
      <c r="V13" s="56"/>
      <c r="W13" s="110"/>
      <c r="X13" s="118"/>
      <c r="Y13" s="183">
        <f t="shared" si="9"/>
        <v>4.636689201209749E-2</v>
      </c>
      <c r="Z13" s="156">
        <f>Poor!Z13</f>
        <v>1</v>
      </c>
      <c r="AA13" s="121">
        <f>$M13*Z13*4</f>
        <v>4.636689201209749E-2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1.1591723003024372E-2</v>
      </c>
      <c r="AJ13" s="120">
        <f t="shared" si="14"/>
        <v>2.3183446006048745E-2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1</v>
      </c>
      <c r="F14" s="22"/>
      <c r="H14" s="24">
        <f t="shared" si="1"/>
        <v>1</v>
      </c>
      <c r="I14" s="22">
        <f t="shared" si="2"/>
        <v>1.6972069026863549E-2</v>
      </c>
      <c r="J14" s="24">
        <f>IF(I$32&lt;=1+I131,I14,B14*H14+J$33*(I14-B14*H14))</f>
        <v>1.6972069026863549E-2</v>
      </c>
      <c r="K14" s="22">
        <f t="shared" si="4"/>
        <v>1.6972069026863549E-2</v>
      </c>
      <c r="L14" s="22">
        <f t="shared" si="5"/>
        <v>1.6972069026863549E-2</v>
      </c>
      <c r="M14" s="224">
        <f t="shared" si="6"/>
        <v>1.6972069026863549E-2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6.7888276107454196E-2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6.7888276107454196E-2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1.6972069026863549E-2</v>
      </c>
      <c r="AJ14" s="120">
        <f t="shared" si="14"/>
        <v>3.3944138053727098E-2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1</v>
      </c>
      <c r="F15" s="22"/>
      <c r="H15" s="24">
        <f t="shared" si="1"/>
        <v>1</v>
      </c>
      <c r="I15" s="22">
        <f t="shared" si="2"/>
        <v>5.390849492972781E-2</v>
      </c>
      <c r="J15" s="24">
        <f t="shared" ref="J15:J25" si="17">IF(I$32&lt;=1+I131,I15,B15*H15+J$33*(I15-B15*H15))</f>
        <v>5.390849492972781E-2</v>
      </c>
      <c r="K15" s="22">
        <f t="shared" si="4"/>
        <v>5.390849492972781E-2</v>
      </c>
      <c r="L15" s="22">
        <f t="shared" si="5"/>
        <v>5.390849492972781E-2</v>
      </c>
      <c r="M15" s="225">
        <f t="shared" si="6"/>
        <v>5.390849492972781E-2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0.21563397971891124</v>
      </c>
      <c r="Z15" s="156">
        <f>Poor!Z15</f>
        <v>0.25</v>
      </c>
      <c r="AA15" s="121">
        <f t="shared" si="16"/>
        <v>5.390849492972781E-2</v>
      </c>
      <c r="AB15" s="156">
        <f>Poor!AB15</f>
        <v>0.25</v>
      </c>
      <c r="AC15" s="121">
        <f t="shared" si="7"/>
        <v>5.390849492972781E-2</v>
      </c>
      <c r="AD15" s="156">
        <f>Poor!AD15</f>
        <v>0.25</v>
      </c>
      <c r="AE15" s="121">
        <f t="shared" si="8"/>
        <v>5.390849492972781E-2</v>
      </c>
      <c r="AF15" s="122">
        <f t="shared" si="10"/>
        <v>0.25</v>
      </c>
      <c r="AG15" s="121">
        <f t="shared" si="11"/>
        <v>5.390849492972781E-2</v>
      </c>
      <c r="AH15" s="123">
        <f t="shared" si="12"/>
        <v>1</v>
      </c>
      <c r="AI15" s="183">
        <f t="shared" si="13"/>
        <v>5.390849492972781E-2</v>
      </c>
      <c r="AJ15" s="120">
        <f t="shared" si="14"/>
        <v>5.390849492972781E-2</v>
      </c>
      <c r="AK15" s="119">
        <f t="shared" si="15"/>
        <v>5.390849492972781E-2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1.1968510941113681E-3</v>
      </c>
      <c r="J16" s="24">
        <f t="shared" si="17"/>
        <v>1.1968510941113681E-3</v>
      </c>
      <c r="K16" s="22">
        <f t="shared" ref="K16:K25" si="21">B16</f>
        <v>1.1968510941113681E-3</v>
      </c>
      <c r="L16" s="22">
        <f t="shared" ref="L16:L25" si="22">IF(K16="","",K16*H16)</f>
        <v>1.1968510941113681E-3</v>
      </c>
      <c r="M16" s="225">
        <f t="shared" ref="M16:M25" si="23">J16</f>
        <v>1.1968510941113681E-3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5504.1621800533467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1</v>
      </c>
      <c r="F17" s="22"/>
      <c r="H17" s="24">
        <f t="shared" si="19"/>
        <v>1</v>
      </c>
      <c r="I17" s="22">
        <f t="shared" si="20"/>
        <v>7.2622842910514149E-4</v>
      </c>
      <c r="J17" s="24">
        <f t="shared" si="17"/>
        <v>7.2622842910514149E-4</v>
      </c>
      <c r="K17" s="22">
        <f t="shared" si="21"/>
        <v>7.2622842910514149E-4</v>
      </c>
      <c r="L17" s="22">
        <f t="shared" si="22"/>
        <v>7.2622842910514149E-4</v>
      </c>
      <c r="M17" s="225">
        <f t="shared" si="23"/>
        <v>7.2622842910514149E-4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1</v>
      </c>
      <c r="F18" s="22"/>
      <c r="H18" s="24">
        <f t="shared" si="19"/>
        <v>1</v>
      </c>
      <c r="I18" s="22">
        <f t="shared" si="20"/>
        <v>8.9381960505248177E-4</v>
      </c>
      <c r="J18" s="24">
        <f t="shared" si="17"/>
        <v>8.9381960505248177E-4</v>
      </c>
      <c r="K18" s="22">
        <f t="shared" si="21"/>
        <v>8.9381960505248177E-4</v>
      </c>
      <c r="L18" s="22">
        <f t="shared" si="22"/>
        <v>8.9381960505248177E-4</v>
      </c>
      <c r="M18" s="225">
        <f t="shared" si="23"/>
        <v>8.9381960505248177E-4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5.2944133247474273E-3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5.2944133247474273E-3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1.0625959778164343E-3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1.0625959778164343E-3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16425.600000000002</v>
      </c>
      <c r="T20" s="221">
        <f>IF($B$81=0,0,(SUMIF($N$6:$N$28,$U20,M$6:M$28)+SUMIF($N$91:$N$118,$U20,M$91:M$118))*$I$83*Poor!$B$81/$B$81)</f>
        <v>16425.600000000002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50533.247468099027</v>
      </c>
      <c r="T23" s="179">
        <f>SUM(T7:T22)</f>
        <v>50575.005267717526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1.4895498752923519E-2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1.4895498752923519E-2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5.9581995011694075E-2</v>
      </c>
      <c r="Z27" s="156">
        <f>Poor!Z27</f>
        <v>0.25</v>
      </c>
      <c r="AA27" s="121">
        <f t="shared" si="16"/>
        <v>1.4895498752923519E-2</v>
      </c>
      <c r="AB27" s="156">
        <f>Poor!AB27</f>
        <v>0.25</v>
      </c>
      <c r="AC27" s="121">
        <f t="shared" si="7"/>
        <v>1.4895498752923519E-2</v>
      </c>
      <c r="AD27" s="156">
        <f>Poor!AD27</f>
        <v>0.25</v>
      </c>
      <c r="AE27" s="121">
        <f t="shared" si="8"/>
        <v>1.4895498752923519E-2</v>
      </c>
      <c r="AF27" s="122">
        <f t="shared" si="10"/>
        <v>0.25</v>
      </c>
      <c r="AG27" s="121">
        <f t="shared" si="11"/>
        <v>1.4895498752923519E-2</v>
      </c>
      <c r="AH27" s="123">
        <f t="shared" si="12"/>
        <v>1</v>
      </c>
      <c r="AI27" s="183">
        <f t="shared" si="13"/>
        <v>1.4895498752923519E-2</v>
      </c>
      <c r="AJ27" s="120">
        <f t="shared" si="14"/>
        <v>1.4895498752923519E-2</v>
      </c>
      <c r="AK27" s="119">
        <f t="shared" si="15"/>
        <v>1.4895498752923519E-2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0.21040532849225815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0.21040532849225815</v>
      </c>
      <c r="N29" s="228"/>
      <c r="P29" s="22"/>
      <c r="V29" s="56"/>
      <c r="W29" s="110"/>
      <c r="X29" s="118"/>
      <c r="Y29" s="183">
        <f t="shared" si="9"/>
        <v>0.84162131396903261</v>
      </c>
      <c r="Z29" s="156">
        <f>Poor!Z29</f>
        <v>0.25</v>
      </c>
      <c r="AA29" s="121">
        <f t="shared" si="16"/>
        <v>0.21040532849225815</v>
      </c>
      <c r="AB29" s="156">
        <f>Poor!AB29</f>
        <v>0.25</v>
      </c>
      <c r="AC29" s="121">
        <f t="shared" si="7"/>
        <v>0.21040532849225815</v>
      </c>
      <c r="AD29" s="156">
        <f>Poor!AD29</f>
        <v>0.25</v>
      </c>
      <c r="AE29" s="121">
        <f t="shared" si="8"/>
        <v>0.21040532849225815</v>
      </c>
      <c r="AF29" s="122">
        <f t="shared" si="10"/>
        <v>0.25</v>
      </c>
      <c r="AG29" s="121">
        <f t="shared" si="11"/>
        <v>0.21040532849225815</v>
      </c>
      <c r="AH29" s="123">
        <f t="shared" si="12"/>
        <v>1</v>
      </c>
      <c r="AI29" s="183">
        <f t="shared" si="13"/>
        <v>0.21040532849225815</v>
      </c>
      <c r="AJ29" s="120">
        <f t="shared" si="14"/>
        <v>0.21040532849225815</v>
      </c>
      <c r="AK29" s="119">
        <f t="shared" si="15"/>
        <v>0.21040532849225815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1.6847098933390783</v>
      </c>
      <c r="J30" s="230">
        <f>IF(I$32&lt;=1,I30,1-SUM(J6:J29))</f>
        <v>0.30593503002844413</v>
      </c>
      <c r="K30" s="22">
        <f t="shared" si="4"/>
        <v>0.60449541284468955</v>
      </c>
      <c r="L30" s="22">
        <f>IF(L124=L119,0,IF(K30="",0,(L119-L124)/(B119-B124)*K30))</f>
        <v>0.34896991159425211</v>
      </c>
      <c r="M30" s="175">
        <f t="shared" si="6"/>
        <v>0.30593503002844413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1.2237401201137765</v>
      </c>
      <c r="Z30" s="122">
        <f>IF($Y30=0,0,AA30/($Y$30))</f>
        <v>-1.8144751591897375E-16</v>
      </c>
      <c r="AA30" s="187">
        <f>IF(AA79*4/$I$83+SUM(AA6:AA29)&lt;1,AA79*4/$I$83,1-SUM(AA6:AA29))</f>
        <v>-2.2204460492503131E-16</v>
      </c>
      <c r="AB30" s="122">
        <f>IF($Y30=0,0,AC30/($Y$30))</f>
        <v>8.9144056546084996E-2</v>
      </c>
      <c r="AC30" s="187">
        <f>IF(AC79*4/$I$83+SUM(AC6:AC29)&lt;1,AC79*4/$I$83,1-SUM(AC6:AC29))</f>
        <v>0.10908915846513534</v>
      </c>
      <c r="AD30" s="122">
        <f>IF($Y30=0,0,AE30/($Y$30))</f>
        <v>0.47529467284008586</v>
      </c>
      <c r="AE30" s="187">
        <f>IF(AE79*4/$I$83+SUM(AE6:AE29)&lt;1,AE79*4/$I$83,1-SUM(AE6:AE29))</f>
        <v>0.58163716003076482</v>
      </c>
      <c r="AF30" s="122">
        <f>IF($Y30=0,0,AG30/($Y$30))</f>
        <v>0.46554773025521085</v>
      </c>
      <c r="AG30" s="187">
        <f>IF(AG79*4/$I$83+SUM(AG6:AG29)&lt;1,AG79*4/$I$83,1-SUM(AG6:AG29))</f>
        <v>0.56970943534120777</v>
      </c>
      <c r="AH30" s="123">
        <f t="shared" si="12"/>
        <v>1.0299864596413815</v>
      </c>
      <c r="AI30" s="183">
        <f t="shared" si="13"/>
        <v>0.3151089384592769</v>
      </c>
      <c r="AJ30" s="120">
        <f t="shared" si="14"/>
        <v>5.4544579232567558E-2</v>
      </c>
      <c r="AK30" s="119">
        <f t="shared" si="15"/>
        <v>0.5756732976859863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-4.3015753397354306E-2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2.3798933356186023</v>
      </c>
      <c r="J32" s="17"/>
      <c r="L32" s="22">
        <f>SUM(L6:L30)</f>
        <v>1.0430157533973543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28133.590642675525</v>
      </c>
      <c r="T32" s="233">
        <f t="shared" si="24"/>
        <v>28091.832843057025</v>
      </c>
      <c r="V32" s="56"/>
      <c r="W32" s="110"/>
      <c r="X32" s="118"/>
      <c r="Y32" s="115">
        <f>SUM(Y6:Y31)</f>
        <v>3.9633043662766685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1.6814487027789669E-2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0.56902370342534092</v>
      </c>
      <c r="AA39" s="147">
        <f t="shared" ref="AA39:AA64" si="40">$J39*Z39</f>
        <v>134.28959400838045</v>
      </c>
      <c r="AB39" s="122">
        <f>AB8</f>
        <v>0.43097629657465913</v>
      </c>
      <c r="AC39" s="147">
        <f t="shared" ref="AC39:AC64" si="41">$J39*AB39</f>
        <v>101.71040599161955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0.56902370342534081</v>
      </c>
      <c r="AA40" s="147">
        <f t="shared" si="40"/>
        <v>0</v>
      </c>
      <c r="AB40" s="122">
        <f>AB9</f>
        <v>0.43097629657465913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0.56902370342534081</v>
      </c>
      <c r="AA41" s="147">
        <f t="shared" si="40"/>
        <v>0</v>
      </c>
      <c r="AB41" s="122">
        <f>AB11</f>
        <v>0.43097629657465919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336</v>
      </c>
      <c r="J50" s="38">
        <f t="shared" si="32"/>
        <v>336</v>
      </c>
      <c r="K50" s="40">
        <f t="shared" si="33"/>
        <v>6.9950451763334306E-3</v>
      </c>
      <c r="L50" s="22">
        <f t="shared" si="34"/>
        <v>9.7930632468668025E-3</v>
      </c>
      <c r="M50" s="24">
        <f t="shared" si="35"/>
        <v>9.7930632468668025E-3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84</v>
      </c>
      <c r="AB50" s="156">
        <f>Poor!AB55</f>
        <v>0.25</v>
      </c>
      <c r="AC50" s="147">
        <f t="shared" si="41"/>
        <v>84</v>
      </c>
      <c r="AD50" s="156">
        <f>Poor!AD55</f>
        <v>0.25</v>
      </c>
      <c r="AE50" s="147">
        <f t="shared" si="42"/>
        <v>84</v>
      </c>
      <c r="AF50" s="122">
        <f t="shared" si="29"/>
        <v>0.25</v>
      </c>
      <c r="AG50" s="147">
        <f t="shared" si="36"/>
        <v>84</v>
      </c>
      <c r="AH50" s="123">
        <f t="shared" si="37"/>
        <v>1</v>
      </c>
      <c r="AI50" s="112">
        <f t="shared" si="37"/>
        <v>336</v>
      </c>
      <c r="AJ50" s="148">
        <f t="shared" si="38"/>
        <v>168</v>
      </c>
      <c r="AK50" s="147">
        <f t="shared" si="39"/>
        <v>168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810.54030016625586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2.3624025070424246E-2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6993.0000000000009</v>
      </c>
      <c r="J54" s="38">
        <f t="shared" si="32"/>
        <v>6993.0000000000009</v>
      </c>
      <c r="K54" s="40">
        <f t="shared" si="33"/>
        <v>0.18361993587875255</v>
      </c>
      <c r="L54" s="22">
        <f t="shared" si="34"/>
        <v>0.20381812882541536</v>
      </c>
      <c r="M54" s="24">
        <f t="shared" si="35"/>
        <v>0.20381812882541536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7459.2000000000007</v>
      </c>
      <c r="J55" s="38">
        <f t="shared" si="32"/>
        <v>7459.2000000000016</v>
      </c>
      <c r="K55" s="40">
        <f t="shared" si="33"/>
        <v>0.19586126493733605</v>
      </c>
      <c r="L55" s="22">
        <f t="shared" si="34"/>
        <v>0.21740600408044303</v>
      </c>
      <c r="M55" s="24">
        <f t="shared" si="35"/>
        <v>0.21740600408044305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2220</v>
      </c>
      <c r="J56" s="38">
        <f t="shared" si="32"/>
        <v>2220.0000000000005</v>
      </c>
      <c r="K56" s="40">
        <f t="shared" si="33"/>
        <v>5.8292043136111922E-2</v>
      </c>
      <c r="L56" s="22">
        <f t="shared" si="34"/>
        <v>6.470416788108424E-2</v>
      </c>
      <c r="M56" s="24">
        <f t="shared" si="35"/>
        <v>6.470416788108424E-2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4816.1419075466783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0.14037137591217366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1204.0354768866696</v>
      </c>
      <c r="AB58" s="156">
        <f>Poor!AB58</f>
        <v>0.25</v>
      </c>
      <c r="AC58" s="147">
        <f t="shared" si="41"/>
        <v>1204.0354768866696</v>
      </c>
      <c r="AD58" s="156">
        <f>Poor!AD58</f>
        <v>0.25</v>
      </c>
      <c r="AE58" s="147">
        <f t="shared" si="42"/>
        <v>1204.0354768866696</v>
      </c>
      <c r="AF58" s="122">
        <f t="shared" si="29"/>
        <v>0.25</v>
      </c>
      <c r="AG58" s="147">
        <f t="shared" si="36"/>
        <v>1204.0354768866696</v>
      </c>
      <c r="AH58" s="123">
        <f t="shared" si="37"/>
        <v>1</v>
      </c>
      <c r="AI58" s="112">
        <f t="shared" si="37"/>
        <v>4816.1419075466783</v>
      </c>
      <c r="AJ58" s="148">
        <f t="shared" si="38"/>
        <v>2408.0709537733392</v>
      </c>
      <c r="AK58" s="147">
        <f t="shared" si="39"/>
        <v>2408.0709537733392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14372.4</v>
      </c>
      <c r="J60" s="38">
        <f t="shared" si="32"/>
        <v>14372.400000000001</v>
      </c>
      <c r="K60" s="40">
        <f t="shared" si="33"/>
        <v>0.35499854269892162</v>
      </c>
      <c r="L60" s="22">
        <f t="shared" si="34"/>
        <v>0.41889828038472748</v>
      </c>
      <c r="M60" s="24">
        <f t="shared" si="35"/>
        <v>0.41889828038472754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3593.1000000000004</v>
      </c>
      <c r="AB60" s="156">
        <f>Poor!AB60</f>
        <v>0.25</v>
      </c>
      <c r="AC60" s="147">
        <f t="shared" si="41"/>
        <v>3593.1000000000004</v>
      </c>
      <c r="AD60" s="156">
        <f>Poor!AD60</f>
        <v>0.25</v>
      </c>
      <c r="AE60" s="147">
        <f t="shared" si="42"/>
        <v>3593.1000000000004</v>
      </c>
      <c r="AF60" s="122">
        <f t="shared" si="29"/>
        <v>0.25</v>
      </c>
      <c r="AG60" s="147">
        <f t="shared" si="36"/>
        <v>3593.1000000000004</v>
      </c>
      <c r="AH60" s="123">
        <f t="shared" si="43"/>
        <v>1</v>
      </c>
      <c r="AI60" s="112">
        <f t="shared" si="43"/>
        <v>14372.400000000001</v>
      </c>
      <c r="AJ60" s="148">
        <f t="shared" si="38"/>
        <v>7186.2000000000007</v>
      </c>
      <c r="AK60" s="147">
        <f t="shared" si="39"/>
        <v>7186.2000000000007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39353.1</v>
      </c>
      <c r="J65" s="39">
        <f>SUM(J37:J64)</f>
        <v>37243.282207712939</v>
      </c>
      <c r="K65" s="40">
        <f>SUM(K37:K64)</f>
        <v>1</v>
      </c>
      <c r="L65" s="22">
        <f>SUM(L37:L64)</f>
        <v>1.0844418536869718</v>
      </c>
      <c r="M65" s="24">
        <f>SUM(M37:M64)</f>
        <v>1.0854935064911961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5015.4250708950503</v>
      </c>
      <c r="AB65" s="137"/>
      <c r="AC65" s="153">
        <f>SUM(AC37:AC64)</f>
        <v>4982.8458828782896</v>
      </c>
      <c r="AD65" s="137"/>
      <c r="AE65" s="153">
        <f>SUM(AE37:AE64)</f>
        <v>4881.1354768866695</v>
      </c>
      <c r="AF65" s="137"/>
      <c r="AG65" s="153">
        <f>SUM(AG37:AG64)</f>
        <v>4881.1354768866695</v>
      </c>
      <c r="AH65" s="137"/>
      <c r="AI65" s="153">
        <f>SUM(AI37:AI64)</f>
        <v>19760.541907546678</v>
      </c>
      <c r="AJ65" s="153">
        <f>SUM(AJ37:AJ64)</f>
        <v>9998.270953773339</v>
      </c>
      <c r="AK65" s="153">
        <f>SUM(AK37:AK64)</f>
        <v>9762.270953773339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0.35649470513941517</v>
      </c>
      <c r="L71" s="22">
        <f t="shared" si="45"/>
        <v>0.4206637520645099</v>
      </c>
      <c r="M71" s="24">
        <f t="shared" ref="M71:M72" si="48">J71/B$76</f>
        <v>0.42066375206450984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4075.2564423400022</v>
      </c>
      <c r="K72" s="40">
        <f t="shared" si="47"/>
        <v>0.70754881958612648</v>
      </c>
      <c r="L72" s="22">
        <f t="shared" si="45"/>
        <v>9.8969261200807679E-2</v>
      </c>
      <c r="M72" s="24">
        <f t="shared" si="48"/>
        <v>0.11877751216380071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25192.966338009617</v>
      </c>
      <c r="J74" s="51">
        <f t="shared" si="44"/>
        <v>4574.9187700492121</v>
      </c>
      <c r="K74" s="40">
        <f>B74/B$76</f>
        <v>0.15967705991340145</v>
      </c>
      <c r="L74" s="22">
        <f t="shared" si="45"/>
        <v>0.15209727930272723</v>
      </c>
      <c r="M74" s="24">
        <f>J74/B$76</f>
        <v>0.13334068114395839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-8.3010764635651612E-13</v>
      </c>
      <c r="AB74" s="156"/>
      <c r="AC74" s="147">
        <f>AC30*$I$83/4</f>
        <v>407.82681753101252</v>
      </c>
      <c r="AD74" s="156"/>
      <c r="AE74" s="147">
        <f>AE30*$I$83/4</f>
        <v>2174.4345200805083</v>
      </c>
      <c r="AF74" s="156"/>
      <c r="AG74" s="147">
        <f>AG30*$I$83/4</f>
        <v>2129.8430494983713</v>
      </c>
      <c r="AH74" s="155"/>
      <c r="AI74" s="147">
        <f>SUM(AA74,AC74,AE74,AG74)</f>
        <v>4712.1043871098918</v>
      </c>
      <c r="AJ74" s="148">
        <f>(AA74+AC74)</f>
        <v>407.82681753101167</v>
      </c>
      <c r="AK74" s="147">
        <f>(AE74+AG74)</f>
        <v>4304.2775695788796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1475.3916553974536</v>
      </c>
      <c r="AB75" s="158"/>
      <c r="AC75" s="149">
        <f>AA75+AC65-SUM(AC70,AC74)</f>
        <v>2510.3773052471333</v>
      </c>
      <c r="AD75" s="158"/>
      <c r="AE75" s="149">
        <f>AC75+AE65-SUM(AE70,AE74)</f>
        <v>1677.0448465556965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888.30385844639386</v>
      </c>
      <c r="AJ75" s="151">
        <f>AJ76-SUM(AJ70,AJ74)</f>
        <v>2510.3773052471324</v>
      </c>
      <c r="AK75" s="149">
        <f>AJ75+AK76-SUM(AK70,AK74)</f>
        <v>888.3038584463975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39353.100000000006</v>
      </c>
      <c r="J76" s="51">
        <f t="shared" si="44"/>
        <v>37243.282207712939</v>
      </c>
      <c r="K76" s="40">
        <f>SUM(K70:K75)</f>
        <v>1.5427057547682346</v>
      </c>
      <c r="L76" s="22">
        <f>SUM(L70:L75)</f>
        <v>1.084441853686972</v>
      </c>
      <c r="M76" s="24">
        <f>SUM(M70:M75)</f>
        <v>1.0854935064911961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5015.4250708950503</v>
      </c>
      <c r="AB76" s="137"/>
      <c r="AC76" s="153">
        <f>AC65</f>
        <v>4982.8458828782896</v>
      </c>
      <c r="AD76" s="137"/>
      <c r="AE76" s="153">
        <f>AE65</f>
        <v>4881.1354768866695</v>
      </c>
      <c r="AF76" s="137"/>
      <c r="AG76" s="153">
        <f>AG65</f>
        <v>4881.1354768866695</v>
      </c>
      <c r="AH76" s="137"/>
      <c r="AI76" s="153">
        <f>SUM(AA76,AC76,AE76,AG76)</f>
        <v>19760.541907546678</v>
      </c>
      <c r="AJ76" s="154">
        <f>SUM(AA76,AC76)</f>
        <v>9998.270953773339</v>
      </c>
      <c r="AK76" s="154">
        <f>SUM(AE76,AG76)</f>
        <v>9762.270953773339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-0.32169449086370216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1475.3916553974536</v>
      </c>
      <c r="AD78" s="112"/>
      <c r="AE78" s="112">
        <f>AC75</f>
        <v>2510.3773052471333</v>
      </c>
      <c r="AF78" s="112"/>
      <c r="AG78" s="112">
        <f>AE75</f>
        <v>1677.0448465556965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1475.3916553974527</v>
      </c>
      <c r="AB79" s="112"/>
      <c r="AC79" s="112">
        <f>AA79-AA74+AC65-AC70</f>
        <v>2918.204122778146</v>
      </c>
      <c r="AD79" s="112"/>
      <c r="AE79" s="112">
        <f>AC79-AC74+AE65-AE70</f>
        <v>3851.4793666362052</v>
      </c>
      <c r="AF79" s="112"/>
      <c r="AG79" s="112">
        <f>AE79-AE74+AG65-AG70</f>
        <v>3018.1469079447684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0.84848484848484851</v>
      </c>
      <c r="I104" s="22">
        <f t="shared" si="54"/>
        <v>2.2469070000220241E-2</v>
      </c>
      <c r="J104" s="24">
        <f>IF(I$32&lt;=1+I131,I104,L104+J$33*(I104-L104))</f>
        <v>2.2469070000220241E-2</v>
      </c>
      <c r="K104" s="22">
        <f t="shared" si="56"/>
        <v>2.6481403928830999E-2</v>
      </c>
      <c r="L104" s="22">
        <f t="shared" si="57"/>
        <v>2.2469070000220241E-2</v>
      </c>
      <c r="M104" s="227">
        <f t="shared" si="49"/>
        <v>2.2469070000220241E-2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5.4202639114390265E-2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5.4202639114390265E-2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0.67272727272727284</v>
      </c>
      <c r="I108" s="22">
        <f t="shared" si="61"/>
        <v>0.46763751937958387</v>
      </c>
      <c r="J108" s="24">
        <f t="shared" si="62"/>
        <v>0.46763751937958387</v>
      </c>
      <c r="K108" s="22">
        <f t="shared" si="63"/>
        <v>0.69513685313181373</v>
      </c>
      <c r="L108" s="22">
        <f t="shared" si="64"/>
        <v>0.46763751937958387</v>
      </c>
      <c r="M108" s="227">
        <f t="shared" si="65"/>
        <v>0.46763751937958387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0.67272727272727284</v>
      </c>
      <c r="I109" s="22">
        <f t="shared" si="61"/>
        <v>0.49881335400488946</v>
      </c>
      <c r="J109" s="24">
        <f t="shared" si="62"/>
        <v>0.49881335400488946</v>
      </c>
      <c r="K109" s="22">
        <f t="shared" si="63"/>
        <v>0.74147931000726797</v>
      </c>
      <c r="L109" s="22">
        <f t="shared" si="64"/>
        <v>0.49881335400488946</v>
      </c>
      <c r="M109" s="227">
        <f t="shared" si="65"/>
        <v>0.49881335400488946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0.67272727272727284</v>
      </c>
      <c r="I110" s="22">
        <f t="shared" si="61"/>
        <v>0.14845635535859805</v>
      </c>
      <c r="J110" s="24">
        <f t="shared" si="62"/>
        <v>0.14845635535859805</v>
      </c>
      <c r="K110" s="22">
        <f t="shared" si="63"/>
        <v>0.22067836607359165</v>
      </c>
      <c r="L110" s="22">
        <f t="shared" si="64"/>
        <v>0.14845635535859805</v>
      </c>
      <c r="M110" s="227">
        <f t="shared" si="65"/>
        <v>0.14845635535859805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0.32206615967756119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0.32206615967756119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0.7151515151515152</v>
      </c>
      <c r="I114" s="22">
        <f t="shared" si="61"/>
        <v>0.9611144692594209</v>
      </c>
      <c r="J114" s="24">
        <f t="shared" si="62"/>
        <v>0.9611144692594209</v>
      </c>
      <c r="K114" s="22">
        <f t="shared" si="63"/>
        <v>1.3439312493881732</v>
      </c>
      <c r="L114" s="22">
        <f t="shared" si="64"/>
        <v>0.9611144692594209</v>
      </c>
      <c r="M114" s="227">
        <f t="shared" si="65"/>
        <v>0.9611144692594209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2.6316296387668672</v>
      </c>
      <c r="J119" s="24">
        <f>SUM(J91:J118)</f>
        <v>2.4905414135805328</v>
      </c>
      <c r="K119" s="22">
        <f>SUM(K91:K118)</f>
        <v>3.7857373699924648</v>
      </c>
      <c r="L119" s="22">
        <f>SUM(L91:L118)</f>
        <v>2.4881285158101032</v>
      </c>
      <c r="M119" s="57">
        <f t="shared" si="49"/>
        <v>2.4905414135805328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239">
        <f t="shared" si="66"/>
        <v>0.9651651432677939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0.27252149485650601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0.22707371552026845</v>
      </c>
      <c r="M126" s="239">
        <f t="shared" si="66"/>
        <v>0.27252149485650601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1.6847098933390783</v>
      </c>
      <c r="J128" s="227">
        <f>(J30)</f>
        <v>0.30593503002844413</v>
      </c>
      <c r="K128" s="29">
        <f>(B128)</f>
        <v>0.60449541284468955</v>
      </c>
      <c r="L128" s="29">
        <f>IF(L124=L119,0,(L119-L124)/(B119-B124)*K128)</f>
        <v>0.34896991159425211</v>
      </c>
      <c r="M128" s="239">
        <f t="shared" si="66"/>
        <v>0.30593503002844413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2.6316296387668672</v>
      </c>
      <c r="J130" s="227">
        <f>(J119)</f>
        <v>2.4905414135805328</v>
      </c>
      <c r="K130" s="29">
        <f>(B130)</f>
        <v>3.7857373699924648</v>
      </c>
      <c r="L130" s="29">
        <f>(L119)</f>
        <v>2.4881285158101032</v>
      </c>
      <c r="M130" s="239">
        <f t="shared" si="66"/>
        <v>2.4905414135805328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0.73809142774752545</v>
      </c>
      <c r="M131" s="236">
        <f>IF(I131&lt;SUM(M126:M127),0,I131-(SUM(M126:M127)))</f>
        <v>0.69264364841128789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1.4077658779576585E-2</v>
      </c>
      <c r="J6" s="24">
        <f t="shared" ref="J6:J13" si="3">IF(I$32&lt;=1+I$131,I6,B6*H6+J$33*(I6-B6*H6))</f>
        <v>1.4077658779576585E-2</v>
      </c>
      <c r="K6" s="22">
        <f t="shared" ref="K6:K31" si="4">B6</f>
        <v>2.8155317559153171E-2</v>
      </c>
      <c r="L6" s="22">
        <f t="shared" ref="L6:L29" si="5">IF(K6="","",K6*H6)</f>
        <v>1.4077658779576585E-2</v>
      </c>
      <c r="M6" s="223">
        <f t="shared" ref="M6:M31" si="6">J6</f>
        <v>1.4077658779576585E-2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5.6310635118306342E-2</v>
      </c>
      <c r="Z6" s="116">
        <v>0.17</v>
      </c>
      <c r="AA6" s="121">
        <f>$M6*Z6*4</f>
        <v>9.5728079701120784E-3</v>
      </c>
      <c r="AB6" s="116">
        <v>0.17</v>
      </c>
      <c r="AC6" s="121">
        <f t="shared" ref="AC6:AC29" si="7">$M6*AB6*4</f>
        <v>9.5728079701120784E-3</v>
      </c>
      <c r="AD6" s="116">
        <v>0.33</v>
      </c>
      <c r="AE6" s="121">
        <f t="shared" ref="AE6:AE29" si="8">$M6*AD6*4</f>
        <v>1.8582509589041094E-2</v>
      </c>
      <c r="AF6" s="122">
        <f>1-SUM(Z6,AB6,AD6)</f>
        <v>0.32999999999999996</v>
      </c>
      <c r="AG6" s="121">
        <f>$M6*AF6*4</f>
        <v>1.8582509589041091E-2</v>
      </c>
      <c r="AH6" s="123">
        <f>SUM(Z6,AB6,AD6,AF6)</f>
        <v>1</v>
      </c>
      <c r="AI6" s="183">
        <f>SUM(AA6,AC6,AE6,AG6)/4</f>
        <v>1.4077658779576585E-2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1.3085801292029887E-2</v>
      </c>
      <c r="J7" s="24">
        <f t="shared" si="3"/>
        <v>1.3085801292029887E-2</v>
      </c>
      <c r="K7" s="22">
        <f t="shared" si="4"/>
        <v>2.6171602584059775E-2</v>
      </c>
      <c r="L7" s="22">
        <f t="shared" si="5"/>
        <v>1.3085801292029887E-2</v>
      </c>
      <c r="M7" s="223">
        <f t="shared" si="6"/>
        <v>1.3085801292029887E-2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6272.8205252183834</v>
      </c>
      <c r="T7" s="221">
        <f>IF($B$81=0,0,(SUMIF($N$6:$N$28,$U7,M$6:M$28)+SUMIF($N$91:$N$118,$U7,M$91:M$118))*$I$83*Poor!$B$81/$B$81)</f>
        <v>6168.0332868256583</v>
      </c>
      <c r="U7" s="222">
        <v>1</v>
      </c>
      <c r="V7" s="56"/>
      <c r="W7" s="115"/>
      <c r="X7" s="124">
        <v>4</v>
      </c>
      <c r="Y7" s="183">
        <f t="shared" ref="Y7:Y29" si="9">M7*4</f>
        <v>5.234320516811955E-2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5.234320516811955E-2</v>
      </c>
      <c r="AH7" s="123">
        <f t="shared" ref="AH7:AH30" si="12">SUM(Z7,AB7,AD7,AF7)</f>
        <v>1</v>
      </c>
      <c r="AI7" s="183">
        <f t="shared" ref="AI7:AI30" si="13">SUM(AA7,AC7,AE7,AG7)/4</f>
        <v>1.3085801292029887E-2</v>
      </c>
      <c r="AJ7" s="120">
        <f t="shared" ref="AJ7:AJ31" si="14">(AA7+AC7)/2</f>
        <v>0</v>
      </c>
      <c r="AK7" s="119">
        <f t="shared" ref="AK7:AK31" si="15">(AE7+AG7)/2</f>
        <v>2.6171602584059775E-2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1714.9999999999995</v>
      </c>
      <c r="T8" s="221">
        <f>IF($B$81=0,0,(SUMIF($N$6:$N$28,$U8,M$6:M$28)+SUMIF($N$91:$N$118,$U8,M$91:M$118))*$I$83*Poor!$B$81/$B$81)</f>
        <v>1760.4951448600741</v>
      </c>
      <c r="U8" s="222">
        <v>2</v>
      </c>
      <c r="V8" s="184"/>
      <c r="W8" s="115"/>
      <c r="X8" s="124">
        <v>1</v>
      </c>
      <c r="Y8" s="183">
        <f t="shared" si="9"/>
        <v>0.10666666666666666</v>
      </c>
      <c r="Z8" s="125">
        <f>IF($Y8=0,0,AA8/$Y8)</f>
        <v>0.41651378853823051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4.442813744407792E-2</v>
      </c>
      <c r="AB8" s="125">
        <f>IF($Y8=0,0,AC8/$Y8)</f>
        <v>0.41051803196095948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4.3788590075835673E-2</v>
      </c>
      <c r="AD8" s="125">
        <f>IF($Y8=0,0,AE8/$Y8)</f>
        <v>0.17296817950081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1.8449939146753067E-2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4.4108363759956797E-2</v>
      </c>
      <c r="AK8" s="119">
        <f t="shared" si="15"/>
        <v>9.2249695733765333E-3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0.22241747696917807</v>
      </c>
      <c r="J9" s="24">
        <f t="shared" si="3"/>
        <v>0.22241747696917807</v>
      </c>
      <c r="K9" s="22">
        <f t="shared" si="4"/>
        <v>0.20405273116438355</v>
      </c>
      <c r="L9" s="22">
        <f t="shared" si="5"/>
        <v>0.22241747696917807</v>
      </c>
      <c r="M9" s="223">
        <f t="shared" si="6"/>
        <v>0.22241747696917807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464.2278771393137</v>
      </c>
      <c r="T9" s="221">
        <f>IF($B$81=0,0,(SUMIF($N$6:$N$28,$U9,M$6:M$28)+SUMIF($N$91:$N$118,$U9,M$91:M$118))*$I$83*Poor!$B$81/$B$81)</f>
        <v>464.2278771393137</v>
      </c>
      <c r="U9" s="222">
        <v>3</v>
      </c>
      <c r="V9" s="56"/>
      <c r="W9" s="115"/>
      <c r="X9" s="124">
        <v>1</v>
      </c>
      <c r="Y9" s="183">
        <f t="shared" si="9"/>
        <v>0.8896699078767123</v>
      </c>
      <c r="Z9" s="125">
        <f>IF($Y9=0,0,AA9/$Y9)</f>
        <v>0.41651378853823057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0.370559783878188</v>
      </c>
      <c r="AB9" s="125">
        <f>IF($Y9=0,0,AC9/$Y9)</f>
        <v>0.41051803196095948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0.36522553967643606</v>
      </c>
      <c r="AD9" s="125">
        <f>IF($Y9=0,0,AE9/$Y9)</f>
        <v>0.17296817950080998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0.15388458432208824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0.22241747696917807</v>
      </c>
      <c r="AJ9" s="120">
        <f t="shared" si="14"/>
        <v>0.36789266177731206</v>
      </c>
      <c r="AK9" s="119">
        <f t="shared" si="15"/>
        <v>7.6942292161044118E-2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1</v>
      </c>
      <c r="H11" s="24">
        <f t="shared" si="1"/>
        <v>1</v>
      </c>
      <c r="I11" s="22">
        <f t="shared" si="2"/>
        <v>4.087409122042341E-2</v>
      </c>
      <c r="J11" s="24">
        <f t="shared" si="3"/>
        <v>4.087409122042341E-2</v>
      </c>
      <c r="K11" s="22">
        <f t="shared" si="4"/>
        <v>4.087409122042341E-2</v>
      </c>
      <c r="L11" s="22">
        <f t="shared" si="5"/>
        <v>4.087409122042341E-2</v>
      </c>
      <c r="M11" s="223">
        <f t="shared" si="6"/>
        <v>4.087409122042341E-2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4015.5399999999995</v>
      </c>
      <c r="T11" s="221">
        <f>IF($B$81=0,0,(SUMIF($N$6:$N$28,$U11,M$6:M$28)+SUMIF($N$91:$N$118,$U11,M$91:M$118))*$I$83*Poor!$B$81/$B$81)</f>
        <v>4015.5399999999995</v>
      </c>
      <c r="U11" s="222">
        <v>5</v>
      </c>
      <c r="V11" s="56"/>
      <c r="W11" s="115"/>
      <c r="X11" s="124">
        <v>1</v>
      </c>
      <c r="Y11" s="183">
        <f t="shared" si="9"/>
        <v>0.16349636488169364</v>
      </c>
      <c r="Z11" s="125">
        <f>IF($Y11=0,0,AA11/$Y11)</f>
        <v>0.41651378853823051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6.8098490349103119E-2</v>
      </c>
      <c r="AB11" s="125">
        <f>IF($Y11=0,0,AC11/$Y11)</f>
        <v>0.41051803196095948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6.7118205944003806E-2</v>
      </c>
      <c r="AD11" s="125">
        <f>IF($Y11=0,0,AE11/$Y11)</f>
        <v>0.17296817950081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2.8279668588586715E-2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4.087409122042341E-2</v>
      </c>
      <c r="AJ11" s="120">
        <f t="shared" si="14"/>
        <v>6.7608348146553462E-2</v>
      </c>
      <c r="AK11" s="119">
        <f t="shared" si="15"/>
        <v>1.4139834294293357E-2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1</v>
      </c>
      <c r="H12" s="24">
        <f t="shared" si="1"/>
        <v>1</v>
      </c>
      <c r="I12" s="22">
        <f t="shared" si="2"/>
        <v>7.4950498132004975E-4</v>
      </c>
      <c r="J12" s="24">
        <f t="shared" si="3"/>
        <v>7.4950498132004975E-4</v>
      </c>
      <c r="K12" s="22">
        <f t="shared" si="4"/>
        <v>7.4950498132004975E-4</v>
      </c>
      <c r="L12" s="22">
        <f t="shared" si="5"/>
        <v>7.4950498132004975E-4</v>
      </c>
      <c r="M12" s="223">
        <f t="shared" si="6"/>
        <v>7.4950498132004975E-4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2.998019925280199E-3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2.0086733499377336E-3</v>
      </c>
      <c r="AF12" s="122">
        <f>1-SUM(Z12,AB12,AD12)</f>
        <v>0.32999999999999996</v>
      </c>
      <c r="AG12" s="121">
        <f>$M12*AF12*4</f>
        <v>9.8934657534246562E-4</v>
      </c>
      <c r="AH12" s="123">
        <f t="shared" si="12"/>
        <v>1</v>
      </c>
      <c r="AI12" s="183">
        <f t="shared" si="13"/>
        <v>7.4950498132004975E-4</v>
      </c>
      <c r="AJ12" s="120">
        <f t="shared" si="14"/>
        <v>0</v>
      </c>
      <c r="AK12" s="119">
        <f t="shared" si="15"/>
        <v>1.4990099626400995E-3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1</v>
      </c>
      <c r="H13" s="24">
        <f t="shared" si="1"/>
        <v>1</v>
      </c>
      <c r="I13" s="22">
        <f t="shared" si="2"/>
        <v>1.3808814601494395E-2</v>
      </c>
      <c r="J13" s="24">
        <f t="shared" si="3"/>
        <v>1.3808814601494395E-2</v>
      </c>
      <c r="K13" s="22">
        <f t="shared" si="4"/>
        <v>1.3808814601494395E-2</v>
      </c>
      <c r="L13" s="22">
        <f t="shared" si="5"/>
        <v>1.3808814601494395E-2</v>
      </c>
      <c r="M13" s="224">
        <f t="shared" si="6"/>
        <v>1.3808814601494395E-2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3496.5000000000005</v>
      </c>
      <c r="T13" s="221">
        <f>IF($B$81=0,0,(SUMIF($N$6:$N$28,$U13,M$6:M$28)+SUMIF($N$91:$N$118,$U13,M$91:M$118))*$I$83*Poor!$B$81/$B$81)</f>
        <v>3496.5000000000005</v>
      </c>
      <c r="U13" s="222">
        <v>7</v>
      </c>
      <c r="V13" s="56"/>
      <c r="W13" s="110"/>
      <c r="X13" s="118"/>
      <c r="Y13" s="183">
        <f t="shared" si="9"/>
        <v>5.523525840597758E-2</v>
      </c>
      <c r="Z13" s="116">
        <v>1</v>
      </c>
      <c r="AA13" s="121">
        <f>$M13*Z13*4</f>
        <v>5.523525840597758E-2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1.3808814601494395E-2</v>
      </c>
      <c r="AJ13" s="120">
        <f t="shared" si="14"/>
        <v>2.761762920298879E-2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1</v>
      </c>
      <c r="F14" s="22"/>
      <c r="H14" s="24">
        <f t="shared" si="1"/>
        <v>1</v>
      </c>
      <c r="I14" s="22">
        <f t="shared" si="2"/>
        <v>1.5407456413449564E-2</v>
      </c>
      <c r="J14" s="24">
        <f>IF(I$32&lt;=1+I131,I14,B14*H14+J$33*(I14-B14*H14))</f>
        <v>1.5407456413449564E-2</v>
      </c>
      <c r="K14" s="22">
        <f t="shared" si="4"/>
        <v>1.5407456413449564E-2</v>
      </c>
      <c r="L14" s="22">
        <f t="shared" si="5"/>
        <v>1.5407456413449564E-2</v>
      </c>
      <c r="M14" s="224">
        <f t="shared" si="6"/>
        <v>1.5407456413449564E-2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6.1629825653798258E-2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6.1629825653798258E-2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1.5407456413449564E-2</v>
      </c>
      <c r="AJ14" s="120">
        <f t="shared" si="14"/>
        <v>3.0814912826899129E-2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1</v>
      </c>
      <c r="F15" s="22"/>
      <c r="H15" s="24">
        <f t="shared" si="1"/>
        <v>1</v>
      </c>
      <c r="I15" s="22">
        <f t="shared" si="2"/>
        <v>0.23584966531755913</v>
      </c>
      <c r="J15" s="24">
        <f>IF(I$32&lt;=1+I131,I15,B15*H15+J$33*(I15-B15*H15))</f>
        <v>4.1038496098470441E-2</v>
      </c>
      <c r="K15" s="22">
        <f t="shared" si="4"/>
        <v>4.7169933063511839E-2</v>
      </c>
      <c r="L15" s="22">
        <f t="shared" si="5"/>
        <v>4.7169933063511839E-2</v>
      </c>
      <c r="M15" s="225">
        <f t="shared" si="6"/>
        <v>4.1038496098470441E-2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0.16415398439388176</v>
      </c>
      <c r="Z15" s="116">
        <v>0.25</v>
      </c>
      <c r="AA15" s="121">
        <f t="shared" si="16"/>
        <v>4.1038496098470441E-2</v>
      </c>
      <c r="AB15" s="116">
        <v>0.25</v>
      </c>
      <c r="AC15" s="121">
        <f t="shared" si="7"/>
        <v>4.1038496098470441E-2</v>
      </c>
      <c r="AD15" s="116">
        <v>0.25</v>
      </c>
      <c r="AE15" s="121">
        <f t="shared" si="8"/>
        <v>4.1038496098470441E-2</v>
      </c>
      <c r="AF15" s="122">
        <f t="shared" si="10"/>
        <v>0.25</v>
      </c>
      <c r="AG15" s="121">
        <f t="shared" si="11"/>
        <v>4.1038496098470441E-2</v>
      </c>
      <c r="AH15" s="123">
        <f t="shared" si="12"/>
        <v>1</v>
      </c>
      <c r="AI15" s="183">
        <f t="shared" si="13"/>
        <v>4.1038496098470441E-2</v>
      </c>
      <c r="AJ15" s="120">
        <f t="shared" si="14"/>
        <v>4.1038496098470441E-2</v>
      </c>
      <c r="AK15" s="119">
        <f t="shared" si="15"/>
        <v>4.1038496098470441E-2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1</v>
      </c>
      <c r="F16" s="22"/>
      <c r="H16" s="24">
        <f t="shared" si="1"/>
        <v>1</v>
      </c>
      <c r="I16" s="22">
        <f t="shared" si="2"/>
        <v>1.1383094645080946E-3</v>
      </c>
      <c r="J16" s="24">
        <f>IF(I$32&lt;=1+I131,I16,B16*H16+J$33*(I16-B16*H16))</f>
        <v>1.1383094645080946E-3</v>
      </c>
      <c r="K16" s="22">
        <f t="shared" si="4"/>
        <v>1.1383094645080946E-3</v>
      </c>
      <c r="L16" s="22">
        <f t="shared" si="5"/>
        <v>1.1383094645080946E-3</v>
      </c>
      <c r="M16" s="223">
        <f t="shared" si="6"/>
        <v>1.1383094645080946E-3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2098.2734648650744</v>
      </c>
      <c r="U16" s="222">
        <v>10</v>
      </c>
      <c r="V16" s="56"/>
      <c r="W16" s="110"/>
      <c r="X16" s="118"/>
      <c r="Y16" s="183">
        <f t="shared" si="9"/>
        <v>4.5532378580323786E-3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4.5532378580323786E-3</v>
      </c>
      <c r="AH16" s="123">
        <f t="shared" si="12"/>
        <v>1</v>
      </c>
      <c r="AI16" s="183">
        <f t="shared" si="13"/>
        <v>1.1383094645080946E-3</v>
      </c>
      <c r="AJ16" s="120">
        <f t="shared" si="14"/>
        <v>0</v>
      </c>
      <c r="AK16" s="119">
        <f t="shared" si="15"/>
        <v>2.2766189290161893E-3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1</v>
      </c>
      <c r="F17" s="22"/>
      <c r="H17" s="24">
        <f t="shared" si="1"/>
        <v>1</v>
      </c>
      <c r="I17" s="22">
        <f t="shared" si="2"/>
        <v>-2.7536161270236611E-3</v>
      </c>
      <c r="J17" s="24">
        <f t="shared" ref="J17:J25" si="17">IF(I$32&lt;=1+I131,I17,B17*H17+J$33*(I17-B17*H17))</f>
        <v>-2.7536161270236611E-3</v>
      </c>
      <c r="K17" s="22">
        <f t="shared" si="4"/>
        <v>-2.7536161270236611E-3</v>
      </c>
      <c r="L17" s="22">
        <f t="shared" si="5"/>
        <v>-2.7536161270236611E-3</v>
      </c>
      <c r="M17" s="224">
        <f t="shared" si="6"/>
        <v>-2.7536161270236611E-3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-1.1014464508094644E-2</v>
      </c>
      <c r="Z17" s="116">
        <v>0.29409999999999997</v>
      </c>
      <c r="AA17" s="121">
        <f t="shared" si="16"/>
        <v>-3.2393540118306344E-3</v>
      </c>
      <c r="AB17" s="116">
        <v>0.17649999999999999</v>
      </c>
      <c r="AC17" s="121">
        <f t="shared" si="7"/>
        <v>-1.9440529856787046E-3</v>
      </c>
      <c r="AD17" s="116">
        <v>0.23530000000000001</v>
      </c>
      <c r="AE17" s="121">
        <f t="shared" si="8"/>
        <v>-2.5917034987546698E-3</v>
      </c>
      <c r="AF17" s="122">
        <f t="shared" si="10"/>
        <v>0.29410000000000003</v>
      </c>
      <c r="AG17" s="121">
        <f t="shared" si="11"/>
        <v>-3.2393540118306353E-3</v>
      </c>
      <c r="AH17" s="123">
        <f t="shared" si="12"/>
        <v>1</v>
      </c>
      <c r="AI17" s="183">
        <f t="shared" si="13"/>
        <v>-2.7536161270236611E-3</v>
      </c>
      <c r="AJ17" s="120">
        <f t="shared" si="14"/>
        <v>-2.5917034987546694E-3</v>
      </c>
      <c r="AK17" s="119">
        <f t="shared" si="15"/>
        <v>-2.9155287552926528E-3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1.5641843088418431E-3</v>
      </c>
      <c r="J18" s="24">
        <f t="shared" si="17"/>
        <v>1.5641843088418431E-3</v>
      </c>
      <c r="K18" s="22">
        <f t="shared" ref="K18:K20" si="21">B18</f>
        <v>1.5641843088418431E-3</v>
      </c>
      <c r="L18" s="22">
        <f t="shared" ref="L18:L20" si="22">IF(K18="","",K18*H18)</f>
        <v>1.5641843088418431E-3</v>
      </c>
      <c r="M18" s="224">
        <f t="shared" ref="M18:M20" si="23">J18</f>
        <v>1.5641843088418431E-3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6.2567372353673724E-3</v>
      </c>
      <c r="Z18" s="116">
        <v>1.2941</v>
      </c>
      <c r="AA18" s="121">
        <f t="shared" ref="AA18:AA20" si="25">$M18*Z18*4</f>
        <v>8.0968436562889167E-3</v>
      </c>
      <c r="AB18" s="116">
        <v>1.1765000000000001</v>
      </c>
      <c r="AC18" s="121">
        <f t="shared" ref="AC18:AC20" si="26">$M18*AB18*4</f>
        <v>7.3610513574097142E-3</v>
      </c>
      <c r="AD18" s="116">
        <v>1.2353000000000001</v>
      </c>
      <c r="AE18" s="121">
        <f t="shared" ref="AE18:AE20" si="27">$M18*AD18*4</f>
        <v>7.7289475068493159E-3</v>
      </c>
      <c r="AF18" s="122">
        <f t="shared" ref="AF18:AF20" si="28">1-SUM(Z18,AB18,AD18)</f>
        <v>-2.7059000000000002</v>
      </c>
      <c r="AG18" s="121">
        <f t="shared" ref="AG18:AG20" si="29">$M18*AF18*4</f>
        <v>-1.6930105285180574E-2</v>
      </c>
      <c r="AH18" s="123">
        <f t="shared" ref="AH18:AH20" si="30">SUM(Z18,AB18,AD18,AF18)</f>
        <v>1</v>
      </c>
      <c r="AI18" s="183">
        <f t="shared" ref="AI18:AI20" si="31">SUM(AA18,AC18,AE18,AG18)/4</f>
        <v>1.5641843088418433E-3</v>
      </c>
      <c r="AJ18" s="120">
        <f t="shared" ref="AJ18:AJ20" si="32">(AA18+AC18)/2</f>
        <v>7.7289475068493159E-3</v>
      </c>
      <c r="AK18" s="119">
        <f t="shared" ref="AK18:AK20" si="33">(AE18+AG18)/2</f>
        <v>-4.6005788891656293E-3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29311.199999999997</v>
      </c>
      <c r="T20" s="221">
        <f>IF($B$81=0,0,(SUMIF($N$6:$N$28,$U20,M$6:M$28)+SUMIF($N$91:$N$118,$U20,M$91:M$118))*$I$83*Poor!$B$81/$B$81)</f>
        <v>29311.199999999997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56590.466964812527</v>
      </c>
      <c r="T23" s="179">
        <f>SUM(T7:T22)</f>
        <v>56517.448336144953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5.1327191475599276E-2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5.1327191475599276E-2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0.20530876590239711</v>
      </c>
      <c r="Z27" s="116">
        <v>0.25</v>
      </c>
      <c r="AA27" s="121">
        <f t="shared" si="16"/>
        <v>5.1327191475599276E-2</v>
      </c>
      <c r="AB27" s="116">
        <v>0.25</v>
      </c>
      <c r="AC27" s="121">
        <f t="shared" si="7"/>
        <v>5.1327191475599276E-2</v>
      </c>
      <c r="AD27" s="116">
        <v>0.25</v>
      </c>
      <c r="AE27" s="121">
        <f t="shared" si="8"/>
        <v>5.1327191475599276E-2</v>
      </c>
      <c r="AF27" s="122">
        <f t="shared" si="10"/>
        <v>0.25</v>
      </c>
      <c r="AG27" s="121">
        <f t="shared" si="11"/>
        <v>5.1327191475599276E-2</v>
      </c>
      <c r="AH27" s="123">
        <f t="shared" si="12"/>
        <v>1</v>
      </c>
      <c r="AI27" s="183">
        <f t="shared" si="13"/>
        <v>5.1327191475599276E-2</v>
      </c>
      <c r="AJ27" s="120">
        <f t="shared" si="14"/>
        <v>5.1327191475599276E-2</v>
      </c>
      <c r="AK27" s="119">
        <f t="shared" si="15"/>
        <v>5.1327191475599276E-2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0.2060728209244895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0.2060728209244895</v>
      </c>
      <c r="N29" s="228"/>
      <c r="P29" s="22"/>
      <c r="V29" s="56"/>
      <c r="W29" s="110"/>
      <c r="X29" s="118"/>
      <c r="Y29" s="183">
        <f t="shared" si="9"/>
        <v>0.82429128369795801</v>
      </c>
      <c r="Z29" s="116">
        <v>0.25</v>
      </c>
      <c r="AA29" s="121">
        <f t="shared" si="16"/>
        <v>0.2060728209244895</v>
      </c>
      <c r="AB29" s="116">
        <v>0.25</v>
      </c>
      <c r="AC29" s="121">
        <f t="shared" si="7"/>
        <v>0.2060728209244895</v>
      </c>
      <c r="AD29" s="116">
        <v>0.25</v>
      </c>
      <c r="AE29" s="121">
        <f t="shared" si="8"/>
        <v>0.2060728209244895</v>
      </c>
      <c r="AF29" s="122">
        <f t="shared" si="10"/>
        <v>0.25</v>
      </c>
      <c r="AG29" s="121">
        <f t="shared" si="11"/>
        <v>0.2060728209244895</v>
      </c>
      <c r="AH29" s="123">
        <f t="shared" si="12"/>
        <v>1</v>
      </c>
      <c r="AI29" s="183">
        <f t="shared" si="13"/>
        <v>0.2060728209244895</v>
      </c>
      <c r="AJ29" s="120">
        <f t="shared" si="14"/>
        <v>0.2060728209244895</v>
      </c>
      <c r="AK29" s="119">
        <f t="shared" si="15"/>
        <v>0.2060728209244895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1.7641514302362853</v>
      </c>
      <c r="J30" s="230">
        <f>IF(I$32&lt;=1,I30,1-SUM(J6:J29))</f>
        <v>0.20571561912145209</v>
      </c>
      <c r="K30" s="22">
        <f t="shared" si="4"/>
        <v>0.56576416102117066</v>
      </c>
      <c r="L30" s="22">
        <f>IF(L124=L119,0,IF(K30="",0,(L119-L124)/(B119-B124)*K30))</f>
        <v>0.34972431824582229</v>
      </c>
      <c r="M30" s="175">
        <f t="shared" si="6"/>
        <v>0.20571561912145209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0.82286247648580835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0.39667545673173604</v>
      </c>
      <c r="AE30" s="187">
        <f>IF(AE79*4/$I$83+SUM(AE6:AE29)&lt;1,AE79*4/$I$83,1-SUM(AE6:AE29))</f>
        <v>0.32640934868741545</v>
      </c>
      <c r="AF30" s="122">
        <f>IF($Y30=0,0,AG30/($Y$30))</f>
        <v>0.60332454326826368</v>
      </c>
      <c r="AG30" s="187">
        <f>IF(AG79*4/$I$83+SUM(AG6:AG29)&lt;1,AG79*4/$I$83,1-SUM(AG6:AG29))</f>
        <v>0.49645312779839268</v>
      </c>
      <c r="AH30" s="123">
        <f t="shared" si="12"/>
        <v>0.99999999999999978</v>
      </c>
      <c r="AI30" s="183">
        <f t="shared" si="13"/>
        <v>0.20571561912145203</v>
      </c>
      <c r="AJ30" s="120">
        <f t="shared" si="14"/>
        <v>0</v>
      </c>
      <c r="AK30" s="119">
        <f t="shared" si="15"/>
        <v>0.41143123824290406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-0.14910895429330795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2.7204837418758303</v>
      </c>
      <c r="J32" s="17"/>
      <c r="L32" s="22">
        <f>SUM(L6:L30)</f>
        <v>1.1491089542933079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22076.371145962024</v>
      </c>
      <c r="T32" s="233">
        <f t="shared" si="50"/>
        <v>22149.389774629599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-3.2496532042910378E-2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3304</v>
      </c>
      <c r="J37" s="38">
        <f t="shared" ref="J37:J49" si="53">J91*I$83</f>
        <v>3303.9999999999995</v>
      </c>
      <c r="K37" s="40">
        <f t="shared" ref="K37:K49" si="54">(B37/B$65)</f>
        <v>8.3178858310756221E-2</v>
      </c>
      <c r="L37" s="22">
        <f t="shared" ref="L37:L49" si="55">(K37*H37)</f>
        <v>7.852084224535387E-2</v>
      </c>
      <c r="M37" s="24">
        <f t="shared" ref="M37:M49" si="56">J37/B$65</f>
        <v>7.8520842245353856E-2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3303.9999999999995</v>
      </c>
      <c r="AH37" s="123">
        <f>SUM(Z37,AB37,AD37,AF37)</f>
        <v>1</v>
      </c>
      <c r="AI37" s="112">
        <f>SUM(AA37,AC37,AE37,AG37)</f>
        <v>3303.9999999999995</v>
      </c>
      <c r="AJ37" s="148">
        <f>(AA37+AC37)</f>
        <v>0</v>
      </c>
      <c r="AK37" s="147">
        <f>(AE37+AG37)</f>
        <v>3303.9999999999995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566.39999999999986</v>
      </c>
      <c r="K38" s="40">
        <f t="shared" si="54"/>
        <v>1.4259232853272494E-2</v>
      </c>
      <c r="L38" s="22">
        <f t="shared" si="55"/>
        <v>1.3460715813489234E-2</v>
      </c>
      <c r="M38" s="24">
        <f t="shared" si="56"/>
        <v>1.3460715813489231E-2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566.39999999999986</v>
      </c>
      <c r="AH38" s="123">
        <f t="shared" ref="AH38:AI58" si="61">SUM(Z38,AB38,AD38,AF38)</f>
        <v>1</v>
      </c>
      <c r="AI38" s="112">
        <f t="shared" si="61"/>
        <v>566.39999999999986</v>
      </c>
      <c r="AJ38" s="148">
        <f t="shared" ref="AJ38:AJ64" si="62">(AA38+AC38)</f>
        <v>0</v>
      </c>
      <c r="AK38" s="147">
        <f t="shared" ref="AK38:AK64" si="63">(AE38+AG38)</f>
        <v>566.39999999999986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0.41651378853823051</v>
      </c>
      <c r="AA39" s="147">
        <f t="shared" ref="AA39:AA64" si="64">$J39*Z39</f>
        <v>60.452811268438772</v>
      </c>
      <c r="AB39" s="122">
        <f>AB8</f>
        <v>0.41051803196095948</v>
      </c>
      <c r="AC39" s="147">
        <f t="shared" ref="AC39:AC64" si="65">$J39*AB39</f>
        <v>59.582587158813652</v>
      </c>
      <c r="AD39" s="122">
        <f>AD8</f>
        <v>0.17296817950081</v>
      </c>
      <c r="AE39" s="147">
        <f t="shared" ref="AE39:AE64" si="66">$J39*AD39</f>
        <v>25.104601572747562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120.03539842725243</v>
      </c>
      <c r="AK39" s="147">
        <f t="shared" si="63"/>
        <v>25.104601572747562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0.41651378853823057</v>
      </c>
      <c r="AA40" s="147">
        <f t="shared" si="64"/>
        <v>0</v>
      </c>
      <c r="AB40" s="122">
        <f>AB9</f>
        <v>0.41051803196095948</v>
      </c>
      <c r="AC40" s="147">
        <f t="shared" si="65"/>
        <v>0</v>
      </c>
      <c r="AD40" s="122">
        <f>AD9</f>
        <v>0.17296817950080998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0.41651378853823051</v>
      </c>
      <c r="AA41" s="147">
        <f t="shared" si="64"/>
        <v>0</v>
      </c>
      <c r="AB41" s="122">
        <f>AB11</f>
        <v>0.41051803196095948</v>
      </c>
      <c r="AC41" s="147">
        <f t="shared" si="65"/>
        <v>0</v>
      </c>
      <c r="AD41" s="122">
        <f>AD11</f>
        <v>0.17296817950081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48" si="67">E13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1445.4951448600743</v>
      </c>
      <c r="K45" s="40">
        <f t="shared" si="54"/>
        <v>2.376538808878749E-2</v>
      </c>
      <c r="L45" s="22">
        <f t="shared" si="55"/>
        <v>3.3271543324302481E-2</v>
      </c>
      <c r="M45" s="24">
        <f t="shared" si="56"/>
        <v>3.4352753098057756E-2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361.37378621501858</v>
      </c>
      <c r="AB45" s="116">
        <v>0.25</v>
      </c>
      <c r="AC45" s="147">
        <f t="shared" si="65"/>
        <v>361.37378621501858</v>
      </c>
      <c r="AD45" s="116">
        <v>0.25</v>
      </c>
      <c r="AE45" s="147">
        <f t="shared" si="66"/>
        <v>361.37378621501858</v>
      </c>
      <c r="AF45" s="122">
        <f t="shared" si="57"/>
        <v>0.25</v>
      </c>
      <c r="AG45" s="147">
        <f t="shared" si="60"/>
        <v>361.37378621501858</v>
      </c>
      <c r="AH45" s="123">
        <f t="shared" si="61"/>
        <v>1</v>
      </c>
      <c r="AI45" s="112">
        <f t="shared" si="61"/>
        <v>1445.4951448600743</v>
      </c>
      <c r="AJ45" s="148">
        <f t="shared" si="62"/>
        <v>722.74757243003717</v>
      </c>
      <c r="AK45" s="147">
        <f t="shared" si="63"/>
        <v>722.74757243003717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8"/>
        <v>225</v>
      </c>
      <c r="E50" s="26"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315</v>
      </c>
      <c r="J50" s="38">
        <f t="shared" ref="J50:J64" si="71">J104*I$83</f>
        <v>314.99999999999994</v>
      </c>
      <c r="K50" s="40">
        <f t="shared" ref="K50:K64" si="72">(B50/B$65)</f>
        <v>5.347212319977185E-3</v>
      </c>
      <c r="L50" s="22">
        <f t="shared" ref="L50:L64" si="73">(K50*H50)</f>
        <v>7.4860972479680581E-3</v>
      </c>
      <c r="M50" s="24">
        <f t="shared" ref="M50:M64" si="74">J50/B$65</f>
        <v>7.4860972479680581E-3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9"/>
        <v>1.18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8"/>
        <v>3150</v>
      </c>
      <c r="E54" s="26">
        <v>1</v>
      </c>
      <c r="F54" s="26">
        <v>1.1100000000000001</v>
      </c>
      <c r="G54" s="22">
        <f t="shared" si="59"/>
        <v>1.65</v>
      </c>
      <c r="H54" s="24">
        <f t="shared" si="69"/>
        <v>1.1100000000000001</v>
      </c>
      <c r="I54" s="39">
        <f t="shared" si="70"/>
        <v>3496.5000000000005</v>
      </c>
      <c r="J54" s="38">
        <f t="shared" si="71"/>
        <v>3496.5000000000005</v>
      </c>
      <c r="K54" s="40">
        <f t="shared" si="72"/>
        <v>7.4860972479680599E-2</v>
      </c>
      <c r="L54" s="22">
        <f t="shared" si="73"/>
        <v>8.3095679452445476E-2</v>
      </c>
      <c r="M54" s="24">
        <f t="shared" si="74"/>
        <v>8.3095679452445476E-2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0.8</v>
      </c>
      <c r="F57" s="26">
        <v>1.18</v>
      </c>
      <c r="G57" s="22">
        <f t="shared" si="59"/>
        <v>1.65</v>
      </c>
      <c r="H57" s="24">
        <f t="shared" si="69"/>
        <v>0.94399999999999995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8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9"/>
        <v>0.8</v>
      </c>
      <c r="I58" s="39">
        <f t="shared" si="70"/>
        <v>2534.4</v>
      </c>
      <c r="J58" s="38">
        <f t="shared" si="71"/>
        <v>2098.2734648650744</v>
      </c>
      <c r="K58" s="40">
        <f t="shared" si="72"/>
        <v>6.274062455439898E-2</v>
      </c>
      <c r="L58" s="22">
        <f t="shared" si="73"/>
        <v>5.0192499643519184E-2</v>
      </c>
      <c r="M58" s="24">
        <f t="shared" si="74"/>
        <v>4.9866283208923293E-2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524.5683662162686</v>
      </c>
      <c r="AB58" s="116">
        <v>0.25</v>
      </c>
      <c r="AC58" s="147">
        <f t="shared" si="65"/>
        <v>524.5683662162686</v>
      </c>
      <c r="AD58" s="116">
        <v>0.25</v>
      </c>
      <c r="AE58" s="147">
        <f t="shared" si="66"/>
        <v>524.5683662162686</v>
      </c>
      <c r="AF58" s="122">
        <f t="shared" si="57"/>
        <v>0.25</v>
      </c>
      <c r="AG58" s="147">
        <f t="shared" si="60"/>
        <v>524.5683662162686</v>
      </c>
      <c r="AH58" s="123">
        <f t="shared" si="61"/>
        <v>1</v>
      </c>
      <c r="AI58" s="112">
        <f t="shared" si="61"/>
        <v>2098.2734648650744</v>
      </c>
      <c r="AJ58" s="148">
        <f t="shared" si="62"/>
        <v>1049.1367324325372</v>
      </c>
      <c r="AK58" s="147">
        <f t="shared" si="63"/>
        <v>1049.1367324325372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9"/>
        <v>0.94399999999999995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8"/>
        <v>24840</v>
      </c>
      <c r="E60" s="26">
        <v>1</v>
      </c>
      <c r="F60" s="26">
        <v>1.18</v>
      </c>
      <c r="G60" s="22">
        <f t="shared" si="59"/>
        <v>1.65</v>
      </c>
      <c r="H60" s="24">
        <f t="shared" si="69"/>
        <v>1.18</v>
      </c>
      <c r="I60" s="39">
        <f t="shared" si="70"/>
        <v>29311.199999999997</v>
      </c>
      <c r="J60" s="38">
        <f t="shared" si="71"/>
        <v>29311.199999999997</v>
      </c>
      <c r="K60" s="40">
        <f t="shared" si="72"/>
        <v>0.59033224012548124</v>
      </c>
      <c r="L60" s="22">
        <f t="shared" si="73"/>
        <v>0.69659204334806779</v>
      </c>
      <c r="M60" s="24">
        <f t="shared" si="74"/>
        <v>0.69659204334806779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7327.7999999999993</v>
      </c>
      <c r="AB60" s="116">
        <v>0.25</v>
      </c>
      <c r="AC60" s="147">
        <f t="shared" si="65"/>
        <v>7327.7999999999993</v>
      </c>
      <c r="AD60" s="116">
        <v>0.25</v>
      </c>
      <c r="AE60" s="147">
        <f t="shared" si="66"/>
        <v>7327.7999999999993</v>
      </c>
      <c r="AF60" s="122">
        <f t="shared" si="57"/>
        <v>0.25</v>
      </c>
      <c r="AG60" s="147">
        <f t="shared" si="60"/>
        <v>7327.7999999999993</v>
      </c>
      <c r="AH60" s="123">
        <f t="shared" si="75"/>
        <v>1</v>
      </c>
      <c r="AI60" s="112">
        <f t="shared" si="75"/>
        <v>29311.199999999997</v>
      </c>
      <c r="AJ60" s="148">
        <f t="shared" si="62"/>
        <v>14655.599999999999</v>
      </c>
      <c r="AK60" s="147">
        <f t="shared" si="63"/>
        <v>14655.599999999999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8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9"/>
        <v>1.1100000000000001</v>
      </c>
      <c r="I61" s="39">
        <f t="shared" si="70"/>
        <v>6660.0000000000009</v>
      </c>
      <c r="J61" s="38">
        <f t="shared" si="71"/>
        <v>6659.9999999999991</v>
      </c>
      <c r="K61" s="40">
        <f t="shared" si="72"/>
        <v>0.14259232853272494</v>
      </c>
      <c r="L61" s="22">
        <f t="shared" si="73"/>
        <v>0.15827748467132469</v>
      </c>
      <c r="M61" s="24">
        <f t="shared" si="74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5"/>
        <v>1</v>
      </c>
      <c r="AI61" s="112">
        <f t="shared" si="75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46332.639999999999</v>
      </c>
      <c r="J65" s="39">
        <f>SUM(J37:J64)</f>
        <v>47342.008609725148</v>
      </c>
      <c r="K65" s="40">
        <f>SUM(K37:K64)</f>
        <v>1</v>
      </c>
      <c r="L65" s="22">
        <f>SUM(L37:L64)</f>
        <v>1.1243462141736773</v>
      </c>
      <c r="M65" s="24">
        <f>SUM(M37:M64)</f>
        <v>1.1251012075128368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9939.1949636997251</v>
      </c>
      <c r="AB65" s="137"/>
      <c r="AC65" s="153">
        <f>SUM(AC37:AC64)</f>
        <v>9938.3247395900999</v>
      </c>
      <c r="AD65" s="137"/>
      <c r="AE65" s="153">
        <f>SUM(AE37:AE64)</f>
        <v>9903.8467540040347</v>
      </c>
      <c r="AF65" s="137"/>
      <c r="AG65" s="153">
        <f>SUM(AG37:AG64)</f>
        <v>13749.142152431286</v>
      </c>
      <c r="AH65" s="137"/>
      <c r="AI65" s="153">
        <f>SUM(AI37:AI64)</f>
        <v>43530.508609725148</v>
      </c>
      <c r="AJ65" s="153">
        <f>SUM(AJ37:AJ64)</f>
        <v>19877.519703289825</v>
      </c>
      <c r="AK65" s="153">
        <f>SUM(AK37:AK64)</f>
        <v>23652.988906435319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16183.009899417588</v>
      </c>
      <c r="J70" s="51">
        <f t="shared" ref="J70:J77" si="76">J124*I$83</f>
        <v>16183.009899417588</v>
      </c>
      <c r="K70" s="40">
        <f>B70/B$76</f>
        <v>0.2747110790745349</v>
      </c>
      <c r="L70" s="22">
        <f t="shared" ref="L70:L75" si="77">(L124*G$37*F$9/F$7)/B$130</f>
        <v>0.38459551070434889</v>
      </c>
      <c r="M70" s="24">
        <f>J70/B$76</f>
        <v>0.38459551070434878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4045.752474854397</v>
      </c>
      <c r="AB70" s="116">
        <v>0.25</v>
      </c>
      <c r="AC70" s="147">
        <f>$J70*AB70</f>
        <v>4045.752474854397</v>
      </c>
      <c r="AD70" s="116">
        <v>0.25</v>
      </c>
      <c r="AE70" s="147">
        <f>$J70*AD70</f>
        <v>4045.752474854397</v>
      </c>
      <c r="AF70" s="122">
        <f>1-SUM(Z70,AB70,AD70)</f>
        <v>0.25</v>
      </c>
      <c r="AG70" s="147">
        <f>$J70*AF70</f>
        <v>4045.752474854397</v>
      </c>
      <c r="AH70" s="155">
        <f>SUM(Z70,AB70,AD70,AF70)</f>
        <v>1</v>
      </c>
      <c r="AI70" s="147">
        <f>SUM(AA70,AC70,AE70,AG70)</f>
        <v>16183.009899417588</v>
      </c>
      <c r="AJ70" s="148">
        <f>(AA70+AC70)</f>
        <v>8091.5049497087939</v>
      </c>
      <c r="AK70" s="147">
        <f>(AE70+AG70)</f>
        <v>8091.5049497087939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16494.826666666668</v>
      </c>
      <c r="J71" s="51">
        <f t="shared" si="76"/>
        <v>16494.826666666668</v>
      </c>
      <c r="K71" s="40">
        <f t="shared" ref="K71:K72" si="79">B71/B$76</f>
        <v>0.33220843829713076</v>
      </c>
      <c r="L71" s="22">
        <f t="shared" si="77"/>
        <v>0.39200595719061437</v>
      </c>
      <c r="M71" s="24">
        <f t="shared" ref="M71:M72" si="80">J71/B$76</f>
        <v>0.39200595719061426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11148.45921076159</v>
      </c>
      <c r="K72" s="40">
        <f t="shared" si="79"/>
        <v>0.65934692713532017</v>
      </c>
      <c r="L72" s="22">
        <f t="shared" si="77"/>
        <v>0.20570271639082943</v>
      </c>
      <c r="M72" s="24">
        <f t="shared" si="80"/>
        <v>0.26494745973576667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3.3746851086078236E-2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30149.630100582406</v>
      </c>
      <c r="J74" s="51">
        <f t="shared" si="76"/>
        <v>3515.7128328792992</v>
      </c>
      <c r="K74" s="40">
        <f>B74/B$76</f>
        <v>0.13926517420029469</v>
      </c>
      <c r="L74" s="22">
        <f t="shared" si="77"/>
        <v>0.14204202988788478</v>
      </c>
      <c r="M74" s="24">
        <f>J74/B$76</f>
        <v>8.355227988210702E-2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1394.5969937200216</v>
      </c>
      <c r="AF74" s="156"/>
      <c r="AG74" s="147">
        <f>AG30*$I$83/4</f>
        <v>2121.1158391592767</v>
      </c>
      <c r="AH74" s="155"/>
      <c r="AI74" s="147">
        <f>SUM(AA74,AC74,AE74,AG74)</f>
        <v>3515.7128328792983</v>
      </c>
      <c r="AJ74" s="148">
        <f>(AA74+AC74)</f>
        <v>0</v>
      </c>
      <c r="AK74" s="147">
        <f>(AE74+AG74)</f>
        <v>3515.7128328792983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13475.716327262942</v>
      </c>
      <c r="AB75" s="158"/>
      <c r="AC75" s="149">
        <f>AA75+AC65-SUM(AC70,AC74)</f>
        <v>19368.288591998644</v>
      </c>
      <c r="AD75" s="158"/>
      <c r="AE75" s="149">
        <f>AC75+AE65-SUM(AE70,AE74)</f>
        <v>23831.785877428261</v>
      </c>
      <c r="AF75" s="158"/>
      <c r="AG75" s="149">
        <f>IF(SUM(AG6:AG29)+((AG65-AG70-$J$75)*4/I$83)&lt;1,0,AG65-AG70-$J$75-(1-SUM(AG6:AG29))*I$83/4)</f>
        <v>7582.2738384176137</v>
      </c>
      <c r="AH75" s="134"/>
      <c r="AI75" s="149">
        <f>AI76-SUM(AI70,AI74)</f>
        <v>23831.785877428261</v>
      </c>
      <c r="AJ75" s="151">
        <f>AJ76-SUM(AJ70,AJ74)</f>
        <v>11786.014753581032</v>
      </c>
      <c r="AK75" s="149">
        <f>AJ75+AK76-SUM(AK70,AK74)</f>
        <v>23831.785877428258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46332.639999999999</v>
      </c>
      <c r="J76" s="51">
        <f t="shared" si="76"/>
        <v>47342.008609725148</v>
      </c>
      <c r="K76" s="40">
        <f>SUM(K70:K75)</f>
        <v>1.4392784697933587</v>
      </c>
      <c r="L76" s="22">
        <f>SUM(L70:L75)</f>
        <v>1.1243462141736775</v>
      </c>
      <c r="M76" s="24">
        <f>SUM(M70:M75)</f>
        <v>1.1251012075128368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9939.1949636997251</v>
      </c>
      <c r="AB76" s="137"/>
      <c r="AC76" s="153">
        <f>AC65</f>
        <v>9938.3247395900999</v>
      </c>
      <c r="AD76" s="137"/>
      <c r="AE76" s="153">
        <f>AE65</f>
        <v>9903.8467540040347</v>
      </c>
      <c r="AF76" s="137"/>
      <c r="AG76" s="153">
        <f>AG65</f>
        <v>13749.142152431286</v>
      </c>
      <c r="AH76" s="137"/>
      <c r="AI76" s="153">
        <f>SUM(AA76,AC76,AE76,AG76)</f>
        <v>43530.508609725148</v>
      </c>
      <c r="AJ76" s="154">
        <f>SUM(AA76,AC76)</f>
        <v>19877.519703289825</v>
      </c>
      <c r="AK76" s="154">
        <f>SUM(AE76,AG76)</f>
        <v>23652.988906435319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76"/>
        <v>0</v>
      </c>
      <c r="K77" s="40"/>
      <c r="L77" s="22">
        <f>-(L131*G$37*F$9/F$7)/B$130</f>
        <v>-0.186303240799785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7582.2738384176137</v>
      </c>
      <c r="AB78" s="112"/>
      <c r="AC78" s="112">
        <f>IF(AA75&lt;0,0,AA75)</f>
        <v>13475.716327262942</v>
      </c>
      <c r="AD78" s="112"/>
      <c r="AE78" s="112">
        <f>AC75</f>
        <v>19368.288591998644</v>
      </c>
      <c r="AF78" s="112"/>
      <c r="AG78" s="112">
        <f>AE75</f>
        <v>23831.785877428261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13475.716327262942</v>
      </c>
      <c r="AB79" s="112"/>
      <c r="AC79" s="112">
        <f>AA79-AA74+AC65-AC70</f>
        <v>19368.288591998644</v>
      </c>
      <c r="AD79" s="112"/>
      <c r="AE79" s="112">
        <f>AC79-AC74+AE65-AE70</f>
        <v>25226.382871148282</v>
      </c>
      <c r="AF79" s="112"/>
      <c r="AG79" s="112">
        <f>AE79-AE74+AG65-AG70</f>
        <v>33535.175555005153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0.33791374805018726</v>
      </c>
      <c r="C91" s="60">
        <f t="shared" si="82"/>
        <v>0</v>
      </c>
      <c r="D91" s="24">
        <f>SUM(B91,C91)</f>
        <v>0.33791374805018726</v>
      </c>
      <c r="H91" s="24">
        <f>(E37*F37/G37*F$7/F$9)</f>
        <v>0.57212121212121214</v>
      </c>
      <c r="I91" s="22">
        <f t="shared" ref="I91" si="83">(D91*H91)</f>
        <v>0.19332762312689503</v>
      </c>
      <c r="J91" s="24">
        <f>IF(I$32&lt;=1+I$131,I91,L91+J$33*(I91-L91))</f>
        <v>0.19332762312689503</v>
      </c>
      <c r="K91" s="22">
        <f t="shared" ref="K91" si="84">IF(B91="",0,B91)</f>
        <v>0.33791374805018726</v>
      </c>
      <c r="L91" s="22">
        <f t="shared" ref="L91" si="85">(K91*H91)</f>
        <v>0.19332762312689503</v>
      </c>
      <c r="M91" s="226">
        <f t="shared" si="81"/>
        <v>0.19332762312689503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5.7928071094317815E-2</v>
      </c>
      <c r="C92" s="60">
        <f t="shared" si="82"/>
        <v>0</v>
      </c>
      <c r="D92" s="24">
        <f t="shared" ref="D92:D118" si="87">SUM(B92,C92)</f>
        <v>5.7928071094317815E-2</v>
      </c>
      <c r="H92" s="24">
        <f t="shared" ref="H92:H118" si="88">(E38*F38/G38*F$7/F$9)</f>
        <v>0.57212121212121214</v>
      </c>
      <c r="I92" s="22">
        <f t="shared" ref="I92:I118" si="89">(D92*H92)</f>
        <v>3.3141878250324858E-2</v>
      </c>
      <c r="J92" s="24">
        <f t="shared" ref="J92:J118" si="90">IF(I$32&lt;=1+I$131,I92,L92+J$33*(I92-L92))</f>
        <v>3.3141878250324858E-2</v>
      </c>
      <c r="K92" s="22">
        <f t="shared" ref="K92:K118" si="91">IF(B92="",0,B92)</f>
        <v>5.7928071094317815E-2</v>
      </c>
      <c r="L92" s="22">
        <f t="shared" ref="L92:L118" si="92">(K92*H92)</f>
        <v>3.3141878250324858E-2</v>
      </c>
      <c r="M92" s="226">
        <f t="shared" ref="M92:M118" si="93">(J92)</f>
        <v>3.3141878250324858E-2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1.1875254574335152E-2</v>
      </c>
      <c r="C93" s="60">
        <f t="shared" si="82"/>
        <v>0</v>
      </c>
      <c r="D93" s="24">
        <f t="shared" si="87"/>
        <v>1.1875254574335152E-2</v>
      </c>
      <c r="H93" s="24">
        <f t="shared" si="88"/>
        <v>0.7151515151515152</v>
      </c>
      <c r="I93" s="22">
        <f t="shared" si="89"/>
        <v>8.4926063016457463E-3</v>
      </c>
      <c r="J93" s="24">
        <f t="shared" si="90"/>
        <v>8.4926063016457463E-3</v>
      </c>
      <c r="K93" s="22">
        <f t="shared" si="91"/>
        <v>1.1875254574335152E-2</v>
      </c>
      <c r="L93" s="22">
        <f t="shared" si="92"/>
        <v>8.4926063016457463E-3</v>
      </c>
      <c r="M93" s="226">
        <f t="shared" si="93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0.92484848484848492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6">
        <f t="shared" si="93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Sorghum: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6">
        <f t="shared" si="9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6">
        <f t="shared" si="9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6">
        <f t="shared" si="93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no. local meas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6">
        <f t="shared" si="93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Groundnuts (dry): no. local meas</v>
      </c>
      <c r="B99" s="60">
        <f t="shared" si="82"/>
        <v>9.6546785157196363E-2</v>
      </c>
      <c r="C99" s="60">
        <f t="shared" si="82"/>
        <v>-9.6546785157196363E-2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8.458055102822791E-2</v>
      </c>
      <c r="K99" s="22">
        <f t="shared" si="91"/>
        <v>9.6546785157196363E-2</v>
      </c>
      <c r="L99" s="22">
        <f t="shared" si="92"/>
        <v>8.1918484375802972E-2</v>
      </c>
      <c r="M99" s="226">
        <f t="shared" si="93"/>
        <v>8.458055102822791E-2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type (green vegetables)Cabbage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26">
        <f t="shared" si="93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6">
        <f t="shared" si="93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Spinach: no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6">
        <f t="shared" si="93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Other cashcrop: kg produced (Tomato)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6">
        <f t="shared" si="93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cashcrop: kg produced (Onions)</v>
      </c>
      <c r="B104" s="60">
        <f t="shared" si="82"/>
        <v>2.1723026660369182E-2</v>
      </c>
      <c r="C104" s="60">
        <f t="shared" si="82"/>
        <v>0</v>
      </c>
      <c r="D104" s="24">
        <f t="shared" si="87"/>
        <v>2.1723026660369182E-2</v>
      </c>
      <c r="H104" s="24">
        <f t="shared" si="88"/>
        <v>0.84848484848484851</v>
      </c>
      <c r="I104" s="22">
        <f t="shared" si="89"/>
        <v>1.843165898455567E-2</v>
      </c>
      <c r="J104" s="24">
        <f t="shared" si="90"/>
        <v>1.843165898455567E-2</v>
      </c>
      <c r="K104" s="22">
        <f t="shared" si="91"/>
        <v>2.1723026660369182E-2</v>
      </c>
      <c r="L104" s="22">
        <f t="shared" si="92"/>
        <v>1.843165898455567E-2</v>
      </c>
      <c r="M104" s="226">
        <f t="shared" si="93"/>
        <v>1.843165898455567E-2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Other cashcrop: kg produced (Amadumbe)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6">
        <f t="shared" si="93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Sugercane: MT sold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6">
        <f t="shared" si="93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WILD FOODS -- see worksheet Data 3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0.7151515151515152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6">
        <f t="shared" si="9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Agricultural cash income -- see Data2</v>
      </c>
      <c r="B108" s="60">
        <f t="shared" si="82"/>
        <v>0.30412237324516855</v>
      </c>
      <c r="C108" s="60">
        <f t="shared" si="82"/>
        <v>0</v>
      </c>
      <c r="D108" s="24">
        <f t="shared" si="87"/>
        <v>0.30412237324516855</v>
      </c>
      <c r="H108" s="24">
        <f t="shared" si="88"/>
        <v>0.67272727272727284</v>
      </c>
      <c r="I108" s="22">
        <f t="shared" si="89"/>
        <v>0.20459141472856798</v>
      </c>
      <c r="J108" s="24">
        <f t="shared" si="90"/>
        <v>0.20459141472856798</v>
      </c>
      <c r="K108" s="22">
        <f t="shared" si="91"/>
        <v>0.30412237324516855</v>
      </c>
      <c r="L108" s="22">
        <f t="shared" si="92"/>
        <v>0.20459141472856798</v>
      </c>
      <c r="M108" s="226">
        <f t="shared" si="93"/>
        <v>0.20459141472856798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Construction cash income -- see Data2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0.67272727272727284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6">
        <f t="shared" si="9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Domestic work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6">
        <f t="shared" si="9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Formal Employment (conservancies, etc.)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0.57212121212121214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6">
        <f t="shared" si="93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Self-employment -- see Data2</v>
      </c>
      <c r="B112" s="60">
        <f t="shared" si="82"/>
        <v>0.25488351281499838</v>
      </c>
      <c r="C112" s="60">
        <f t="shared" si="82"/>
        <v>5.097670256299968E-2</v>
      </c>
      <c r="D112" s="24">
        <f t="shared" si="87"/>
        <v>0.30586021537799807</v>
      </c>
      <c r="H112" s="24">
        <f t="shared" si="88"/>
        <v>0.48484848484848486</v>
      </c>
      <c r="I112" s="22">
        <f t="shared" si="89"/>
        <v>0.14829586200145362</v>
      </c>
      <c r="J112" s="24">
        <f t="shared" si="90"/>
        <v>0.12277670146265113</v>
      </c>
      <c r="K112" s="22">
        <f t="shared" si="91"/>
        <v>0.25488351281499838</v>
      </c>
      <c r="L112" s="22">
        <f t="shared" si="92"/>
        <v>0.12357988500121134</v>
      </c>
      <c r="M112" s="226">
        <f t="shared" si="93"/>
        <v>0.12277670146265113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Small business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0.57212121212121214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6">
        <f t="shared" si="93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Social development -- see Data2</v>
      </c>
      <c r="B114" s="60">
        <f t="shared" si="82"/>
        <v>2.3982221433047575</v>
      </c>
      <c r="C114" s="60">
        <f t="shared" si="82"/>
        <v>0</v>
      </c>
      <c r="D114" s="24">
        <f t="shared" si="87"/>
        <v>2.3982221433047575</v>
      </c>
      <c r="H114" s="24">
        <f t="shared" si="88"/>
        <v>0.7151515151515152</v>
      </c>
      <c r="I114" s="22">
        <f t="shared" si="89"/>
        <v>1.7150921994543116</v>
      </c>
      <c r="J114" s="24">
        <f t="shared" si="90"/>
        <v>1.7150921994543116</v>
      </c>
      <c r="K114" s="22">
        <f t="shared" si="91"/>
        <v>2.3982221433047575</v>
      </c>
      <c r="L114" s="22">
        <f t="shared" si="92"/>
        <v>1.7150921994543116</v>
      </c>
      <c r="M114" s="226">
        <f t="shared" si="93"/>
        <v>1.7150921994543116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Remittances: no. times per year</v>
      </c>
      <c r="B115" s="60">
        <f t="shared" si="82"/>
        <v>0.57928071094317812</v>
      </c>
      <c r="C115" s="60">
        <f t="shared" si="82"/>
        <v>0</v>
      </c>
      <c r="D115" s="24">
        <f t="shared" si="87"/>
        <v>0.57928071094317812</v>
      </c>
      <c r="H115" s="24">
        <f t="shared" si="88"/>
        <v>0.67272727272727284</v>
      </c>
      <c r="I115" s="22">
        <f t="shared" si="89"/>
        <v>0.38969793281631987</v>
      </c>
      <c r="J115" s="24">
        <f t="shared" si="90"/>
        <v>0.38969793281631987</v>
      </c>
      <c r="K115" s="22">
        <f t="shared" si="91"/>
        <v>0.57928071094317812</v>
      </c>
      <c r="L115" s="22">
        <f t="shared" si="92"/>
        <v>0.38969793281631987</v>
      </c>
      <c r="M115" s="226">
        <f t="shared" si="93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6">
        <f t="shared" si="9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6">
        <f t="shared" si="9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6">
        <f t="shared" si="9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2.7110711756640744</v>
      </c>
      <c r="J119" s="24">
        <f>SUM(J91:J118)</f>
        <v>2.7701325661534999</v>
      </c>
      <c r="K119" s="22">
        <f>SUM(K91:K118)</f>
        <v>4.062495625844508</v>
      </c>
      <c r="L119" s="22">
        <f>SUM(L91:L118)</f>
        <v>2.7682736830396348</v>
      </c>
      <c r="M119" s="57">
        <f t="shared" si="81"/>
        <v>2.7701325661534999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9">
        <f>(B124)</f>
        <v>1.1160125571113229</v>
      </c>
      <c r="L124" s="29">
        <f>IF(SUMPRODUCT($B$124:$B124,$H$124:$H124)&lt;L$119,($B124*$H124),L$119)</f>
        <v>0.94691974542778912</v>
      </c>
      <c r="M124" s="239">
        <f t="shared" si="94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239">
        <f t="shared" si="94"/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0.65233205833646446</v>
      </c>
      <c r="K126" s="29">
        <f t="shared" ref="K126:K127" si="95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0.50646447609822909</v>
      </c>
      <c r="M126" s="239">
        <f t="shared" si="94"/>
        <v>0.65233205833646446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1.7641514302362853</v>
      </c>
      <c r="J128" s="227">
        <f>(J30)</f>
        <v>0.20571561912145209</v>
      </c>
      <c r="K128" s="29">
        <f>(B128)</f>
        <v>0.56576416102117066</v>
      </c>
      <c r="L128" s="29">
        <f>IF(L124=L119,0,(L119-L124)/(B119-B124)*K128)</f>
        <v>0.34972431824582229</v>
      </c>
      <c r="M128" s="239">
        <f t="shared" si="94"/>
        <v>0.20571561912145209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2.7110711756640744</v>
      </c>
      <c r="J130" s="227">
        <f>(J119)</f>
        <v>2.7701325661534999</v>
      </c>
      <c r="K130" s="29">
        <f>(B130)</f>
        <v>4.062495625844508</v>
      </c>
      <c r="L130" s="29">
        <f>(L119)</f>
        <v>2.7682736830396348</v>
      </c>
      <c r="M130" s="239">
        <f t="shared" si="94"/>
        <v>2.7701325661534999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0.96516514326779435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0.45870066716956526</v>
      </c>
      <c r="M131" s="236">
        <f>IF(I131&lt;SUM(M126:M127),0,I131-(SUM(M126:M127)))</f>
        <v>0.31283308493132989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4.2307461305817466E-2</v>
      </c>
      <c r="J6" s="24">
        <f t="shared" ref="J6:J13" si="3">IF(I$32&lt;=1+I$131,I6,B6*H6+J$33*(I6-B6*H6))</f>
        <v>4.2307461305817466E-2</v>
      </c>
      <c r="K6" s="22">
        <f t="shared" ref="K6:K31" si="4">B6</f>
        <v>8.4614922611634932E-2</v>
      </c>
      <c r="L6" s="22">
        <f t="shared" ref="L6:L29" si="5">IF(K6="","",K6*H6)</f>
        <v>4.2307461305817466E-2</v>
      </c>
      <c r="M6" s="223">
        <f t="shared" ref="M6:M31" si="6">J6</f>
        <v>4.2307461305817466E-2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0.16922984522326986</v>
      </c>
      <c r="Z6" s="156">
        <f>Poor!Z6</f>
        <v>0.17</v>
      </c>
      <c r="AA6" s="121">
        <f>$M6*Z6*4</f>
        <v>2.8769073687955879E-2</v>
      </c>
      <c r="AB6" s="156">
        <f>Poor!AB6</f>
        <v>0.17</v>
      </c>
      <c r="AC6" s="121">
        <f t="shared" ref="AC6:AC29" si="7">$M6*AB6*4</f>
        <v>2.8769073687955879E-2</v>
      </c>
      <c r="AD6" s="156">
        <f>Poor!AD6</f>
        <v>0.33</v>
      </c>
      <c r="AE6" s="121">
        <f t="shared" ref="AE6:AE29" si="8">$M6*AD6*4</f>
        <v>5.584584892367906E-2</v>
      </c>
      <c r="AF6" s="122">
        <f>1-SUM(Z6,AB6,AD6)</f>
        <v>0.32999999999999996</v>
      </c>
      <c r="AG6" s="121">
        <f>$M6*AF6*4</f>
        <v>5.5845848923679046E-2</v>
      </c>
      <c r="AH6" s="123">
        <f>SUM(Z6,AB6,AD6,AF6)</f>
        <v>1</v>
      </c>
      <c r="AI6" s="183">
        <f>SUM(AA6,AC6,AE6,AG6)/4</f>
        <v>4.2307461305817466E-2</v>
      </c>
      <c r="AJ6" s="120">
        <f>(AA6+AC6)/2</f>
        <v>2.8769073687955879E-2</v>
      </c>
      <c r="AK6" s="119">
        <f>(AE6+AG6)/2</f>
        <v>5.5845848923679053E-2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4.294530555061378E-2</v>
      </c>
      <c r="J7" s="24">
        <f t="shared" si="3"/>
        <v>4.294530555061378E-2</v>
      </c>
      <c r="K7" s="22">
        <f t="shared" si="4"/>
        <v>8.589061110122756E-2</v>
      </c>
      <c r="L7" s="22">
        <f t="shared" si="5"/>
        <v>4.294530555061378E-2</v>
      </c>
      <c r="M7" s="223">
        <f t="shared" si="6"/>
        <v>4.294530555061378E-2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5573.4703174209053</v>
      </c>
      <c r="T7" s="221">
        <f>IF($B$81=0,0,(SUMIF($N$6:$N$28,$U7,M$6:M$28)+SUMIF($N$91:$N$118,$U7,M$91:M$118))*$I$83*Poor!$B$81/$B$81)</f>
        <v>5378.5815604563295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0.17178122220245512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0.17178122220245512</v>
      </c>
      <c r="AH7" s="123">
        <f t="shared" ref="AH7:AH30" si="12">SUM(Z7,AB7,AD7,AF7)</f>
        <v>1</v>
      </c>
      <c r="AI7" s="183">
        <f t="shared" ref="AI7:AI30" si="13">SUM(AA7,AC7,AE7,AG7)/4</f>
        <v>4.294530555061378E-2</v>
      </c>
      <c r="AJ7" s="120">
        <f t="shared" ref="AJ7:AJ31" si="14">(AA7+AC7)/2</f>
        <v>0</v>
      </c>
      <c r="AK7" s="119">
        <f t="shared" ref="AK7:AK31" si="15">(AE7+AG7)/2</f>
        <v>8.589061110122756E-2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10079.968000000003</v>
      </c>
      <c r="T8" s="221">
        <f>IF($B$81=0,0,(SUMIF($N$6:$N$28,$U8,M$6:M$28)+SUMIF($N$91:$N$118,$U8,M$91:M$118))*$I$83*Poor!$B$81/$B$81)</f>
        <v>10247.362058061879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0.43893370740099186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4.6819595456105798E-2</v>
      </c>
      <c r="AB8" s="125">
        <f>IF($Y8=0,0,AC8/$Y8)</f>
        <v>0.48339731106788986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5.1562379847241581E-2</v>
      </c>
      <c r="AD8" s="125">
        <f>IF($Y8=0,0,AE8/$Y8)</f>
        <v>7.7668981531118272E-2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8.2846913633192812E-3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4.9190987651673693E-2</v>
      </c>
      <c r="AK8" s="119">
        <f t="shared" si="15"/>
        <v>4.1423456816596406E-3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0.31313433610567515</v>
      </c>
      <c r="J9" s="24">
        <f t="shared" si="3"/>
        <v>0.16264478356071072</v>
      </c>
      <c r="K9" s="22">
        <f t="shared" si="4"/>
        <v>0.15208899217221136</v>
      </c>
      <c r="L9" s="22">
        <f t="shared" si="5"/>
        <v>0.16577700146771041</v>
      </c>
      <c r="M9" s="223">
        <f t="shared" si="6"/>
        <v>0.16264478356071072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1456.9834208780651</v>
      </c>
      <c r="T9" s="221">
        <f>IF($B$81=0,0,(SUMIF($N$6:$N$28,$U9,M$6:M$28)+SUMIF($N$91:$N$118,$U9,M$91:M$118))*$I$83*Poor!$B$81/$B$81)</f>
        <v>1456.9834208780651</v>
      </c>
      <c r="U9" s="222">
        <v>3</v>
      </c>
      <c r="V9" s="56"/>
      <c r="W9" s="115"/>
      <c r="X9" s="118">
        <f>Poor!X9</f>
        <v>1</v>
      </c>
      <c r="Y9" s="183">
        <f t="shared" si="9"/>
        <v>0.65057913424284286</v>
      </c>
      <c r="Z9" s="125">
        <f>IF($Y9=0,0,AA9/$Y9)</f>
        <v>0.43893370740099186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0.28556111135093859</v>
      </c>
      <c r="AB9" s="125">
        <f>IF($Y9=0,0,AC9/$Y9)</f>
        <v>0.48339731106788986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0.314488204129866</v>
      </c>
      <c r="AD9" s="125">
        <f>IF($Y9=0,0,AE9/$Y9)</f>
        <v>7.7668981531118259E-2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5.052981876203827E-2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0.16264478356071072</v>
      </c>
      <c r="AJ9" s="120">
        <f t="shared" si="14"/>
        <v>0.30002465774040232</v>
      </c>
      <c r="AK9" s="119">
        <f t="shared" si="15"/>
        <v>2.5264909381019135E-2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0.10808234255470558</v>
      </c>
      <c r="J10" s="24">
        <f t="shared" si="3"/>
        <v>3.4495853362608617E-2</v>
      </c>
      <c r="K10" s="22">
        <f t="shared" si="4"/>
        <v>3.3052704145169899E-2</v>
      </c>
      <c r="L10" s="22">
        <f t="shared" si="5"/>
        <v>3.6027447518235195E-2</v>
      </c>
      <c r="M10" s="223">
        <f t="shared" si="6"/>
        <v>3.4495853362608617E-2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0.13798341345043447</v>
      </c>
      <c r="Z10" s="125">
        <f>IF($Y10=0,0,AA10/$Y10)</f>
        <v>0.43893370740099186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6.0565571225643086E-2</v>
      </c>
      <c r="AB10" s="125">
        <f>IF($Y10=0,0,AC10/$Y10)</f>
        <v>0.4833973110678898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6.6700811033908916E-2</v>
      </c>
      <c r="AD10" s="125">
        <f>IF($Y10=0,0,AE10/$Y10)</f>
        <v>7.766898153111837E-2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1.0717031190882464E-2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3.4495853362608617E-2</v>
      </c>
      <c r="AJ10" s="120">
        <f t="shared" si="14"/>
        <v>6.3633191129776001E-2</v>
      </c>
      <c r="AK10" s="119">
        <f t="shared" si="15"/>
        <v>5.3585155954412322E-3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1</v>
      </c>
      <c r="H11" s="24">
        <f t="shared" si="1"/>
        <v>1</v>
      </c>
      <c r="I11" s="22">
        <f t="shared" si="2"/>
        <v>4.0400646148372181E-2</v>
      </c>
      <c r="J11" s="24">
        <f t="shared" si="3"/>
        <v>4.0400646148372181E-2</v>
      </c>
      <c r="K11" s="22">
        <f t="shared" si="4"/>
        <v>4.0400646148372181E-2</v>
      </c>
      <c r="L11" s="22">
        <f t="shared" si="5"/>
        <v>4.0400646148372181E-2</v>
      </c>
      <c r="M11" s="223">
        <f t="shared" si="6"/>
        <v>4.0400646148372181E-2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25119.839999999997</v>
      </c>
      <c r="T11" s="221">
        <f>IF($B$81=0,0,(SUMIF($N$6:$N$28,$U11,M$6:M$28)+SUMIF($N$91:$N$118,$U11,M$91:M$118))*$I$83*Poor!$B$81/$B$81)</f>
        <v>25427.13036991204</v>
      </c>
      <c r="U11" s="222">
        <v>5</v>
      </c>
      <c r="V11" s="56"/>
      <c r="W11" s="115"/>
      <c r="X11" s="118">
        <f>Poor!X11</f>
        <v>1</v>
      </c>
      <c r="Y11" s="183">
        <f t="shared" si="9"/>
        <v>0.16160258459348872</v>
      </c>
      <c r="Z11" s="125">
        <f>IF($Y11=0,0,AA11/$Y11)</f>
        <v>0.43893370740099191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7.0932821581202427E-2</v>
      </c>
      <c r="AB11" s="125">
        <f>IF($Y11=0,0,AC11/$Y11)</f>
        <v>0.48339731106788986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7.8118254854113653E-2</v>
      </c>
      <c r="AD11" s="125">
        <f>IF($Y11=0,0,AE11/$Y11)</f>
        <v>7.7668981531118217E-2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1.2551508158172645E-2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4.0400646148372174E-2</v>
      </c>
      <c r="AJ11" s="120">
        <f t="shared" si="14"/>
        <v>7.4525538217658033E-2</v>
      </c>
      <c r="AK11" s="119">
        <f t="shared" si="15"/>
        <v>6.2757540790863223E-3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1</v>
      </c>
      <c r="H12" s="24">
        <f t="shared" si="1"/>
        <v>1</v>
      </c>
      <c r="I12" s="22">
        <f t="shared" si="2"/>
        <v>7.2809055328233404E-4</v>
      </c>
      <c r="J12" s="24">
        <f t="shared" si="3"/>
        <v>7.2809055328233404E-4</v>
      </c>
      <c r="K12" s="22">
        <f t="shared" si="4"/>
        <v>7.2809055328233404E-4</v>
      </c>
      <c r="L12" s="22">
        <f t="shared" si="5"/>
        <v>7.2809055328233404E-4</v>
      </c>
      <c r="M12" s="223">
        <f t="shared" si="6"/>
        <v>7.2809055328233404E-4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2.9123622131293362E-3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1.9512826827966553E-3</v>
      </c>
      <c r="AF12" s="122">
        <f>1-SUM(Z12,AB12,AD12)</f>
        <v>0.32999999999999996</v>
      </c>
      <c r="AG12" s="121">
        <f>$M12*AF12*4</f>
        <v>9.6107953033268087E-4</v>
      </c>
      <c r="AH12" s="123">
        <f t="shared" si="12"/>
        <v>1</v>
      </c>
      <c r="AI12" s="183">
        <f t="shared" si="13"/>
        <v>7.2809055328233404E-4</v>
      </c>
      <c r="AJ12" s="120">
        <f t="shared" si="14"/>
        <v>0</v>
      </c>
      <c r="AK12" s="119">
        <f t="shared" si="15"/>
        <v>1.4561811065646681E-3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1</v>
      </c>
      <c r="H13" s="24">
        <f t="shared" si="1"/>
        <v>1</v>
      </c>
      <c r="I13" s="22">
        <f t="shared" si="2"/>
        <v>2.5557654331969399E-2</v>
      </c>
      <c r="J13" s="24">
        <f t="shared" si="3"/>
        <v>1.4147422127483504E-2</v>
      </c>
      <c r="K13" s="22">
        <f t="shared" si="4"/>
        <v>1.4384909268813377E-2</v>
      </c>
      <c r="L13" s="22">
        <f t="shared" si="5"/>
        <v>1.4384909268813377E-2</v>
      </c>
      <c r="M13" s="224">
        <f t="shared" si="6"/>
        <v>1.4147422127483504E-2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5.6589688509934018E-2</v>
      </c>
      <c r="Z13" s="156">
        <f>Poor!Z13</f>
        <v>1</v>
      </c>
      <c r="AA13" s="121">
        <f>$M13*Z13*4</f>
        <v>5.6589688509934018E-2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1.4147422127483504E-2</v>
      </c>
      <c r="AJ13" s="120">
        <f t="shared" si="14"/>
        <v>2.8294844254967009E-2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1</v>
      </c>
      <c r="F14" s="22"/>
      <c r="H14" s="24">
        <f t="shared" si="1"/>
        <v>1</v>
      </c>
      <c r="I14" s="22">
        <f t="shared" si="2"/>
        <v>3.5429194093577657E-2</v>
      </c>
      <c r="J14" s="24">
        <f>IF(I$32&lt;=1+I131,I14,B14*H14+J$33*(I14-B14*H14))</f>
        <v>2.9301449298979221E-3</v>
      </c>
      <c r="K14" s="22">
        <f t="shared" si="4"/>
        <v>3.6065646682085038E-3</v>
      </c>
      <c r="L14" s="22">
        <f t="shared" si="5"/>
        <v>3.6065646682085038E-3</v>
      </c>
      <c r="M14" s="224">
        <f t="shared" si="6"/>
        <v>2.9301449298979221E-3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110043.42857142859</v>
      </c>
      <c r="T14" s="221">
        <f>IF($B$81=0,0,(SUMIF($N$6:$N$28,$U14,M$6:M$28)+SUMIF($N$91:$N$118,$U14,M$91:M$118))*$I$83*Poor!$B$81/$B$81)</f>
        <v>110043.42857142859</v>
      </c>
      <c r="U14" s="222">
        <v>8</v>
      </c>
      <c r="V14" s="56"/>
      <c r="W14" s="110"/>
      <c r="X14" s="118"/>
      <c r="Y14" s="183">
        <f>M14*4</f>
        <v>1.1720579719591688E-2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1.1720579719591688E-2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2.9301449298979221E-3</v>
      </c>
      <c r="AJ14" s="120">
        <f t="shared" si="14"/>
        <v>5.8602898597958442E-3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1</v>
      </c>
      <c r="F15" s="22"/>
      <c r="H15" s="24">
        <f t="shared" si="1"/>
        <v>1</v>
      </c>
      <c r="I15" s="22">
        <f t="shared" si="2"/>
        <v>0.29649672211350292</v>
      </c>
      <c r="J15" s="24">
        <f>IF(I$32&lt;=1+I131,I15,B15*H15+J$33*(I15-B15*H15))</f>
        <v>2.1224870180280703E-2</v>
      </c>
      <c r="K15" s="22">
        <f t="shared" si="4"/>
        <v>2.6954247464863905E-2</v>
      </c>
      <c r="L15" s="22">
        <f t="shared" si="5"/>
        <v>2.6954247464863905E-2</v>
      </c>
      <c r="M15" s="225">
        <f t="shared" si="6"/>
        <v>2.1224870180280703E-2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8.4899480721122814E-2</v>
      </c>
      <c r="Z15" s="156">
        <f>Poor!Z15</f>
        <v>0.25</v>
      </c>
      <c r="AA15" s="121">
        <f t="shared" si="16"/>
        <v>2.1224870180280703E-2</v>
      </c>
      <c r="AB15" s="156">
        <f>Poor!AB15</f>
        <v>0.25</v>
      </c>
      <c r="AC15" s="121">
        <f t="shared" si="7"/>
        <v>2.1224870180280703E-2</v>
      </c>
      <c r="AD15" s="156">
        <f>Poor!AD15</f>
        <v>0.25</v>
      </c>
      <c r="AE15" s="121">
        <f t="shared" si="8"/>
        <v>2.1224870180280703E-2</v>
      </c>
      <c r="AF15" s="122">
        <f t="shared" si="10"/>
        <v>0.25</v>
      </c>
      <c r="AG15" s="121">
        <f t="shared" si="11"/>
        <v>2.1224870180280703E-2</v>
      </c>
      <c r="AH15" s="123">
        <f t="shared" si="12"/>
        <v>1</v>
      </c>
      <c r="AI15" s="183">
        <f t="shared" si="13"/>
        <v>2.1224870180280703E-2</v>
      </c>
      <c r="AJ15" s="120">
        <f t="shared" si="14"/>
        <v>2.1224870180280703E-2</v>
      </c>
      <c r="AK15" s="119">
        <f t="shared" si="15"/>
        <v>2.1224870180280703E-2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1</v>
      </c>
      <c r="F16" s="22"/>
      <c r="H16" s="24">
        <f t="shared" si="1"/>
        <v>1</v>
      </c>
      <c r="I16" s="22">
        <f t="shared" si="2"/>
        <v>9.626845756982744E-3</v>
      </c>
      <c r="J16" s="24">
        <f>IF(I$32&lt;=1+I131,I16,B16*H16+J$33*(I16-B16*H16))</f>
        <v>6.9696907939145883E-3</v>
      </c>
      <c r="K16" s="22">
        <f t="shared" si="4"/>
        <v>7.0249955523928121E-3</v>
      </c>
      <c r="L16" s="22">
        <f t="shared" si="5"/>
        <v>7.0249955523928121E-3</v>
      </c>
      <c r="M16" s="223">
        <f t="shared" si="6"/>
        <v>6.9696907939145883E-3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2.7878763175658353E-2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2.7878763175658353E-2</v>
      </c>
      <c r="AH16" s="123">
        <f t="shared" si="12"/>
        <v>1</v>
      </c>
      <c r="AI16" s="183">
        <f t="shared" si="13"/>
        <v>6.9696907939145883E-3</v>
      </c>
      <c r="AJ16" s="120">
        <f t="shared" si="14"/>
        <v>0</v>
      </c>
      <c r="AK16" s="119">
        <f t="shared" si="15"/>
        <v>1.3939381587829177E-2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1</v>
      </c>
      <c r="F17" s="22"/>
      <c r="H17" s="24">
        <f t="shared" si="1"/>
        <v>1</v>
      </c>
      <c r="I17" s="22">
        <f t="shared" si="2"/>
        <v>6.4876406333392632E-3</v>
      </c>
      <c r="J17" s="24">
        <f t="shared" ref="J17:J25" si="17">IF(I$32&lt;=1+I131,I17,B17*H17+J$33*(I17-B17*H17))</f>
        <v>4.5098670512283747E-3</v>
      </c>
      <c r="K17" s="22">
        <f t="shared" si="4"/>
        <v>4.5510314890588859E-3</v>
      </c>
      <c r="L17" s="22">
        <f t="shared" si="5"/>
        <v>4.5510314890588859E-3</v>
      </c>
      <c r="M17" s="224">
        <f t="shared" si="6"/>
        <v>4.5098670512283747E-3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1.8039468204913499E-2</v>
      </c>
      <c r="Z17" s="156">
        <f>Poor!Z17</f>
        <v>0.29409999999999997</v>
      </c>
      <c r="AA17" s="121">
        <f t="shared" si="16"/>
        <v>5.3054075990650595E-3</v>
      </c>
      <c r="AB17" s="156">
        <f>Poor!AB17</f>
        <v>0.17649999999999999</v>
      </c>
      <c r="AC17" s="121">
        <f t="shared" si="7"/>
        <v>3.1839661381672323E-3</v>
      </c>
      <c r="AD17" s="156">
        <f>Poor!AD17</f>
        <v>0.23530000000000001</v>
      </c>
      <c r="AE17" s="121">
        <f t="shared" si="8"/>
        <v>4.2446868686161461E-3</v>
      </c>
      <c r="AF17" s="122">
        <f t="shared" si="10"/>
        <v>0.29410000000000003</v>
      </c>
      <c r="AG17" s="121">
        <f t="shared" si="11"/>
        <v>5.3054075990650604E-3</v>
      </c>
      <c r="AH17" s="123">
        <f t="shared" si="12"/>
        <v>1</v>
      </c>
      <c r="AI17" s="183">
        <f t="shared" si="13"/>
        <v>4.5098670512283747E-3</v>
      </c>
      <c r="AJ17" s="120">
        <f t="shared" si="14"/>
        <v>4.2446868686161461E-3</v>
      </c>
      <c r="AK17" s="119">
        <f t="shared" si="15"/>
        <v>4.7750472338406033E-3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10033.371428571429</v>
      </c>
      <c r="T20" s="221">
        <f>IF($B$81=0,0,(SUMIF($N$6:$N$28,$U20,M$6:M$28)+SUMIF($N$91:$N$118,$U20,M$91:M$118))*$I$83*Poor!$B$81/$B$81)</f>
        <v>10033.371428571429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164050.9556096966</v>
      </c>
      <c r="T23" s="179">
        <f>SUM(T7:T22)</f>
        <v>164330.75128070594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3.7546509874058318E-2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3.7546509874058318E-2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0.15018603949623327</v>
      </c>
      <c r="Z27" s="156">
        <f>Poor!Z27</f>
        <v>0.25</v>
      </c>
      <c r="AA27" s="121">
        <f t="shared" si="16"/>
        <v>3.7546509874058318E-2</v>
      </c>
      <c r="AB27" s="156">
        <f>Poor!AB27</f>
        <v>0.25</v>
      </c>
      <c r="AC27" s="121">
        <f t="shared" si="7"/>
        <v>3.7546509874058318E-2</v>
      </c>
      <c r="AD27" s="156">
        <f>Poor!AD27</f>
        <v>0.25</v>
      </c>
      <c r="AE27" s="121">
        <f t="shared" si="8"/>
        <v>3.7546509874058318E-2</v>
      </c>
      <c r="AF27" s="122">
        <f t="shared" si="10"/>
        <v>0.25</v>
      </c>
      <c r="AG27" s="121">
        <f t="shared" si="11"/>
        <v>3.7546509874058318E-2</v>
      </c>
      <c r="AH27" s="123">
        <f t="shared" si="12"/>
        <v>1</v>
      </c>
      <c r="AI27" s="183">
        <f t="shared" si="13"/>
        <v>3.7546509874058318E-2</v>
      </c>
      <c r="AJ27" s="120">
        <f t="shared" si="14"/>
        <v>3.7546509874058318E-2</v>
      </c>
      <c r="AK27" s="119">
        <f t="shared" si="15"/>
        <v>3.7546509874058318E-2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3.8300346099724328E-3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3.8300346099724328E-3</v>
      </c>
      <c r="N28" s="228"/>
      <c r="O28" s="2"/>
      <c r="P28" s="22"/>
      <c r="V28" s="56"/>
      <c r="W28" s="110"/>
      <c r="X28" s="118"/>
      <c r="Y28" s="183">
        <f t="shared" si="9"/>
        <v>1.5320138439889731E-2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7.6600692199448655E-3</v>
      </c>
      <c r="AF28" s="122">
        <f t="shared" si="10"/>
        <v>0.5</v>
      </c>
      <c r="AG28" s="121">
        <f t="shared" si="11"/>
        <v>7.6600692199448655E-3</v>
      </c>
      <c r="AH28" s="123">
        <f t="shared" si="12"/>
        <v>1</v>
      </c>
      <c r="AI28" s="183">
        <f t="shared" si="13"/>
        <v>3.8300346099724328E-3</v>
      </c>
      <c r="AJ28" s="120">
        <f t="shared" si="14"/>
        <v>0</v>
      </c>
      <c r="AK28" s="119">
        <f t="shared" si="15"/>
        <v>7.6600692199448655E-3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0.28464453420828545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0.28464453420828545</v>
      </c>
      <c r="N29" s="228"/>
      <c r="P29" s="22"/>
      <c r="V29" s="56"/>
      <c r="W29" s="110"/>
      <c r="X29" s="118"/>
      <c r="Y29" s="183">
        <f t="shared" si="9"/>
        <v>1.1385781368331418</v>
      </c>
      <c r="Z29" s="156">
        <f>Poor!Z29</f>
        <v>0.25</v>
      </c>
      <c r="AA29" s="121">
        <f t="shared" si="16"/>
        <v>0.28464453420828545</v>
      </c>
      <c r="AB29" s="156">
        <f>Poor!AB29</f>
        <v>0.25</v>
      </c>
      <c r="AC29" s="121">
        <f t="shared" si="7"/>
        <v>0.28464453420828545</v>
      </c>
      <c r="AD29" s="156">
        <f>Poor!AD29</f>
        <v>0.25</v>
      </c>
      <c r="AE29" s="121">
        <f t="shared" si="8"/>
        <v>0.28464453420828545</v>
      </c>
      <c r="AF29" s="122">
        <f t="shared" si="10"/>
        <v>0.25</v>
      </c>
      <c r="AG29" s="121">
        <f t="shared" si="11"/>
        <v>0.28464453420828545</v>
      </c>
      <c r="AH29" s="123">
        <f t="shared" si="12"/>
        <v>1</v>
      </c>
      <c r="AI29" s="183">
        <f t="shared" si="13"/>
        <v>0.28464453420828545</v>
      </c>
      <c r="AJ29" s="120">
        <f t="shared" si="14"/>
        <v>0.28464453420828545</v>
      </c>
      <c r="AK29" s="119">
        <f t="shared" si="15"/>
        <v>0.28464453420828545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6.8321036665716752</v>
      </c>
      <c r="J30" s="230">
        <f>IF(I$32&lt;=1,I30,1-SUM(J6:J29))</f>
        <v>0.17196730275027639</v>
      </c>
      <c r="K30" s="22">
        <f t="shared" si="4"/>
        <v>0.51164617712150862</v>
      </c>
      <c r="L30" s="22">
        <f>IF(L124=L119,0,IF(K30="",0,(L119-L124)/(B119-B124)*K30))</f>
        <v>0.29309687170066451</v>
      </c>
      <c r="M30" s="175">
        <f t="shared" si="6"/>
        <v>0.17196730275027639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0.68786921100110554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0.58551585941058804</v>
      </c>
      <c r="AE30" s="187">
        <f>IF(AE79*4/$I$84+SUM(AE6:AE29)&lt;1,AE79*4/$I$84,1-SUM(AE6:AE29))</f>
        <v>0.40275833224139546</v>
      </c>
      <c r="AF30" s="122">
        <f>IF($Y30=0,0,AG30/($Y$30))</f>
        <v>0.41448414058941146</v>
      </c>
      <c r="AG30" s="187">
        <f>IF(AG79*4/$I$84+SUM(AG6:AG29)&lt;1,AG79*4/$I$84,1-SUM(AG6:AG29))</f>
        <v>0.28511087875970975</v>
      </c>
      <c r="AH30" s="123">
        <f t="shared" si="12"/>
        <v>0.99999999999999956</v>
      </c>
      <c r="AI30" s="183">
        <f t="shared" si="13"/>
        <v>0.1719673027502763</v>
      </c>
      <c r="AJ30" s="120">
        <f t="shared" si="14"/>
        <v>0</v>
      </c>
      <c r="AK30" s="119">
        <f t="shared" si="15"/>
        <v>0.3439346055005526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-0.13042296971787892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8.1066441626547086</v>
      </c>
      <c r="J32" s="17"/>
      <c r="L32" s="22">
        <f>SUM(L6:L30)</f>
        <v>1.1304229697178789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-2.1255934865374027E-2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6608</v>
      </c>
      <c r="J37" s="38">
        <f>J91*I$83</f>
        <v>20104.918435180782</v>
      </c>
      <c r="K37" s="40">
        <f>(B37/B$65)</f>
        <v>0.15121294382799166</v>
      </c>
      <c r="L37" s="22">
        <f t="shared" ref="L37" si="28">(K37*H37)</f>
        <v>0.14274501897362413</v>
      </c>
      <c r="M37" s="24">
        <f>J37/B$65</f>
        <v>0.14476780485739743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7.4476178446181512E-2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1497.3374930244483</v>
      </c>
      <c r="AF37" s="122">
        <f t="shared" ref="AF37:AF64" si="29">1-SUM(Z37,AB37,AD37)</f>
        <v>0.92552382155381852</v>
      </c>
      <c r="AG37" s="147">
        <f>$J37*AF37</f>
        <v>18607.580942156335</v>
      </c>
      <c r="AH37" s="123">
        <f>SUM(Z37,AB37,AD37,AF37)</f>
        <v>1</v>
      </c>
      <c r="AI37" s="112">
        <f>SUM(AA37,AC37,AE37,AG37)</f>
        <v>20104.918435180785</v>
      </c>
      <c r="AJ37" s="148">
        <f>(AA37+AC37)</f>
        <v>0</v>
      </c>
      <c r="AK37" s="147">
        <f>(AE37+AG37)</f>
        <v>20104.918435180785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2548.7999999999997</v>
      </c>
      <c r="J38" s="38">
        <f t="shared" ref="J38:J64" si="32">J92*I$83</f>
        <v>1970.3606384922523</v>
      </c>
      <c r="K38" s="40">
        <f t="shared" ref="K38:K64" si="33">(B38/B$65)</f>
        <v>1.5121294382799168E-2</v>
      </c>
      <c r="L38" s="22">
        <f t="shared" ref="L38:L64" si="34">(K38*H38)</f>
        <v>1.4274501897362414E-2</v>
      </c>
      <c r="M38" s="24">
        <f t="shared" ref="M38:M64" si="35">J38/B$65</f>
        <v>1.4187811073772131E-2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7.4476178446181526E-2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146.74493051568115</v>
      </c>
      <c r="AF38" s="122">
        <f t="shared" si="29"/>
        <v>0.92552382155381852</v>
      </c>
      <c r="AG38" s="147">
        <f t="shared" ref="AG38:AG64" si="36">$J38*AF38</f>
        <v>1823.6157079765712</v>
      </c>
      <c r="AH38" s="123">
        <f t="shared" ref="AH38:AI58" si="37">SUM(Z38,AB38,AD38,AF38)</f>
        <v>1</v>
      </c>
      <c r="AI38" s="112">
        <f t="shared" si="37"/>
        <v>1970.3606384922523</v>
      </c>
      <c r="AJ38" s="148">
        <f t="shared" ref="AJ38:AJ64" si="38">(AA38+AC38)</f>
        <v>0</v>
      </c>
      <c r="AK38" s="147">
        <f t="shared" ref="AK38:AK64" si="39">(AE38+AG38)</f>
        <v>1970.3606384922523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0.43893370740099186</v>
      </c>
      <c r="AA39" s="147">
        <f t="shared" ref="AA39:AA64" si="40">$J39*Z39</f>
        <v>76.137440885776044</v>
      </c>
      <c r="AB39" s="122">
        <f>AB8</f>
        <v>0.48339731106788986</v>
      </c>
      <c r="AC39" s="147">
        <f t="shared" ref="AC39:AC64" si="41">$J39*AB39</f>
        <v>83.850097577836166</v>
      </c>
      <c r="AD39" s="122">
        <f>AD8</f>
        <v>7.7668981531118272E-2</v>
      </c>
      <c r="AE39" s="147">
        <f t="shared" ref="AE39:AE64" si="42">$J39*AD39</f>
        <v>13.472461536387774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173.46</v>
      </c>
      <c r="AJ39" s="148">
        <f t="shared" si="38"/>
        <v>159.98753846361222</v>
      </c>
      <c r="AK39" s="147">
        <f t="shared" si="39"/>
        <v>13.472461536387774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1281.0348495289493</v>
      </c>
      <c r="K40" s="40">
        <f t="shared" si="33"/>
        <v>5.9189066584099609E-3</v>
      </c>
      <c r="L40" s="22">
        <f t="shared" si="34"/>
        <v>9.0322515607336E-3</v>
      </c>
      <c r="M40" s="24">
        <f t="shared" si="35"/>
        <v>9.2242405115962271E-3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0.43893370740099186</v>
      </c>
      <c r="AA40" s="147">
        <f t="shared" si="40"/>
        <v>562.28937581361345</v>
      </c>
      <c r="AB40" s="122">
        <f>AB9</f>
        <v>0.48339731106788986</v>
      </c>
      <c r="AC40" s="147">
        <f t="shared" si="41"/>
        <v>619.24880164655292</v>
      </c>
      <c r="AD40" s="122">
        <f>AD9</f>
        <v>7.7668981531118259E-2</v>
      </c>
      <c r="AE40" s="147">
        <f t="shared" si="42"/>
        <v>99.496672068782814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1281.0348495289493</v>
      </c>
      <c r="AJ40" s="148">
        <f t="shared" si="38"/>
        <v>1181.5381774601665</v>
      </c>
      <c r="AK40" s="147">
        <f t="shared" si="39"/>
        <v>99.496672068782814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623.37462264182432</v>
      </c>
      <c r="K41" s="40">
        <f t="shared" si="33"/>
        <v>2.8802465491046033E-3</v>
      </c>
      <c r="L41" s="22">
        <f t="shared" si="34"/>
        <v>4.3952562339336244E-3</v>
      </c>
      <c r="M41" s="24">
        <f t="shared" si="35"/>
        <v>4.4886815141587473E-3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0.43893370740099191</v>
      </c>
      <c r="AA41" s="147">
        <f t="shared" si="40"/>
        <v>273.62013421587028</v>
      </c>
      <c r="AB41" s="122">
        <f>AB11</f>
        <v>0.48339731106788986</v>
      </c>
      <c r="AC41" s="147">
        <f t="shared" si="41"/>
        <v>301.33761637301842</v>
      </c>
      <c r="AD41" s="122">
        <f>AD11</f>
        <v>7.7668981531118217E-2</v>
      </c>
      <c r="AE41" s="147">
        <f t="shared" si="42"/>
        <v>48.416872052935638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623.37462264182443</v>
      </c>
      <c r="AJ41" s="148">
        <f t="shared" si="38"/>
        <v>574.95775058888876</v>
      </c>
      <c r="AK41" s="147">
        <f t="shared" si="39"/>
        <v>48.416872052935638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1470</v>
      </c>
      <c r="J42" s="38">
        <f t="shared" si="32"/>
        <v>1470</v>
      </c>
      <c r="K42" s="40">
        <f t="shared" si="33"/>
        <v>7.5606471913995839E-3</v>
      </c>
      <c r="L42" s="22">
        <f t="shared" si="34"/>
        <v>1.0584906067959417E-2</v>
      </c>
      <c r="M42" s="24">
        <f t="shared" si="35"/>
        <v>1.0584906067959417E-2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367.5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735</v>
      </c>
      <c r="AF42" s="122">
        <f t="shared" si="29"/>
        <v>0.25</v>
      </c>
      <c r="AG42" s="147">
        <f t="shared" si="36"/>
        <v>367.5</v>
      </c>
      <c r="AH42" s="123">
        <f t="shared" si="37"/>
        <v>1</v>
      </c>
      <c r="AI42" s="112">
        <f t="shared" si="37"/>
        <v>1470</v>
      </c>
      <c r="AJ42" s="148">
        <f t="shared" si="38"/>
        <v>367.5</v>
      </c>
      <c r="AK42" s="147">
        <f t="shared" si="39"/>
        <v>1102.5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800.66465293445322</v>
      </c>
      <c r="K43" s="40">
        <f t="shared" si="33"/>
        <v>4.0323451687464444E-3</v>
      </c>
      <c r="L43" s="22">
        <f t="shared" si="34"/>
        <v>5.6452832362450219E-3</v>
      </c>
      <c r="M43" s="24">
        <f t="shared" si="35"/>
        <v>5.7652790090112344E-3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200.1661632336133</v>
      </c>
      <c r="AB43" s="156">
        <f>Poor!AB43</f>
        <v>0.25</v>
      </c>
      <c r="AC43" s="147">
        <f t="shared" si="41"/>
        <v>200.1661632336133</v>
      </c>
      <c r="AD43" s="156">
        <f>Poor!AD43</f>
        <v>0.25</v>
      </c>
      <c r="AE43" s="147">
        <f t="shared" si="42"/>
        <v>200.1661632336133</v>
      </c>
      <c r="AF43" s="122">
        <f t="shared" si="29"/>
        <v>0.25</v>
      </c>
      <c r="AG43" s="147">
        <f t="shared" si="36"/>
        <v>200.1661632336133</v>
      </c>
      <c r="AH43" s="123">
        <f t="shared" si="37"/>
        <v>1</v>
      </c>
      <c r="AI43" s="112">
        <f t="shared" si="37"/>
        <v>800.66465293445322</v>
      </c>
      <c r="AJ43" s="148">
        <f t="shared" si="38"/>
        <v>400.33232646722661</v>
      </c>
      <c r="AK43" s="147">
        <f t="shared" si="39"/>
        <v>400.33232646722661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1072.3187316086428</v>
      </c>
      <c r="K44" s="40">
        <f t="shared" si="33"/>
        <v>5.400462279571131E-3</v>
      </c>
      <c r="L44" s="22">
        <f t="shared" si="34"/>
        <v>7.560647191399583E-3</v>
      </c>
      <c r="M44" s="24">
        <f t="shared" si="35"/>
        <v>7.7213558156400469E-3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268.0796829021607</v>
      </c>
      <c r="AB44" s="156">
        <f>Poor!AB44</f>
        <v>0.25</v>
      </c>
      <c r="AC44" s="147">
        <f t="shared" si="41"/>
        <v>268.0796829021607</v>
      </c>
      <c r="AD44" s="156">
        <f>Poor!AD44</f>
        <v>0.25</v>
      </c>
      <c r="AE44" s="147">
        <f t="shared" si="42"/>
        <v>268.0796829021607</v>
      </c>
      <c r="AF44" s="122">
        <f t="shared" si="29"/>
        <v>0.25</v>
      </c>
      <c r="AG44" s="147">
        <f t="shared" si="36"/>
        <v>268.0796829021607</v>
      </c>
      <c r="AH44" s="123">
        <f t="shared" si="37"/>
        <v>1</v>
      </c>
      <c r="AI44" s="112">
        <f t="shared" si="37"/>
        <v>1072.3187316086428</v>
      </c>
      <c r="AJ44" s="148">
        <f t="shared" si="38"/>
        <v>536.1593658043214</v>
      </c>
      <c r="AK44" s="147">
        <f t="shared" si="39"/>
        <v>536.1593658043214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2502.0770404201667</v>
      </c>
      <c r="K45" s="40">
        <f t="shared" si="33"/>
        <v>1.2601078652332639E-2</v>
      </c>
      <c r="L45" s="22">
        <f t="shared" si="34"/>
        <v>1.7641510113265695E-2</v>
      </c>
      <c r="M45" s="24">
        <f t="shared" si="35"/>
        <v>1.8016496903160109E-2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625.51926010504167</v>
      </c>
      <c r="AB45" s="156">
        <f>Poor!AB45</f>
        <v>0.25</v>
      </c>
      <c r="AC45" s="147">
        <f t="shared" si="41"/>
        <v>625.51926010504167</v>
      </c>
      <c r="AD45" s="156">
        <f>Poor!AD45</f>
        <v>0.25</v>
      </c>
      <c r="AE45" s="147">
        <f t="shared" si="42"/>
        <v>625.51926010504167</v>
      </c>
      <c r="AF45" s="122">
        <f t="shared" si="29"/>
        <v>0.25</v>
      </c>
      <c r="AG45" s="147">
        <f t="shared" si="36"/>
        <v>625.51926010504167</v>
      </c>
      <c r="AH45" s="123">
        <f t="shared" si="37"/>
        <v>1</v>
      </c>
      <c r="AI45" s="112">
        <f t="shared" si="37"/>
        <v>2502.0770404201667</v>
      </c>
      <c r="AJ45" s="148">
        <f t="shared" si="38"/>
        <v>1251.0385202100833</v>
      </c>
      <c r="AK45" s="147">
        <f t="shared" si="39"/>
        <v>1251.0385202100833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357.43957720288086</v>
      </c>
      <c r="K46" s="40">
        <f t="shared" si="33"/>
        <v>1.8001540931903771E-3</v>
      </c>
      <c r="L46" s="22">
        <f t="shared" si="34"/>
        <v>2.5202157304665277E-3</v>
      </c>
      <c r="M46" s="24">
        <f t="shared" si="35"/>
        <v>2.5737852718800149E-3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89.359894300720214</v>
      </c>
      <c r="AB46" s="156">
        <f>Poor!AB46</f>
        <v>0.25</v>
      </c>
      <c r="AC46" s="147">
        <f t="shared" si="41"/>
        <v>89.359894300720214</v>
      </c>
      <c r="AD46" s="156">
        <f>Poor!AD46</f>
        <v>0.25</v>
      </c>
      <c r="AE46" s="147">
        <f t="shared" si="42"/>
        <v>89.359894300720214</v>
      </c>
      <c r="AF46" s="122">
        <f t="shared" si="29"/>
        <v>0.25</v>
      </c>
      <c r="AG46" s="147">
        <f t="shared" si="36"/>
        <v>89.359894300720214</v>
      </c>
      <c r="AH46" s="123">
        <f t="shared" si="37"/>
        <v>1</v>
      </c>
      <c r="AI46" s="112">
        <f t="shared" si="37"/>
        <v>357.43957720288086</v>
      </c>
      <c r="AJ46" s="148">
        <f t="shared" si="38"/>
        <v>178.71978860144043</v>
      </c>
      <c r="AK46" s="147">
        <f t="shared" si="39"/>
        <v>178.71978860144043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400.33232646722661</v>
      </c>
      <c r="K47" s="40">
        <f t="shared" si="33"/>
        <v>2.0161725843732222E-3</v>
      </c>
      <c r="L47" s="22">
        <f t="shared" si="34"/>
        <v>2.8226416181225109E-3</v>
      </c>
      <c r="M47" s="24">
        <f t="shared" si="35"/>
        <v>2.8826395045056172E-3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100.08308161680665</v>
      </c>
      <c r="AB47" s="156">
        <f>Poor!AB47</f>
        <v>0.25</v>
      </c>
      <c r="AC47" s="147">
        <f t="shared" si="41"/>
        <v>100.08308161680665</v>
      </c>
      <c r="AD47" s="156">
        <f>Poor!AD47</f>
        <v>0.25</v>
      </c>
      <c r="AE47" s="147">
        <f t="shared" si="42"/>
        <v>100.08308161680665</v>
      </c>
      <c r="AF47" s="122">
        <f t="shared" si="29"/>
        <v>0.25</v>
      </c>
      <c r="AG47" s="147">
        <f t="shared" si="36"/>
        <v>100.08308161680665</v>
      </c>
      <c r="AH47" s="123">
        <f t="shared" si="37"/>
        <v>1</v>
      </c>
      <c r="AI47" s="112">
        <f t="shared" si="37"/>
        <v>400.33232646722661</v>
      </c>
      <c r="AJ47" s="148">
        <f t="shared" si="38"/>
        <v>200.1661632336133</v>
      </c>
      <c r="AK47" s="147">
        <f t="shared" si="39"/>
        <v>200.1661632336133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140</v>
      </c>
      <c r="J48" s="38">
        <f t="shared" si="32"/>
        <v>140</v>
      </c>
      <c r="K48" s="40">
        <f t="shared" si="33"/>
        <v>7.2006163727615083E-4</v>
      </c>
      <c r="L48" s="22">
        <f t="shared" si="34"/>
        <v>1.0080862921866111E-3</v>
      </c>
      <c r="M48" s="24">
        <f t="shared" si="35"/>
        <v>1.0080862921866111E-3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35</v>
      </c>
      <c r="AB48" s="156">
        <f>Poor!AB48</f>
        <v>0.25</v>
      </c>
      <c r="AC48" s="147">
        <f t="shared" si="41"/>
        <v>35</v>
      </c>
      <c r="AD48" s="156">
        <f>Poor!AD48</f>
        <v>0.25</v>
      </c>
      <c r="AE48" s="147">
        <f t="shared" si="42"/>
        <v>35</v>
      </c>
      <c r="AF48" s="122">
        <f t="shared" si="29"/>
        <v>0.25</v>
      </c>
      <c r="AG48" s="147">
        <f t="shared" si="36"/>
        <v>35</v>
      </c>
      <c r="AH48" s="123">
        <f t="shared" si="37"/>
        <v>1</v>
      </c>
      <c r="AI48" s="112">
        <f t="shared" si="37"/>
        <v>140</v>
      </c>
      <c r="AJ48" s="148">
        <f t="shared" si="38"/>
        <v>70</v>
      </c>
      <c r="AK48" s="147">
        <f t="shared" si="39"/>
        <v>70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123.19999999999999</v>
      </c>
      <c r="J49" s="38">
        <f t="shared" si="32"/>
        <v>123.2</v>
      </c>
      <c r="K49" s="40">
        <f t="shared" si="33"/>
        <v>6.3365424080301272E-4</v>
      </c>
      <c r="L49" s="22">
        <f t="shared" si="34"/>
        <v>8.871159371242177E-4</v>
      </c>
      <c r="M49" s="24">
        <f t="shared" si="35"/>
        <v>8.871159371242178E-4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30.8</v>
      </c>
      <c r="AB49" s="156">
        <f>Poor!AB49</f>
        <v>0.25</v>
      </c>
      <c r="AC49" s="147">
        <f t="shared" si="41"/>
        <v>30.8</v>
      </c>
      <c r="AD49" s="156">
        <f>Poor!AD49</f>
        <v>0.25</v>
      </c>
      <c r="AE49" s="147">
        <f t="shared" si="42"/>
        <v>30.8</v>
      </c>
      <c r="AF49" s="122">
        <f t="shared" si="29"/>
        <v>0.25</v>
      </c>
      <c r="AG49" s="147">
        <f t="shared" si="36"/>
        <v>30.8</v>
      </c>
      <c r="AH49" s="123">
        <f t="shared" si="37"/>
        <v>1</v>
      </c>
      <c r="AI49" s="112">
        <f t="shared" si="37"/>
        <v>123.2</v>
      </c>
      <c r="AJ49" s="148">
        <f t="shared" si="38"/>
        <v>61.6</v>
      </c>
      <c r="AK49" s="147">
        <f t="shared" si="39"/>
        <v>61.6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196</v>
      </c>
      <c r="J50" s="38">
        <f t="shared" si="32"/>
        <v>196</v>
      </c>
      <c r="K50" s="40">
        <f t="shared" si="33"/>
        <v>1.0080862921866111E-3</v>
      </c>
      <c r="L50" s="22">
        <f t="shared" si="34"/>
        <v>1.4113208090612555E-3</v>
      </c>
      <c r="M50" s="24">
        <f t="shared" si="35"/>
        <v>1.4113208090612557E-3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</v>
      </c>
      <c r="AB50" s="156">
        <f>Poor!AB55</f>
        <v>0.25</v>
      </c>
      <c r="AC50" s="147">
        <f t="shared" si="41"/>
        <v>49</v>
      </c>
      <c r="AD50" s="156">
        <f>Poor!AD55</f>
        <v>0.25</v>
      </c>
      <c r="AE50" s="147">
        <f t="shared" si="42"/>
        <v>49</v>
      </c>
      <c r="AF50" s="122">
        <f t="shared" si="29"/>
        <v>0.25</v>
      </c>
      <c r="AG50" s="147">
        <f t="shared" si="36"/>
        <v>49</v>
      </c>
      <c r="AH50" s="123">
        <f t="shared" si="37"/>
        <v>1</v>
      </c>
      <c r="AI50" s="112">
        <f t="shared" si="37"/>
        <v>196</v>
      </c>
      <c r="AJ50" s="148">
        <f t="shared" si="38"/>
        <v>98</v>
      </c>
      <c r="AK50" s="147">
        <f t="shared" si="39"/>
        <v>98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96288</v>
      </c>
      <c r="J57" s="38">
        <f t="shared" si="32"/>
        <v>96288.000000000015</v>
      </c>
      <c r="K57" s="40">
        <f t="shared" si="33"/>
        <v>0.73446287002167387</v>
      </c>
      <c r="L57" s="22">
        <f t="shared" si="34"/>
        <v>0.69333294930046008</v>
      </c>
      <c r="M57" s="24">
        <f t="shared" si="35"/>
        <v>0.69333294930046019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8779.1999999999989</v>
      </c>
      <c r="J60" s="38">
        <f t="shared" si="32"/>
        <v>8779.2000000000007</v>
      </c>
      <c r="K60" s="40">
        <f t="shared" si="33"/>
        <v>5.3572585813345619E-2</v>
      </c>
      <c r="L60" s="22">
        <f t="shared" si="34"/>
        <v>6.3215651259747832E-2</v>
      </c>
      <c r="M60" s="24">
        <f t="shared" si="35"/>
        <v>6.3215651259747846E-2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2194.8000000000002</v>
      </c>
      <c r="AB60" s="156">
        <f>Poor!AB60</f>
        <v>0.25</v>
      </c>
      <c r="AC60" s="147">
        <f t="shared" si="41"/>
        <v>2194.8000000000002</v>
      </c>
      <c r="AD60" s="156">
        <f>Poor!AD60</f>
        <v>0.25</v>
      </c>
      <c r="AE60" s="147">
        <f t="shared" si="42"/>
        <v>2194.8000000000002</v>
      </c>
      <c r="AF60" s="122">
        <f t="shared" si="29"/>
        <v>0.25</v>
      </c>
      <c r="AG60" s="147">
        <f t="shared" si="36"/>
        <v>2194.8000000000002</v>
      </c>
      <c r="AH60" s="123">
        <f t="shared" si="43"/>
        <v>1</v>
      </c>
      <c r="AI60" s="112">
        <f t="shared" si="43"/>
        <v>8779.2000000000007</v>
      </c>
      <c r="AJ60" s="148">
        <f t="shared" si="38"/>
        <v>4389.6000000000004</v>
      </c>
      <c r="AK60" s="147">
        <f t="shared" si="39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116326.65999999999</v>
      </c>
      <c r="J65" s="39">
        <f>SUM(J37:J64)</f>
        <v>136282.38087447721</v>
      </c>
      <c r="K65" s="40">
        <f>SUM(K37:K64)</f>
        <v>1</v>
      </c>
      <c r="L65" s="22">
        <f>SUM(L37:L64)</f>
        <v>0.9783263751377117</v>
      </c>
      <c r="M65" s="24">
        <f>SUM(M37:M64)</f>
        <v>0.98131714304368023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4872.3550330736034</v>
      </c>
      <c r="AB65" s="137"/>
      <c r="AC65" s="153">
        <f>SUM(AC37:AC64)</f>
        <v>4597.2445977557509</v>
      </c>
      <c r="AD65" s="137"/>
      <c r="AE65" s="153">
        <f>SUM(AE37:AE64)</f>
        <v>6133.2765113565783</v>
      </c>
      <c r="AF65" s="137"/>
      <c r="AG65" s="153">
        <f>SUM(AG37:AG64)</f>
        <v>24391.504732291247</v>
      </c>
      <c r="AH65" s="137"/>
      <c r="AI65" s="153">
        <f>SUM(AI37:AI64)</f>
        <v>39994.380874477181</v>
      </c>
      <c r="AJ65" s="153">
        <f>SUM(AJ37:AJ64)</f>
        <v>9469.5996308293543</v>
      </c>
      <c r="AK65" s="153">
        <f>SUM(AK37:AK64)</f>
        <v>30524.781243647827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102166.52633800961</v>
      </c>
      <c r="J74" s="51">
        <f t="shared" si="44"/>
        <v>2571.5801198503764</v>
      </c>
      <c r="K74" s="40">
        <f>B74/B$76</f>
        <v>3.3389479046744219E-2</v>
      </c>
      <c r="L74" s="22">
        <f t="shared" si="45"/>
        <v>3.1559857739513551E-2</v>
      </c>
      <c r="M74" s="24">
        <f>J74/B$76</f>
        <v>1.8516961914862622E-2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2593.2430958589807</v>
      </c>
      <c r="AF74" s="156"/>
      <c r="AG74" s="147">
        <f>AG30*$I$84/4</f>
        <v>1835.7455543707129</v>
      </c>
      <c r="AH74" s="155"/>
      <c r="AI74" s="147">
        <f>SUM(AA74,AC74,AE74,AG74)</f>
        <v>4428.988650229694</v>
      </c>
      <c r="AJ74" s="148">
        <f>(AA74+AC74)</f>
        <v>0</v>
      </c>
      <c r="AK74" s="147">
        <f>(AE74+AG74)</f>
        <v>4428.988650229694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63905.013759303089</v>
      </c>
      <c r="K75" s="40">
        <f>B75/B$76</f>
        <v>0.55421887568104133</v>
      </c>
      <c r="L75" s="22">
        <f t="shared" si="45"/>
        <v>0.44412182464616778</v>
      </c>
      <c r="M75" s="24">
        <f>J75/B$76</f>
        <v>0.46015548837678727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1332.3216175760049</v>
      </c>
      <c r="AB75" s="158"/>
      <c r="AC75" s="149">
        <f>AA75+AC65-SUM(AC70,AC74)</f>
        <v>2389.5327998341568</v>
      </c>
      <c r="AD75" s="158"/>
      <c r="AE75" s="149">
        <f>AC75+AE65-SUM(AE70,AE74)</f>
        <v>2389.5327998341554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21405.258562257091</v>
      </c>
      <c r="AJ75" s="151">
        <f>AJ76-SUM(AJ70,AJ74)</f>
        <v>2389.5327998341572</v>
      </c>
      <c r="AK75" s="149">
        <f>AJ75+AK76-SUM(AK70,AK74)</f>
        <v>21405.258562257095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116326.66</v>
      </c>
      <c r="J76" s="51">
        <f t="shared" si="44"/>
        <v>136282.38087447718</v>
      </c>
      <c r="K76" s="40">
        <f>SUM(K70:K75)</f>
        <v>1</v>
      </c>
      <c r="L76" s="22">
        <f>SUM(L70:L75)</f>
        <v>0.9783263751377117</v>
      </c>
      <c r="M76" s="24">
        <f>SUM(M70:M75)</f>
        <v>0.98131714304368023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4872.3550330736034</v>
      </c>
      <c r="AB76" s="137"/>
      <c r="AC76" s="153">
        <f>AC65</f>
        <v>4597.2445977557509</v>
      </c>
      <c r="AD76" s="137"/>
      <c r="AE76" s="153">
        <f>AE65</f>
        <v>6133.2765113565783</v>
      </c>
      <c r="AF76" s="137"/>
      <c r="AG76" s="153">
        <f>AG65</f>
        <v>24391.504732291247</v>
      </c>
      <c r="AH76" s="137"/>
      <c r="AI76" s="153">
        <f>SUM(AA76,AC76,AE76,AG76)</f>
        <v>39994.380874477181</v>
      </c>
      <c r="AJ76" s="154">
        <f>SUM(AA76,AC76)</f>
        <v>9469.5996308293543</v>
      </c>
      <c r="AK76" s="154">
        <f>SUM(AE76,AG76)</f>
        <v>30524.781243647827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14432.973333333321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1332.3216175760049</v>
      </c>
      <c r="AD78" s="112"/>
      <c r="AE78" s="112">
        <f>AC75</f>
        <v>2389.5327998341568</v>
      </c>
      <c r="AF78" s="112"/>
      <c r="AG78" s="112">
        <f>AE75</f>
        <v>2389.5327998341554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1332.3216175760049</v>
      </c>
      <c r="AB79" s="112"/>
      <c r="AC79" s="112">
        <f>AA79-AA74+AC65-AC70</f>
        <v>2389.5327998341568</v>
      </c>
      <c r="AD79" s="112"/>
      <c r="AE79" s="112">
        <f>AC79-AC74+AE65-AE70</f>
        <v>4982.7758956931357</v>
      </c>
      <c r="AF79" s="112"/>
      <c r="AG79" s="112">
        <f>AE79-AE74+AG65-AG70</f>
        <v>23241.004116627806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0.57212121212121214</v>
      </c>
      <c r="I91" s="22">
        <f t="shared" ref="I91" si="52">(D91*H91)</f>
        <v>0.44189171000433147</v>
      </c>
      <c r="J91" s="24">
        <f>IF(I$32&lt;=1+I$131,I91,L91+J$33*(I91-L91))</f>
        <v>1.3444607728237958</v>
      </c>
      <c r="K91" s="22">
        <f t="shared" ref="K91" si="53">(B91)</f>
        <v>2.3171228437727125</v>
      </c>
      <c r="L91" s="22">
        <f t="shared" ref="L91" si="54">(K91*H91)</f>
        <v>1.3256751300129943</v>
      </c>
      <c r="M91" s="226">
        <f t="shared" si="49"/>
        <v>1.3444607728237958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0.57212121212121214</v>
      </c>
      <c r="I92" s="22">
        <f t="shared" ref="I92:I118" si="58">(D92*H92)</f>
        <v>0.17044394528738496</v>
      </c>
      <c r="J92" s="24">
        <f t="shared" ref="J92:J118" si="59">IF(I$32&lt;=1+I$131,I92,L92+J$33*(I92-L92))</f>
        <v>0.13176241402369365</v>
      </c>
      <c r="K92" s="22">
        <f t="shared" ref="K92:K118" si="60">(B92)</f>
        <v>0.23171228437727123</v>
      </c>
      <c r="L92" s="22">
        <f t="shared" ref="L92:L118" si="61">(K92*H92)</f>
        <v>0.13256751300129943</v>
      </c>
      <c r="M92" s="226">
        <f t="shared" ref="M92:M118" si="62">(J92)</f>
        <v>0.13176241402369365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8.566565984162966E-2</v>
      </c>
      <c r="K94" s="22">
        <f t="shared" si="60"/>
        <v>9.0698808456246185E-2</v>
      </c>
      <c r="L94" s="22">
        <f t="shared" si="61"/>
        <v>8.3882655578322238E-2</v>
      </c>
      <c r="M94" s="226">
        <f t="shared" si="62"/>
        <v>8.566565984162966E-2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4.1686452477678659E-2</v>
      </c>
      <c r="K95" s="22">
        <f t="shared" si="60"/>
        <v>4.4135673214718327E-2</v>
      </c>
      <c r="L95" s="22">
        <f t="shared" si="61"/>
        <v>4.0818810500400107E-2</v>
      </c>
      <c r="M95" s="226">
        <f t="shared" si="62"/>
        <v>4.1686452477678659E-2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0.84848484848484851</v>
      </c>
      <c r="I96" s="22">
        <f t="shared" si="58"/>
        <v>9.8302181250963558E-2</v>
      </c>
      <c r="J96" s="24">
        <f t="shared" si="59"/>
        <v>9.8302181250963558E-2</v>
      </c>
      <c r="K96" s="22">
        <f t="shared" si="60"/>
        <v>0.11585614218863562</v>
      </c>
      <c r="L96" s="22">
        <f t="shared" si="61"/>
        <v>9.8302181250963558E-2</v>
      </c>
      <c r="M96" s="226">
        <f t="shared" si="62"/>
        <v>9.8302181250963558E-2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5.3542232540137721E-2</v>
      </c>
      <c r="K97" s="22">
        <f t="shared" si="60"/>
        <v>6.1789942500605662E-2</v>
      </c>
      <c r="L97" s="22">
        <f t="shared" si="61"/>
        <v>5.2427830000513896E-2</v>
      </c>
      <c r="M97" s="226">
        <f t="shared" si="62"/>
        <v>5.3542232540137721E-2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7.1708347151970164E-2</v>
      </c>
      <c r="K98" s="22">
        <f t="shared" si="60"/>
        <v>8.2754387277596875E-2</v>
      </c>
      <c r="L98" s="22">
        <f t="shared" si="61"/>
        <v>7.0215843750688262E-2</v>
      </c>
      <c r="M98" s="226">
        <f t="shared" si="62"/>
        <v>7.1708347151970164E-2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0.1673194766879304</v>
      </c>
      <c r="K99" s="22">
        <f t="shared" si="60"/>
        <v>0.1930935703143927</v>
      </c>
      <c r="L99" s="22">
        <f t="shared" si="61"/>
        <v>0.16383696875160594</v>
      </c>
      <c r="M99" s="226">
        <f t="shared" si="62"/>
        <v>0.1673194766879304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2.3902782383990052E-2</v>
      </c>
      <c r="K100" s="22">
        <f t="shared" si="60"/>
        <v>2.7584795759198956E-2</v>
      </c>
      <c r="L100" s="22">
        <f t="shared" si="61"/>
        <v>2.3405281250229417E-2</v>
      </c>
      <c r="M100" s="226">
        <f t="shared" si="62"/>
        <v>2.3902782383990052E-2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2.6771116270068861E-2</v>
      </c>
      <c r="K101" s="22">
        <f t="shared" si="60"/>
        <v>3.0894971250302831E-2</v>
      </c>
      <c r="L101" s="22">
        <f t="shared" si="61"/>
        <v>2.6213915000256948E-2</v>
      </c>
      <c r="M101" s="226">
        <f t="shared" si="62"/>
        <v>2.6771116270068861E-2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0.84848484848484851</v>
      </c>
      <c r="I102" s="22">
        <f t="shared" si="58"/>
        <v>9.3621125000917672E-3</v>
      </c>
      <c r="J102" s="24">
        <f t="shared" si="59"/>
        <v>9.3621125000917672E-3</v>
      </c>
      <c r="K102" s="22">
        <f t="shared" si="60"/>
        <v>1.1033918303679582E-2</v>
      </c>
      <c r="L102" s="22">
        <f t="shared" si="61"/>
        <v>9.3621125000917672E-3</v>
      </c>
      <c r="M102" s="226">
        <f t="shared" si="62"/>
        <v>9.3621125000917672E-3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0.84848484848484851</v>
      </c>
      <c r="I103" s="22">
        <f t="shared" si="58"/>
        <v>8.2386590000807555E-3</v>
      </c>
      <c r="J103" s="24">
        <f t="shared" si="59"/>
        <v>8.2386590000807555E-3</v>
      </c>
      <c r="K103" s="22">
        <f t="shared" si="60"/>
        <v>9.7098481072380328E-3</v>
      </c>
      <c r="L103" s="22">
        <f t="shared" si="61"/>
        <v>8.2386590000807555E-3</v>
      </c>
      <c r="M103" s="226">
        <f t="shared" si="62"/>
        <v>8.2386590000807555E-3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0.84848484848484851</v>
      </c>
      <c r="I104" s="22">
        <f t="shared" si="58"/>
        <v>1.3106957500128474E-2</v>
      </c>
      <c r="J104" s="24">
        <f t="shared" si="59"/>
        <v>1.3106957500128474E-2</v>
      </c>
      <c r="K104" s="22">
        <f t="shared" si="60"/>
        <v>1.5447485625151415E-2</v>
      </c>
      <c r="L104" s="22">
        <f t="shared" si="61"/>
        <v>1.3106957500128474E-2</v>
      </c>
      <c r="M104" s="226">
        <f t="shared" si="62"/>
        <v>1.3106957500128474E-2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0.57212121212121214</v>
      </c>
      <c r="I111" s="22">
        <f t="shared" si="58"/>
        <v>6.4389934886345443</v>
      </c>
      <c r="J111" s="24">
        <f t="shared" si="59"/>
        <v>6.4389934886345443</v>
      </c>
      <c r="K111" s="22">
        <f t="shared" si="60"/>
        <v>11.254596669753175</v>
      </c>
      <c r="L111" s="22">
        <f t="shared" si="61"/>
        <v>6.4389934886345443</v>
      </c>
      <c r="M111" s="226">
        <f t="shared" si="62"/>
        <v>6.4389934886345443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0.7151515151515152</v>
      </c>
      <c r="I114" s="22">
        <f t="shared" si="58"/>
        <v>0.58708470043432603</v>
      </c>
      <c r="J114" s="24">
        <f t="shared" si="59"/>
        <v>0.58708470043432603</v>
      </c>
      <c r="K114" s="22">
        <f t="shared" si="60"/>
        <v>0.82092352179376094</v>
      </c>
      <c r="L114" s="22">
        <f t="shared" si="61"/>
        <v>0.58708470043432603</v>
      </c>
      <c r="M114" s="226">
        <f t="shared" si="62"/>
        <v>0.58708470043432603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7.7790234119994643</v>
      </c>
      <c r="J119" s="24">
        <f>SUM(J91:J118)</f>
        <v>9.1135070109086431</v>
      </c>
      <c r="K119" s="22">
        <f>SUM(K91:K118)</f>
        <v>15.323574722601096</v>
      </c>
      <c r="L119" s="22">
        <f>SUM(L91:L118)</f>
        <v>9.0857317045540587</v>
      </c>
      <c r="M119" s="57">
        <f t="shared" si="49"/>
        <v>9.1135070109086431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6.8321036665716752</v>
      </c>
      <c r="J128" s="227">
        <f>(J30)</f>
        <v>0.17196730275027639</v>
      </c>
      <c r="K128" s="22">
        <f>(B128)</f>
        <v>0.51164617712150862</v>
      </c>
      <c r="L128" s="22">
        <f>IF(L124=L119,0,(L119-L124)/(B119-B124)*K128)</f>
        <v>0.29309687170066451</v>
      </c>
      <c r="M128" s="57">
        <f t="shared" si="63"/>
        <v>0.17196730275027639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4.2734709152464845</v>
      </c>
      <c r="K129" s="29">
        <f>(B129)</f>
        <v>8.4926143541744032</v>
      </c>
      <c r="L129" s="60">
        <f>IF(SUM(L124:L128)&gt;L130,0,L130-SUM(L124:L128))</f>
        <v>4.1245660399415112</v>
      </c>
      <c r="M129" s="57">
        <f t="shared" si="63"/>
        <v>4.2734709152464845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7.7790234119994643</v>
      </c>
      <c r="J130" s="227">
        <f>(J119)</f>
        <v>9.1135070109086431</v>
      </c>
      <c r="K130" s="22">
        <f>(B130)</f>
        <v>15.323574722601096</v>
      </c>
      <c r="L130" s="22">
        <f>(L119)</f>
        <v>9.0857317045540587</v>
      </c>
      <c r="M130" s="57">
        <f t="shared" si="63"/>
        <v>9.1135070109086431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0.96516514326779301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3.962600249066002E-2</v>
      </c>
      <c r="J6" s="24">
        <f t="shared" ref="J6:J13" si="3">IF(I$32&lt;=1+I$131,I6,B6*H6+J$33*(I6-B6*H6))</f>
        <v>3.962600249066002E-2</v>
      </c>
      <c r="K6" s="22">
        <f t="shared" ref="K6:K31" si="4">B6</f>
        <v>7.925200498132004E-2</v>
      </c>
      <c r="L6" s="22">
        <f t="shared" ref="L6:L29" si="5">IF(K6="","",K6*H6)</f>
        <v>3.962600249066002E-2</v>
      </c>
      <c r="M6" s="177">
        <f t="shared" ref="M6:M31" si="6">J6</f>
        <v>3.962600249066002E-2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0.15850400996264008</v>
      </c>
      <c r="Z6" s="156">
        <f>Poor!Z6</f>
        <v>0.17</v>
      </c>
      <c r="AA6" s="121">
        <f>$M6*Z6*4</f>
        <v>2.6945681693648815E-2</v>
      </c>
      <c r="AB6" s="156">
        <f>Poor!AB6</f>
        <v>0.17</v>
      </c>
      <c r="AC6" s="121">
        <f t="shared" ref="AC6:AC29" si="7">$M6*AB6*4</f>
        <v>2.6945681693648815E-2</v>
      </c>
      <c r="AD6" s="156">
        <f>Poor!AD6</f>
        <v>0.33</v>
      </c>
      <c r="AE6" s="121">
        <f t="shared" ref="AE6:AE29" si="8">$M6*AD6*4</f>
        <v>5.2306323287671229E-2</v>
      </c>
      <c r="AF6" s="122">
        <f>1-SUM(Z6,AB6,AD6)</f>
        <v>0.32999999999999996</v>
      </c>
      <c r="AG6" s="121">
        <f>$M6*AF6*4</f>
        <v>5.2306323287671222E-2</v>
      </c>
      <c r="AH6" s="123">
        <f>SUM(Z6,AB6,AD6,AF6)</f>
        <v>1</v>
      </c>
      <c r="AI6" s="183">
        <f>SUM(AA6,AC6,AE6,AG6)/4</f>
        <v>3.962600249066002E-2</v>
      </c>
      <c r="AJ6" s="120">
        <f>(AA6+AC6)/2</f>
        <v>2.6945681693648815E-2</v>
      </c>
      <c r="AK6" s="119">
        <f>(AE6+AG6)/2</f>
        <v>5.2306323287671222E-2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4.1277137816521384E-2</v>
      </c>
      <c r="J7" s="24">
        <f t="shared" si="3"/>
        <v>4.1277137816521384E-2</v>
      </c>
      <c r="K7" s="22">
        <f t="shared" si="4"/>
        <v>8.2554275633042767E-2</v>
      </c>
      <c r="L7" s="22">
        <f t="shared" si="5"/>
        <v>4.1277137816521384E-2</v>
      </c>
      <c r="M7" s="177">
        <f t="shared" si="6"/>
        <v>4.1277137816521384E-2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9070.7837660954574</v>
      </c>
      <c r="T7" s="221">
        <f>IF($B$81=0,0,(SUMIF($N$6:$N$28,$U7,M$6:M$28)+SUMIF($N$91:$N$118,$U7,M$91:M$118))*$I$83*Poor!$B$81/$B$81)</f>
        <v>8222.339557853682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0.16510855126608553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0.16510855126608553</v>
      </c>
      <c r="AH7" s="123">
        <f t="shared" ref="AH7:AH30" si="12">SUM(Z7,AB7,AD7,AF7)</f>
        <v>1</v>
      </c>
      <c r="AI7" s="183">
        <f t="shared" ref="AI7:AI30" si="13">SUM(AA7,AC7,AE7,AG7)/4</f>
        <v>4.1277137816521384E-2</v>
      </c>
      <c r="AJ7" s="120">
        <f t="shared" ref="AJ7:AJ31" si="14">(AA7+AC7)/2</f>
        <v>0</v>
      </c>
      <c r="AK7" s="119">
        <f t="shared" ref="AK7:AK31" si="15">(AE7+AG7)/2</f>
        <v>8.2554275633042767E-2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6.5000000000000002E-2</v>
      </c>
      <c r="J8" s="24">
        <f t="shared" si="3"/>
        <v>6.5000000000000002E-2</v>
      </c>
      <c r="K8" s="22">
        <f t="shared" si="4"/>
        <v>6.5000000000000002E-2</v>
      </c>
      <c r="L8" s="22">
        <f t="shared" si="5"/>
        <v>6.5000000000000002E-2</v>
      </c>
      <c r="M8" s="223">
        <f t="shared" si="6"/>
        <v>6.5000000000000002E-2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47163.19999999999</v>
      </c>
      <c r="T8" s="221">
        <f>IF($B$81=0,0,(SUMIF($N$6:$N$28,$U8,M$6:M$28)+SUMIF($N$91:$N$118,$U8,M$91:M$118))*$I$83*Poor!$B$81/$B$81)</f>
        <v>47892.718017530395</v>
      </c>
      <c r="U8" s="222">
        <v>2</v>
      </c>
      <c r="V8" s="56"/>
      <c r="W8" s="115"/>
      <c r="X8" s="118">
        <f>Poor!X8</f>
        <v>1</v>
      </c>
      <c r="Y8" s="183">
        <f t="shared" si="9"/>
        <v>0.26</v>
      </c>
      <c r="Z8" s="125">
        <f>IF($Y8=0,0,AA8/$Y8)</f>
        <v>0.30732039709623299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7.9903303245020582E-2</v>
      </c>
      <c r="AB8" s="125">
        <f>IF($Y8=0,0,AC8/$Y8)</f>
        <v>0.17631162662290153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4.5841022921954404E-2</v>
      </c>
      <c r="AD8" s="125">
        <f>IF($Y8=0,0,AE8/$Y8)</f>
        <v>0.47639468059069784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0.12386261695358144</v>
      </c>
      <c r="AF8" s="122">
        <f t="shared" si="10"/>
        <v>3.9973295690167721E-2</v>
      </c>
      <c r="AG8" s="121">
        <f t="shared" si="11"/>
        <v>1.0393056879443608E-2</v>
      </c>
      <c r="AH8" s="123">
        <f t="shared" si="12"/>
        <v>1</v>
      </c>
      <c r="AI8" s="183">
        <f t="shared" si="13"/>
        <v>6.5000000000000002E-2</v>
      </c>
      <c r="AJ8" s="120">
        <f t="shared" si="14"/>
        <v>6.2872163083487489E-2</v>
      </c>
      <c r="AK8" s="119">
        <f t="shared" si="15"/>
        <v>6.7127836916512529E-2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1.3323559006849315</v>
      </c>
      <c r="J9" s="24">
        <f t="shared" si="3"/>
        <v>0.14815736509217456</v>
      </c>
      <c r="K9" s="22">
        <f t="shared" si="4"/>
        <v>0.17086541095890409</v>
      </c>
      <c r="L9" s="22">
        <f t="shared" si="5"/>
        <v>0.18624329794520547</v>
      </c>
      <c r="M9" s="223">
        <f t="shared" si="6"/>
        <v>0.14815736509217456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1382.6476074734351</v>
      </c>
      <c r="T9" s="221">
        <f>IF($B$81=0,0,(SUMIF($N$6:$N$28,$U9,M$6:M$28)+SUMIF($N$91:$N$118,$U9,M$91:M$118))*$I$83*Poor!$B$81/$B$81)</f>
        <v>1382.6476074734351</v>
      </c>
      <c r="U9" s="222">
        <v>3</v>
      </c>
      <c r="V9" s="56"/>
      <c r="W9" s="115"/>
      <c r="X9" s="118">
        <f>Poor!X9</f>
        <v>1</v>
      </c>
      <c r="Y9" s="183">
        <f t="shared" si="9"/>
        <v>0.59262946036869824</v>
      </c>
      <c r="Z9" s="125">
        <f>IF($Y9=0,0,AA9/$Y9)</f>
        <v>0.30732039709623299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0.18212712109143461</v>
      </c>
      <c r="AB9" s="125">
        <f>IF($Y9=0,0,AC9/$Y9)</f>
        <v>0.17631162662290153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0.10448746414225754</v>
      </c>
      <c r="AD9" s="125">
        <f>IF($Y9=0,0,AE9/$Y9)</f>
        <v>0.47639468059069778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0.28232552248098358</v>
      </c>
      <c r="AF9" s="122">
        <f t="shared" si="10"/>
        <v>3.9973295690167721E-2</v>
      </c>
      <c r="AG9" s="121">
        <f t="shared" si="11"/>
        <v>2.3689352654022507E-2</v>
      </c>
      <c r="AH9" s="123">
        <f t="shared" si="12"/>
        <v>1</v>
      </c>
      <c r="AI9" s="183">
        <f t="shared" si="13"/>
        <v>0.14815736509217456</v>
      </c>
      <c r="AJ9" s="120">
        <f t="shared" si="14"/>
        <v>0.14330729261684608</v>
      </c>
      <c r="AK9" s="119">
        <f t="shared" si="15"/>
        <v>0.15300743756750304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1</v>
      </c>
      <c r="H11" s="24">
        <f t="shared" si="1"/>
        <v>1</v>
      </c>
      <c r="I11" s="22">
        <f t="shared" si="2"/>
        <v>8.8376413449564123E-2</v>
      </c>
      <c r="J11" s="24">
        <f t="shared" si="3"/>
        <v>8.8376413449564123E-2</v>
      </c>
      <c r="K11" s="22">
        <f t="shared" si="4"/>
        <v>8.8376413449564123E-2</v>
      </c>
      <c r="L11" s="22">
        <f t="shared" si="5"/>
        <v>8.8376413449564123E-2</v>
      </c>
      <c r="M11" s="223">
        <f t="shared" si="6"/>
        <v>8.8376413449564123E-2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25202.702222222215</v>
      </c>
      <c r="T11" s="221">
        <f>IF($B$81=0,0,(SUMIF($N$6:$N$28,$U11,M$6:M$28)+SUMIF($N$91:$N$118,$U11,M$91:M$118))*$I$83*Poor!$B$81/$B$81)</f>
        <v>25049.339619396909</v>
      </c>
      <c r="U11" s="222">
        <v>5</v>
      </c>
      <c r="V11" s="56"/>
      <c r="W11" s="115"/>
      <c r="X11" s="118">
        <f>Poor!X11</f>
        <v>1</v>
      </c>
      <c r="Y11" s="183">
        <f t="shared" si="9"/>
        <v>0.35350565379825649</v>
      </c>
      <c r="Z11" s="125">
        <f>IF($Y11=0,0,AA11/$Y11)</f>
        <v>0.30732039709623299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0.10863949790104364</v>
      </c>
      <c r="AB11" s="125">
        <f>IF($Y11=0,0,AC11/$Y11)</f>
        <v>0.17631162662290156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6.2327156841562904E-2</v>
      </c>
      <c r="AD11" s="125">
        <f>IF($Y11=0,0,AE11/$Y11)</f>
        <v>0.47639468059069789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0.16840821302822623</v>
      </c>
      <c r="AF11" s="122">
        <f t="shared" si="10"/>
        <v>3.9973295690167499E-2</v>
      </c>
      <c r="AG11" s="121">
        <f t="shared" si="11"/>
        <v>1.4130786027423689E-2</v>
      </c>
      <c r="AH11" s="123">
        <f t="shared" si="12"/>
        <v>1</v>
      </c>
      <c r="AI11" s="183">
        <f t="shared" si="13"/>
        <v>8.8376413449564123E-2</v>
      </c>
      <c r="AJ11" s="120">
        <f t="shared" si="14"/>
        <v>8.5483327371303278E-2</v>
      </c>
      <c r="AK11" s="119">
        <f t="shared" si="15"/>
        <v>9.1269499527824954E-2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1</v>
      </c>
      <c r="H12" s="24">
        <f t="shared" si="1"/>
        <v>1</v>
      </c>
      <c r="I12" s="22">
        <f t="shared" si="2"/>
        <v>1.332453300124533E-3</v>
      </c>
      <c r="J12" s="24">
        <f t="shared" si="3"/>
        <v>1.332453300124533E-3</v>
      </c>
      <c r="K12" s="22">
        <f t="shared" si="4"/>
        <v>1.332453300124533E-3</v>
      </c>
      <c r="L12" s="22">
        <f t="shared" si="5"/>
        <v>1.332453300124533E-3</v>
      </c>
      <c r="M12" s="223">
        <f t="shared" si="6"/>
        <v>1.332453300124533E-3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5.3298132004981321E-3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3.5709748443337485E-3</v>
      </c>
      <c r="AF12" s="122">
        <f>1-SUM(Z12,AB12,AD12)</f>
        <v>0.32999999999999996</v>
      </c>
      <c r="AG12" s="121">
        <f>$M12*AF12*4</f>
        <v>1.7588383561643833E-3</v>
      </c>
      <c r="AH12" s="123">
        <f t="shared" si="12"/>
        <v>1</v>
      </c>
      <c r="AI12" s="183">
        <f t="shared" si="13"/>
        <v>1.332453300124533E-3</v>
      </c>
      <c r="AJ12" s="120">
        <f t="shared" si="14"/>
        <v>0</v>
      </c>
      <c r="AK12" s="119">
        <f t="shared" si="15"/>
        <v>2.664906600249066E-3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1</v>
      </c>
      <c r="H13" s="24">
        <f t="shared" si="1"/>
        <v>1</v>
      </c>
      <c r="I13" s="22">
        <f t="shared" si="2"/>
        <v>0.16076338729763387</v>
      </c>
      <c r="J13" s="24">
        <f t="shared" si="3"/>
        <v>5.9753200585839841E-2</v>
      </c>
      <c r="K13" s="22">
        <f t="shared" si="4"/>
        <v>6.3001867995018682E-2</v>
      </c>
      <c r="L13" s="22">
        <f t="shared" si="5"/>
        <v>6.3001867995018682E-2</v>
      </c>
      <c r="M13" s="224">
        <f t="shared" si="6"/>
        <v>5.9753200585839841E-2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0.23901280234335937</v>
      </c>
      <c r="Z13" s="156">
        <f>Poor!Z13</f>
        <v>1</v>
      </c>
      <c r="AA13" s="121">
        <f>$M13*Z13*4</f>
        <v>0.23901280234335937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5.9753200585839841E-2</v>
      </c>
      <c r="AJ13" s="120">
        <f t="shared" si="14"/>
        <v>0.11950640117167968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1</v>
      </c>
      <c r="F14" s="22"/>
      <c r="H14" s="24">
        <f t="shared" si="1"/>
        <v>1</v>
      </c>
      <c r="I14" s="22">
        <f t="shared" si="2"/>
        <v>0.32225716064757165</v>
      </c>
      <c r="J14" s="24">
        <f>IF(I$32&lt;=1+I131,I14,B14*H14+J$33*(I14-B14*H14))</f>
        <v>0.10062084764981329</v>
      </c>
      <c r="K14" s="22">
        <f t="shared" si="4"/>
        <v>0.10774906600249066</v>
      </c>
      <c r="L14" s="22">
        <f t="shared" si="5"/>
        <v>0.10774906600249066</v>
      </c>
      <c r="M14" s="224">
        <f t="shared" si="6"/>
        <v>0.10062084764981329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110762.66666666667</v>
      </c>
      <c r="T14" s="221">
        <f>IF($B$81=0,0,(SUMIF($N$6:$N$28,$U14,M$6:M$28)+SUMIF($N$91:$N$118,$U14,M$91:M$118))*$I$83*Poor!$B$81/$B$81)</f>
        <v>110762.66666666667</v>
      </c>
      <c r="U14" s="222">
        <v>8</v>
      </c>
      <c r="V14" s="56"/>
      <c r="W14" s="110"/>
      <c r="X14" s="118"/>
      <c r="Y14" s="183">
        <f>M14*4</f>
        <v>0.40248339059925314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0.40248339059925314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0.10062084764981329</v>
      </c>
      <c r="AJ14" s="120">
        <f t="shared" si="14"/>
        <v>0.20124169529962657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1</v>
      </c>
      <c r="F16" s="22"/>
      <c r="H16" s="24">
        <f t="shared" si="1"/>
        <v>1</v>
      </c>
      <c r="I16" s="22">
        <f t="shared" si="2"/>
        <v>3.1366749688667497E-2</v>
      </c>
      <c r="J16" s="24">
        <f>IF(I$32&lt;=1+I131,I16,B16*H16+J$33*(I16-B16*H16))</f>
        <v>6.2758463304307052E-3</v>
      </c>
      <c r="K16" s="22">
        <f t="shared" si="4"/>
        <v>7.0828144458281441E-3</v>
      </c>
      <c r="L16" s="22">
        <f t="shared" si="5"/>
        <v>7.0828144458281441E-3</v>
      </c>
      <c r="M16" s="223">
        <f t="shared" si="6"/>
        <v>6.2758463304307052E-3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2.5103385321722821E-2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2.5103385321722821E-2</v>
      </c>
      <c r="AH16" s="123">
        <f t="shared" si="12"/>
        <v>1</v>
      </c>
      <c r="AI16" s="183">
        <f t="shared" si="13"/>
        <v>6.2758463304307052E-3</v>
      </c>
      <c r="AJ16" s="120">
        <f t="shared" si="14"/>
        <v>0</v>
      </c>
      <c r="AK16" s="119">
        <f t="shared" si="15"/>
        <v>1.255169266086141E-2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1</v>
      </c>
      <c r="F17" s="22"/>
      <c r="H17" s="24">
        <f t="shared" si="1"/>
        <v>1</v>
      </c>
      <c r="I17" s="22">
        <f t="shared" si="2"/>
        <v>2.3271586550435864E-2</v>
      </c>
      <c r="J17" s="24">
        <f t="shared" ref="J17:J25" si="17">IF(I$32&lt;=1+I131,I17,B17*H17+J$33*(I17-B17*H17))</f>
        <v>1.1599298308184111E-2</v>
      </c>
      <c r="K17" s="22">
        <f t="shared" si="4"/>
        <v>1.1974699875466999E-2</v>
      </c>
      <c r="L17" s="22">
        <f t="shared" si="5"/>
        <v>1.1974699875466999E-2</v>
      </c>
      <c r="M17" s="224">
        <f t="shared" si="6"/>
        <v>1.1599298308184111E-2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4.6397193232736444E-2</v>
      </c>
      <c r="Z17" s="156">
        <f>Poor!Z17</f>
        <v>0.29409999999999997</v>
      </c>
      <c r="AA17" s="121">
        <f t="shared" si="16"/>
        <v>1.3645414529747787E-2</v>
      </c>
      <c r="AB17" s="156">
        <f>Poor!AB17</f>
        <v>0.17649999999999999</v>
      </c>
      <c r="AC17" s="121">
        <f t="shared" si="7"/>
        <v>8.1891046055779827E-3</v>
      </c>
      <c r="AD17" s="156">
        <f>Poor!AD17</f>
        <v>0.23530000000000001</v>
      </c>
      <c r="AE17" s="121">
        <f t="shared" si="8"/>
        <v>1.0917259567662886E-2</v>
      </c>
      <c r="AF17" s="122">
        <f t="shared" si="10"/>
        <v>0.29410000000000003</v>
      </c>
      <c r="AG17" s="121">
        <f t="shared" si="11"/>
        <v>1.3645414529747789E-2</v>
      </c>
      <c r="AH17" s="123">
        <f t="shared" si="12"/>
        <v>1</v>
      </c>
      <c r="AI17" s="183">
        <f t="shared" si="13"/>
        <v>1.1599298308184111E-2</v>
      </c>
      <c r="AJ17" s="120">
        <f t="shared" si="14"/>
        <v>1.0917259567662884E-2</v>
      </c>
      <c r="AK17" s="119">
        <f t="shared" si="15"/>
        <v>1.2281337048705338E-2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7803.7333333333336</v>
      </c>
      <c r="T20" s="221">
        <f>IF($B$81=0,0,(SUMIF($N$6:$N$28,$U20,M$6:M$28)+SUMIF($N$91:$N$118,$U20,M$91:M$118))*$I$83*Poor!$B$81/$B$81)</f>
        <v>7803.7333333333336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222880.76216243368</v>
      </c>
      <c r="T23" s="179">
        <f>SUM(T7:T22)</f>
        <v>222608.47336889702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4.6793305523299224E-2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4.6793305523299224E-2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0.18717322209319689</v>
      </c>
      <c r="Z27" s="156">
        <f>Poor!Z27</f>
        <v>0.25</v>
      </c>
      <c r="AA27" s="121">
        <f t="shared" si="16"/>
        <v>4.6793305523299224E-2</v>
      </c>
      <c r="AB27" s="156">
        <f>Poor!AB27</f>
        <v>0.25</v>
      </c>
      <c r="AC27" s="121">
        <f t="shared" si="7"/>
        <v>4.6793305523299224E-2</v>
      </c>
      <c r="AD27" s="156">
        <f>Poor!AD27</f>
        <v>0.25</v>
      </c>
      <c r="AE27" s="121">
        <f t="shared" si="8"/>
        <v>4.6793305523299224E-2</v>
      </c>
      <c r="AF27" s="122">
        <f t="shared" si="10"/>
        <v>0.25</v>
      </c>
      <c r="AG27" s="121">
        <f t="shared" si="11"/>
        <v>4.6793305523299224E-2</v>
      </c>
      <c r="AH27" s="123">
        <f t="shared" si="12"/>
        <v>1</v>
      </c>
      <c r="AI27" s="183">
        <f t="shared" si="13"/>
        <v>4.6793305523299224E-2</v>
      </c>
      <c r="AJ27" s="120">
        <f t="shared" si="14"/>
        <v>4.6793305523299224E-2</v>
      </c>
      <c r="AK27" s="119">
        <f t="shared" si="15"/>
        <v>4.6793305523299224E-2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4.441455320897846E-3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4.441455320897846E-3</v>
      </c>
      <c r="N28" s="228"/>
      <c r="O28" s="2"/>
      <c r="P28" s="22"/>
      <c r="V28" s="56"/>
      <c r="W28" s="110"/>
      <c r="X28" s="118"/>
      <c r="Y28" s="183">
        <f t="shared" si="9"/>
        <v>1.7765821283591384E-2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8.882910641795692E-3</v>
      </c>
      <c r="AF28" s="122">
        <f t="shared" si="10"/>
        <v>0.5</v>
      </c>
      <c r="AG28" s="121">
        <f t="shared" si="11"/>
        <v>8.882910641795692E-3</v>
      </c>
      <c r="AH28" s="123">
        <f t="shared" si="12"/>
        <v>1</v>
      </c>
      <c r="AI28" s="183">
        <f t="shared" si="13"/>
        <v>4.441455320897846E-3</v>
      </c>
      <c r="AJ28" s="120">
        <f t="shared" si="14"/>
        <v>0</v>
      </c>
      <c r="AK28" s="119">
        <f t="shared" si="15"/>
        <v>8.882910641795692E-3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0.22356779430736662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0.22356779430736662</v>
      </c>
      <c r="N29" s="228"/>
      <c r="P29" s="22"/>
      <c r="V29" s="56"/>
      <c r="W29" s="110"/>
      <c r="X29" s="118"/>
      <c r="Y29" s="183">
        <f t="shared" si="9"/>
        <v>0.89427117722946647</v>
      </c>
      <c r="Z29" s="156">
        <f>Poor!Z29</f>
        <v>0.25</v>
      </c>
      <c r="AA29" s="121">
        <f t="shared" si="16"/>
        <v>0.22356779430736662</v>
      </c>
      <c r="AB29" s="156">
        <f>Poor!AB29</f>
        <v>0.25</v>
      </c>
      <c r="AC29" s="121">
        <f t="shared" si="7"/>
        <v>0.22356779430736662</v>
      </c>
      <c r="AD29" s="156">
        <f>Poor!AD29</f>
        <v>0.25</v>
      </c>
      <c r="AE29" s="121">
        <f t="shared" si="8"/>
        <v>0.22356779430736662</v>
      </c>
      <c r="AF29" s="122">
        <f t="shared" si="10"/>
        <v>0.25</v>
      </c>
      <c r="AG29" s="121">
        <f t="shared" si="11"/>
        <v>0.22356779430736662</v>
      </c>
      <c r="AH29" s="123">
        <f t="shared" si="12"/>
        <v>1</v>
      </c>
      <c r="AI29" s="183">
        <f t="shared" si="13"/>
        <v>0.22356779430736662</v>
      </c>
      <c r="AJ29" s="120">
        <f t="shared" si="14"/>
        <v>0.22356779430736662</v>
      </c>
      <c r="AK29" s="119">
        <f t="shared" si="15"/>
        <v>0.22356779430736662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10.389009013527772</v>
      </c>
      <c r="J30" s="230">
        <f>IF(I$32&lt;=1,I30,1-SUM(J6:J29))</f>
        <v>8.3813800460044496E-2</v>
      </c>
      <c r="K30" s="22">
        <f t="shared" si="4"/>
        <v>0.57612499925280203</v>
      </c>
      <c r="L30" s="22">
        <f>IF(L124=L119,0,IF(K30="",0,(L119-L124)/(B119-B124)*K30))</f>
        <v>0.35129311446190747</v>
      </c>
      <c r="M30" s="175">
        <f t="shared" si="6"/>
        <v>8.3813800460044496E-2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0.33525520184017799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0.99999999999999867</v>
      </c>
      <c r="AG30" s="187">
        <f>IF(AG79*4/$I$83+SUM(AG6:AG29)&lt;1,AG79*4/$I$83,1-SUM(AG6:AG29))</f>
        <v>0.33525520184017754</v>
      </c>
      <c r="AH30" s="123">
        <f t="shared" si="12"/>
        <v>0.99999999999999867</v>
      </c>
      <c r="AI30" s="183">
        <f t="shared" si="13"/>
        <v>8.3813800460044385E-2</v>
      </c>
      <c r="AJ30" s="120">
        <f t="shared" si="14"/>
        <v>0</v>
      </c>
      <c r="AK30" s="119">
        <f t="shared" si="15"/>
        <v>0.16762760092008877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-0.31551108147746421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12.79863765876096</v>
      </c>
      <c r="J32" s="17"/>
      <c r="L32" s="22">
        <f>SUM(L6:L30)</f>
        <v>1.3155110814774642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-3.3230533162263771E-2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26432</v>
      </c>
      <c r="J37" s="38">
        <f>J91*I$83</f>
        <v>22530.521506779289</v>
      </c>
      <c r="K37" s="40">
        <f t="shared" ref="K37:K52" si="28">(B37/B$65)</f>
        <v>0.10392939729610351</v>
      </c>
      <c r="L37" s="22">
        <f t="shared" ref="L37:L52" si="29">(K37*H37)</f>
        <v>9.8109351047521706E-2</v>
      </c>
      <c r="M37" s="24">
        <f t="shared" ref="M37:M52" si="30">J37/B$65</f>
        <v>9.7565980040269562E-2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22530.521506779289</v>
      </c>
      <c r="AH37" s="123">
        <f>SUM(Z37,AB37,AD37,AF37)</f>
        <v>1</v>
      </c>
      <c r="AI37" s="112">
        <f>SUM(AA37,AC37,AE37,AG37)</f>
        <v>22530.521506779289</v>
      </c>
      <c r="AJ37" s="148">
        <f>(AA37+AC37)</f>
        <v>0</v>
      </c>
      <c r="AK37" s="147">
        <f>(AE37+AG37)</f>
        <v>22530.521506779289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7080</v>
      </c>
      <c r="J38" s="38">
        <f t="shared" ref="J38:J64" si="33">J92*I$83</f>
        <v>5616.9455650422342</v>
      </c>
      <c r="K38" s="40">
        <f t="shared" si="28"/>
        <v>2.5982349324025877E-2</v>
      </c>
      <c r="L38" s="22">
        <f t="shared" si="29"/>
        <v>2.4527337761880427E-2</v>
      </c>
      <c r="M38" s="24">
        <f t="shared" si="30"/>
        <v>2.4323573634160874E-2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5616.9455650422342</v>
      </c>
      <c r="AH38" s="123">
        <f t="shared" ref="AH38:AI58" si="35">SUM(Z38,AB38,AD38,AF38)</f>
        <v>1</v>
      </c>
      <c r="AI38" s="112">
        <f t="shared" si="35"/>
        <v>5616.9455650422342</v>
      </c>
      <c r="AJ38" s="148">
        <f t="shared" ref="AJ38:AJ64" si="36">(AA38+AC38)</f>
        <v>0</v>
      </c>
      <c r="AK38" s="147">
        <f t="shared" ref="AK38:AK64" si="37">(AE38+AG38)</f>
        <v>5616.9455650422342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0.30732039709623299</v>
      </c>
      <c r="AA39" s="147">
        <f>$J39*Z39</f>
        <v>10.153865920059538</v>
      </c>
      <c r="AB39" s="122">
        <f>AB8</f>
        <v>0.17631162662290153</v>
      </c>
      <c r="AC39" s="147">
        <f>$J39*AB39</f>
        <v>5.8253361436206665</v>
      </c>
      <c r="AD39" s="122">
        <f>AD8</f>
        <v>0.47639468059069784</v>
      </c>
      <c r="AE39" s="147">
        <f>$J39*AD39</f>
        <v>15.740080246716657</v>
      </c>
      <c r="AF39" s="122">
        <f t="shared" si="31"/>
        <v>3.9973295690167721E-2</v>
      </c>
      <c r="AG39" s="147">
        <f t="shared" si="34"/>
        <v>1.3207176896031414</v>
      </c>
      <c r="AH39" s="123">
        <f t="shared" si="35"/>
        <v>1</v>
      </c>
      <c r="AI39" s="112">
        <f t="shared" si="35"/>
        <v>33.040000000000006</v>
      </c>
      <c r="AJ39" s="148">
        <f t="shared" si="36"/>
        <v>15.979202063680205</v>
      </c>
      <c r="AK39" s="147">
        <f t="shared" si="37"/>
        <v>17.060797936319798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7725.8779886675111</v>
      </c>
      <c r="K40" s="40">
        <f t="shared" si="28"/>
        <v>2.1218918614621135E-2</v>
      </c>
      <c r="L40" s="22">
        <f t="shared" si="29"/>
        <v>3.2380069805911856E-2</v>
      </c>
      <c r="M40" s="24">
        <f t="shared" si="30"/>
        <v>3.3456076789393621E-2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0.30732039709623299</v>
      </c>
      <c r="AA40" s="147">
        <f>$J40*Z40</f>
        <v>2374.3198913943452</v>
      </c>
      <c r="AB40" s="122">
        <f>AB9</f>
        <v>0.17631162662290153</v>
      </c>
      <c r="AC40" s="147">
        <f>$J40*AB40</f>
        <v>1362.1621152720397</v>
      </c>
      <c r="AD40" s="122">
        <f>AD9</f>
        <v>0.47639468059069778</v>
      </c>
      <c r="AE40" s="147">
        <f>$J40*AD40</f>
        <v>3680.5671766939618</v>
      </c>
      <c r="AF40" s="122">
        <f t="shared" si="31"/>
        <v>3.9973295690167721E-2</v>
      </c>
      <c r="AG40" s="147">
        <f t="shared" si="34"/>
        <v>308.82880530716466</v>
      </c>
      <c r="AH40" s="123">
        <f t="shared" si="35"/>
        <v>1</v>
      </c>
      <c r="AI40" s="112">
        <f t="shared" si="35"/>
        <v>7725.8779886675111</v>
      </c>
      <c r="AJ40" s="148">
        <f t="shared" si="36"/>
        <v>3736.4820066663851</v>
      </c>
      <c r="AK40" s="147">
        <f t="shared" si="37"/>
        <v>3989.3959820011264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0.30732039709623299</v>
      </c>
      <c r="AA41" s="147">
        <f>$J41*Z41</f>
        <v>0</v>
      </c>
      <c r="AB41" s="122">
        <f>AB11</f>
        <v>0.17631162662290156</v>
      </c>
      <c r="AC41" s="147">
        <f>$J41*AB41</f>
        <v>0</v>
      </c>
      <c r="AD41" s="122">
        <f>AD11</f>
        <v>0.47639468059069789</v>
      </c>
      <c r="AE41" s="147">
        <f>$J41*AD41</f>
        <v>0</v>
      </c>
      <c r="AF41" s="122">
        <f t="shared" si="31"/>
        <v>3.9973295690167499E-2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3919.9999999999995</v>
      </c>
      <c r="J42" s="38">
        <f t="shared" si="33"/>
        <v>3919.9999999999995</v>
      </c>
      <c r="K42" s="40">
        <f t="shared" si="28"/>
        <v>1.2125096351212077E-2</v>
      </c>
      <c r="L42" s="22">
        <f t="shared" si="29"/>
        <v>1.6975134891696907E-2</v>
      </c>
      <c r="M42" s="24">
        <f t="shared" si="30"/>
        <v>1.6975134891696907E-2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979.99999999999989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1959.9999999999998</v>
      </c>
      <c r="AF42" s="122">
        <f t="shared" si="31"/>
        <v>0.25</v>
      </c>
      <c r="AG42" s="147">
        <f t="shared" si="34"/>
        <v>979.99999999999989</v>
      </c>
      <c r="AH42" s="123">
        <f t="shared" si="35"/>
        <v>1</v>
      </c>
      <c r="AI42" s="112">
        <f t="shared" si="35"/>
        <v>3919.9999999999995</v>
      </c>
      <c r="AJ42" s="148">
        <f t="shared" si="36"/>
        <v>979.99999999999989</v>
      </c>
      <c r="AK42" s="147">
        <f t="shared" si="37"/>
        <v>2939.9999999999995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5207.4818871378093</v>
      </c>
      <c r="K43" s="40">
        <f t="shared" si="28"/>
        <v>1.5589409594415527E-2</v>
      </c>
      <c r="L43" s="22">
        <f t="shared" si="29"/>
        <v>2.1825173432181738E-2</v>
      </c>
      <c r="M43" s="24">
        <f t="shared" si="30"/>
        <v>2.2550435581692011E-2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1301.8704717844523</v>
      </c>
      <c r="AB43" s="156">
        <f>Poor!AB43</f>
        <v>0.25</v>
      </c>
      <c r="AC43" s="147">
        <f t="shared" si="39"/>
        <v>1301.8704717844523</v>
      </c>
      <c r="AD43" s="156">
        <f>Poor!AD43</f>
        <v>0.25</v>
      </c>
      <c r="AE43" s="147">
        <f t="shared" si="40"/>
        <v>1301.8704717844523</v>
      </c>
      <c r="AF43" s="122">
        <f t="shared" si="31"/>
        <v>0.25</v>
      </c>
      <c r="AG43" s="147">
        <f t="shared" si="34"/>
        <v>1301.8704717844523</v>
      </c>
      <c r="AH43" s="123">
        <f t="shared" si="35"/>
        <v>1</v>
      </c>
      <c r="AI43" s="112">
        <f t="shared" si="35"/>
        <v>5207.4818871378093</v>
      </c>
      <c r="AJ43" s="148">
        <f t="shared" si="36"/>
        <v>2603.7409435689046</v>
      </c>
      <c r="AK43" s="147">
        <f t="shared" si="37"/>
        <v>2603.7409435689046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5641.4387110659609</v>
      </c>
      <c r="K44" s="40">
        <f t="shared" si="28"/>
        <v>1.6888527060616821E-2</v>
      </c>
      <c r="L44" s="22">
        <f t="shared" si="29"/>
        <v>2.3643937884863547E-2</v>
      </c>
      <c r="M44" s="24">
        <f t="shared" si="30"/>
        <v>2.4429638546833016E-2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1410.3596777664902</v>
      </c>
      <c r="AB44" s="156">
        <f>Poor!AB44</f>
        <v>0.25</v>
      </c>
      <c r="AC44" s="147">
        <f t="shared" si="39"/>
        <v>1410.3596777664902</v>
      </c>
      <c r="AD44" s="156">
        <f>Poor!AD44</f>
        <v>0.25</v>
      </c>
      <c r="AE44" s="147">
        <f t="shared" si="40"/>
        <v>1410.3596777664902</v>
      </c>
      <c r="AF44" s="122">
        <f t="shared" si="31"/>
        <v>0.25</v>
      </c>
      <c r="AG44" s="147">
        <f t="shared" si="34"/>
        <v>1410.3596777664902</v>
      </c>
      <c r="AH44" s="123">
        <f t="shared" si="35"/>
        <v>1</v>
      </c>
      <c r="AI44" s="112">
        <f t="shared" si="35"/>
        <v>5641.4387110659609</v>
      </c>
      <c r="AJ44" s="148">
        <f t="shared" si="36"/>
        <v>2820.7193555329804</v>
      </c>
      <c r="AK44" s="147">
        <f t="shared" si="37"/>
        <v>2820.7193555329804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6075.3955349941107</v>
      </c>
      <c r="K46" s="40">
        <f t="shared" si="28"/>
        <v>1.8187644526818116E-2</v>
      </c>
      <c r="L46" s="22">
        <f t="shared" si="29"/>
        <v>2.546270233754536E-2</v>
      </c>
      <c r="M46" s="24">
        <f t="shared" si="30"/>
        <v>2.6308841511974011E-2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1518.8488837485277</v>
      </c>
      <c r="AB46" s="156">
        <f>Poor!AB46</f>
        <v>0.25</v>
      </c>
      <c r="AC46" s="147">
        <f t="shared" si="39"/>
        <v>1518.8488837485277</v>
      </c>
      <c r="AD46" s="156">
        <f>Poor!AD46</f>
        <v>0.25</v>
      </c>
      <c r="AE46" s="147">
        <f t="shared" si="40"/>
        <v>1518.8488837485277</v>
      </c>
      <c r="AF46" s="122">
        <f t="shared" si="31"/>
        <v>0.25</v>
      </c>
      <c r="AG46" s="147">
        <f t="shared" si="34"/>
        <v>1518.8488837485277</v>
      </c>
      <c r="AH46" s="123">
        <f t="shared" si="35"/>
        <v>1</v>
      </c>
      <c r="AI46" s="112">
        <f t="shared" si="35"/>
        <v>6075.3955349941107</v>
      </c>
      <c r="AJ46" s="148">
        <f t="shared" si="36"/>
        <v>3037.6977674970553</v>
      </c>
      <c r="AK46" s="147">
        <f t="shared" si="37"/>
        <v>3037.6977674970553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867.9136478563014</v>
      </c>
      <c r="K47" s="40">
        <f t="shared" si="28"/>
        <v>2.5982349324025879E-3</v>
      </c>
      <c r="L47" s="22">
        <f t="shared" si="29"/>
        <v>3.6375289053636227E-3</v>
      </c>
      <c r="M47" s="24">
        <f t="shared" si="30"/>
        <v>3.758405930282001E-3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216.97841196407535</v>
      </c>
      <c r="AB47" s="156">
        <f>Poor!AB47</f>
        <v>0.25</v>
      </c>
      <c r="AC47" s="147">
        <f t="shared" si="39"/>
        <v>216.97841196407535</v>
      </c>
      <c r="AD47" s="156">
        <f>Poor!AD47</f>
        <v>0.25</v>
      </c>
      <c r="AE47" s="147">
        <f t="shared" si="40"/>
        <v>216.97841196407535</v>
      </c>
      <c r="AF47" s="122">
        <f t="shared" si="31"/>
        <v>0.25</v>
      </c>
      <c r="AG47" s="147">
        <f t="shared" si="34"/>
        <v>216.97841196407535</v>
      </c>
      <c r="AH47" s="123">
        <f t="shared" si="35"/>
        <v>1</v>
      </c>
      <c r="AI47" s="112">
        <f t="shared" si="35"/>
        <v>867.9136478563014</v>
      </c>
      <c r="AJ47" s="148">
        <f t="shared" si="36"/>
        <v>433.9568239281507</v>
      </c>
      <c r="AK47" s="147">
        <f t="shared" si="37"/>
        <v>433.9568239281507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4233.5999999999995</v>
      </c>
      <c r="J48" s="38">
        <f t="shared" si="33"/>
        <v>4233.5999999999995</v>
      </c>
      <c r="K48" s="40">
        <f t="shared" si="28"/>
        <v>1.3095104059309044E-2</v>
      </c>
      <c r="L48" s="22">
        <f t="shared" si="29"/>
        <v>1.833314568303266E-2</v>
      </c>
      <c r="M48" s="24">
        <f t="shared" si="30"/>
        <v>1.8333145683032657E-2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1058.3999999999999</v>
      </c>
      <c r="AB48" s="156">
        <f>Poor!AB48</f>
        <v>0.25</v>
      </c>
      <c r="AC48" s="147">
        <f t="shared" si="39"/>
        <v>1058.3999999999999</v>
      </c>
      <c r="AD48" s="156">
        <f>Poor!AD48</f>
        <v>0.25</v>
      </c>
      <c r="AE48" s="147">
        <f t="shared" si="40"/>
        <v>1058.3999999999999</v>
      </c>
      <c r="AF48" s="122">
        <f t="shared" si="31"/>
        <v>0.25</v>
      </c>
      <c r="AG48" s="147">
        <f t="shared" si="34"/>
        <v>1058.3999999999999</v>
      </c>
      <c r="AH48" s="123">
        <f t="shared" si="35"/>
        <v>1</v>
      </c>
      <c r="AI48" s="112">
        <f t="shared" si="35"/>
        <v>4233.5999999999995</v>
      </c>
      <c r="AJ48" s="148">
        <f t="shared" si="36"/>
        <v>2116.7999999999997</v>
      </c>
      <c r="AK48" s="147">
        <f t="shared" si="37"/>
        <v>2116.7999999999997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2595.6</v>
      </c>
      <c r="J49" s="38">
        <f t="shared" si="33"/>
        <v>2595.6</v>
      </c>
      <c r="K49" s="40">
        <f t="shared" si="28"/>
        <v>8.0285459411239962E-3</v>
      </c>
      <c r="L49" s="22">
        <f t="shared" si="29"/>
        <v>1.1239964317573594E-2</v>
      </c>
      <c r="M49" s="24">
        <f t="shared" si="30"/>
        <v>1.1239964317573594E-2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648.9</v>
      </c>
      <c r="AB49" s="156">
        <f>Poor!AB49</f>
        <v>0.25</v>
      </c>
      <c r="AC49" s="147">
        <f t="shared" si="39"/>
        <v>648.9</v>
      </c>
      <c r="AD49" s="156">
        <f>Poor!AD49</f>
        <v>0.25</v>
      </c>
      <c r="AE49" s="147">
        <f t="shared" si="40"/>
        <v>648.9</v>
      </c>
      <c r="AF49" s="122">
        <f t="shared" si="31"/>
        <v>0.25</v>
      </c>
      <c r="AG49" s="147">
        <f t="shared" si="34"/>
        <v>648.9</v>
      </c>
      <c r="AH49" s="123">
        <f t="shared" si="35"/>
        <v>1</v>
      </c>
      <c r="AI49" s="112">
        <f t="shared" si="35"/>
        <v>2595.6</v>
      </c>
      <c r="AJ49" s="148">
        <f t="shared" si="36"/>
        <v>1297.8</v>
      </c>
      <c r="AK49" s="147">
        <f t="shared" si="37"/>
        <v>1297.8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672</v>
      </c>
      <c r="J51" s="38">
        <f t="shared" si="33"/>
        <v>672</v>
      </c>
      <c r="K51" s="40">
        <f t="shared" si="28"/>
        <v>2.0785879459220701E-3</v>
      </c>
      <c r="L51" s="22">
        <f t="shared" si="29"/>
        <v>2.9100231242908977E-3</v>
      </c>
      <c r="M51" s="24">
        <f t="shared" si="30"/>
        <v>2.9100231242908982E-3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168</v>
      </c>
      <c r="AB51" s="156">
        <f>Poor!AB56</f>
        <v>0.25</v>
      </c>
      <c r="AC51" s="147">
        <f t="shared" si="39"/>
        <v>168</v>
      </c>
      <c r="AD51" s="156">
        <f>Poor!AD56</f>
        <v>0.25</v>
      </c>
      <c r="AE51" s="147">
        <f t="shared" si="40"/>
        <v>168</v>
      </c>
      <c r="AF51" s="122">
        <f t="shared" si="31"/>
        <v>0.25</v>
      </c>
      <c r="AG51" s="147">
        <f t="shared" si="34"/>
        <v>168</v>
      </c>
      <c r="AH51" s="123">
        <f t="shared" si="35"/>
        <v>1</v>
      </c>
      <c r="AI51" s="112">
        <f t="shared" si="35"/>
        <v>672</v>
      </c>
      <c r="AJ51" s="148">
        <f t="shared" si="36"/>
        <v>336</v>
      </c>
      <c r="AK51" s="147">
        <f t="shared" si="37"/>
        <v>336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16940</v>
      </c>
      <c r="J52" s="38">
        <f t="shared" si="33"/>
        <v>16940</v>
      </c>
      <c r="K52" s="40">
        <f t="shared" si="28"/>
        <v>5.2397737803452187E-2</v>
      </c>
      <c r="L52" s="22">
        <f t="shared" si="29"/>
        <v>7.3356832924833054E-2</v>
      </c>
      <c r="M52" s="24">
        <f t="shared" si="30"/>
        <v>7.3356832924833068E-2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4235</v>
      </c>
      <c r="AB52" s="156">
        <f>Poor!AB57</f>
        <v>0.25</v>
      </c>
      <c r="AC52" s="147">
        <f t="shared" si="39"/>
        <v>4235</v>
      </c>
      <c r="AD52" s="156">
        <f>Poor!AD57</f>
        <v>0.25</v>
      </c>
      <c r="AE52" s="147">
        <f t="shared" si="40"/>
        <v>4235</v>
      </c>
      <c r="AF52" s="122">
        <f t="shared" si="31"/>
        <v>0.25</v>
      </c>
      <c r="AG52" s="147">
        <f t="shared" si="34"/>
        <v>4235</v>
      </c>
      <c r="AH52" s="123">
        <f t="shared" si="35"/>
        <v>1</v>
      </c>
      <c r="AI52" s="112">
        <f t="shared" si="35"/>
        <v>16940</v>
      </c>
      <c r="AJ52" s="148">
        <f t="shared" si="36"/>
        <v>8470</v>
      </c>
      <c r="AK52" s="147">
        <f t="shared" si="37"/>
        <v>8470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124608</v>
      </c>
      <c r="J57" s="38">
        <f t="shared" si="33"/>
        <v>124608</v>
      </c>
      <c r="K57" s="40">
        <f t="shared" si="43"/>
        <v>0.5716116851285693</v>
      </c>
      <c r="L57" s="22">
        <f t="shared" si="44"/>
        <v>0.53960143076136935</v>
      </c>
      <c r="M57" s="24">
        <f t="shared" si="45"/>
        <v>0.53960143076136946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1.18</v>
      </c>
      <c r="G60" s="22">
        <f t="shared" si="32"/>
        <v>1.65</v>
      </c>
      <c r="H60" s="24">
        <f t="shared" si="41"/>
        <v>1.18</v>
      </c>
      <c r="I60" s="39">
        <f t="shared" si="42"/>
        <v>8779.1999999999989</v>
      </c>
      <c r="J60" s="38">
        <f t="shared" si="33"/>
        <v>8779.2000000000007</v>
      </c>
      <c r="K60" s="40">
        <f t="shared" si="43"/>
        <v>3.2218113161792086E-2</v>
      </c>
      <c r="L60" s="22">
        <f t="shared" si="44"/>
        <v>3.801737353091466E-2</v>
      </c>
      <c r="M60" s="24">
        <f t="shared" si="45"/>
        <v>3.8017373530914667E-2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2194.8000000000002</v>
      </c>
      <c r="AB60" s="156">
        <f>Poor!AB60</f>
        <v>0.25</v>
      </c>
      <c r="AC60" s="147">
        <f t="shared" si="39"/>
        <v>2194.8000000000002</v>
      </c>
      <c r="AD60" s="156">
        <f>Poor!AD60</f>
        <v>0.25</v>
      </c>
      <c r="AE60" s="147">
        <f t="shared" si="40"/>
        <v>2194.8000000000002</v>
      </c>
      <c r="AF60" s="122">
        <f t="shared" si="31"/>
        <v>0.25</v>
      </c>
      <c r="AG60" s="147">
        <f t="shared" si="34"/>
        <v>2194.8000000000002</v>
      </c>
      <c r="AH60" s="123">
        <f t="shared" si="46"/>
        <v>1</v>
      </c>
      <c r="AI60" s="112">
        <f t="shared" si="46"/>
        <v>8779.2000000000007</v>
      </c>
      <c r="AJ60" s="148">
        <f t="shared" si="36"/>
        <v>4389.6000000000004</v>
      </c>
      <c r="AK60" s="147">
        <f t="shared" si="37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217949.44</v>
      </c>
      <c r="J65" s="39">
        <f>SUM(J37:J64)</f>
        <v>238103.01484154322</v>
      </c>
      <c r="K65" s="40">
        <f>SUM(K37:K64)</f>
        <v>1</v>
      </c>
      <c r="L65" s="22">
        <f>SUM(L37:L64)</f>
        <v>1.0282724335934454</v>
      </c>
      <c r="M65" s="24">
        <f>SUM(M37:M64)</f>
        <v>1.0310792844527823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21781.631202577948</v>
      </c>
      <c r="AB65" s="137"/>
      <c r="AC65" s="153">
        <f>SUM(AC37:AC64)</f>
        <v>19785.144896679205</v>
      </c>
      <c r="AD65" s="137"/>
      <c r="AE65" s="153">
        <f>SUM(AE37:AE64)</f>
        <v>24073.464702204223</v>
      </c>
      <c r="AF65" s="137"/>
      <c r="AG65" s="153">
        <f>SUM(AG37:AG64)</f>
        <v>47854.774040081844</v>
      </c>
      <c r="AH65" s="137"/>
      <c r="AI65" s="153">
        <f>SUM(AI37:AI64)</f>
        <v>113495.0148415432</v>
      </c>
      <c r="AJ65" s="153">
        <f>SUM(AJ37:AJ64)</f>
        <v>41566.776099257149</v>
      </c>
      <c r="AK65" s="153">
        <f>SUM(AK37:AK64)</f>
        <v>71928.238742286063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199743.55386315522</v>
      </c>
      <c r="J74" s="51">
        <f>J128*I$83</f>
        <v>1611.4401618929626</v>
      </c>
      <c r="K74" s="40">
        <f>B74/B$76</f>
        <v>2.9070907747959899E-2</v>
      </c>
      <c r="L74" s="22">
        <f>(L128*G$37*F$9/F$7)/B$130</f>
        <v>2.9247951511963199E-2</v>
      </c>
      <c r="M74" s="24">
        <f>J74/B$76</f>
        <v>6.9781668668446283E-3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1611.4401618929605</v>
      </c>
      <c r="AH74" s="155"/>
      <c r="AI74" s="147">
        <f>SUM(AA74,AC74,AE74,AG74)</f>
        <v>1611.4401618929605</v>
      </c>
      <c r="AJ74" s="148">
        <f>(AA74+AC74)</f>
        <v>0</v>
      </c>
      <c r="AK74" s="147">
        <f>(AE74+AG74)</f>
        <v>1611.4401618929605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124666.84854280544</v>
      </c>
      <c r="K75" s="40">
        <f>B75/B$76</f>
        <v>0.57105119031176255</v>
      </c>
      <c r="L75" s="22">
        <f>(L129*G$37*F$9/F$7)/B$130</f>
        <v>0.51477963248964409</v>
      </c>
      <c r="M75" s="24">
        <f>J75/B$76</f>
        <v>0.53985626799409958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17230.159668366752</v>
      </c>
      <c r="AB75" s="158"/>
      <c r="AC75" s="149">
        <f>AA75+AC65-SUM(AC70,AC74)</f>
        <v>32463.833030834758</v>
      </c>
      <c r="AD75" s="158"/>
      <c r="AE75" s="149">
        <f>AC75+AE65-SUM(AE70,AE74)</f>
        <v>51985.826198827788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93677.688542805467</v>
      </c>
      <c r="AJ75" s="151">
        <f>AJ76-SUM(AJ70,AJ74)</f>
        <v>32463.833030834765</v>
      </c>
      <c r="AK75" s="149">
        <f>AJ75+AK76-SUM(AK70,AK74)</f>
        <v>93677.688542805467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217949.43999999997</v>
      </c>
      <c r="J76" s="51">
        <f>J130*I$83</f>
        <v>238103.01484154319</v>
      </c>
      <c r="K76" s="40">
        <f>SUM(K70:K75)</f>
        <v>0.79674008123814566</v>
      </c>
      <c r="L76" s="22">
        <f>SUM(L70:L75)</f>
        <v>0.7884257294544571</v>
      </c>
      <c r="M76" s="24">
        <f>SUM(M70:M75)</f>
        <v>0.79123258031379395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21781.631202577948</v>
      </c>
      <c r="AB76" s="137"/>
      <c r="AC76" s="153">
        <f>AC65</f>
        <v>19785.144896679205</v>
      </c>
      <c r="AD76" s="137"/>
      <c r="AE76" s="153">
        <f>AE65</f>
        <v>24073.464702204223</v>
      </c>
      <c r="AF76" s="137"/>
      <c r="AG76" s="153">
        <f>AG65</f>
        <v>47854.774040081844</v>
      </c>
      <c r="AH76" s="137"/>
      <c r="AI76" s="153">
        <f>SUM(AA76,AC76,AE76,AG76)</f>
        <v>113495.01484154322</v>
      </c>
      <c r="AJ76" s="154">
        <f>SUM(AA76,AC76)</f>
        <v>41566.776099257157</v>
      </c>
      <c r="AK76" s="154">
        <f>SUM(AE76,AG76)</f>
        <v>71928.238742286063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18556.680000000015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17230.159668366752</v>
      </c>
      <c r="AD78" s="112"/>
      <c r="AE78" s="112">
        <f>AC75</f>
        <v>32463.833030834758</v>
      </c>
      <c r="AF78" s="112"/>
      <c r="AG78" s="112">
        <f>AE75</f>
        <v>51985.826198827788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17230.159668366752</v>
      </c>
      <c r="AB79" s="112"/>
      <c r="AC79" s="112">
        <f>AA79-AA74+AC65-AC70</f>
        <v>32463.833030834758</v>
      </c>
      <c r="AD79" s="112"/>
      <c r="AE79" s="112">
        <f>AC79-AC74+AE65-AE70</f>
        <v>51985.826198827788</v>
      </c>
      <c r="AF79" s="112"/>
      <c r="AG79" s="112">
        <f>AE79-AE74+AG65-AG70</f>
        <v>95289.128704698422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0.57212121212121214</v>
      </c>
      <c r="I91" s="22">
        <f t="shared" ref="I91" si="52">(D91*H91)</f>
        <v>1.3747742089023645</v>
      </c>
      <c r="J91" s="24">
        <f>IF(I$32&lt;=1+I$131,I91,L91+J$33*(I91-L91))</f>
        <v>1.1718515390678046</v>
      </c>
      <c r="K91" s="22">
        <f t="shared" ref="K91" si="53">(B91)</f>
        <v>2.0596647500201888</v>
      </c>
      <c r="L91" s="22">
        <f t="shared" ref="L91" si="54">(K91*H91)</f>
        <v>1.1783778933448839</v>
      </c>
      <c r="M91" s="226">
        <f t="shared" si="50"/>
        <v>1.1718515390678046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0.57212121212121214</v>
      </c>
      <c r="I92" s="22">
        <f t="shared" ref="I92:I118" si="59">(D92*H92)</f>
        <v>0.36824309167027625</v>
      </c>
      <c r="J92" s="24">
        <f t="shared" ref="J92:J118" si="60">IF(I$32&lt;=1+I$131,I92,L92+J$33*(I92-L92))</f>
        <v>0.29214709048231624</v>
      </c>
      <c r="K92" s="22">
        <f t="shared" ref="K92:K118" si="61">(B92)</f>
        <v>0.5149161875050472</v>
      </c>
      <c r="L92" s="22">
        <f t="shared" ref="L92:L118" si="62">(K92*H92)</f>
        <v>0.29459447333622096</v>
      </c>
      <c r="M92" s="226">
        <f t="shared" ref="M92:M118" si="63">(J92)</f>
        <v>0.29214709048231624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0.40183632717715534</v>
      </c>
      <c r="K94" s="22">
        <f t="shared" si="61"/>
        <v>0.42051488646245527</v>
      </c>
      <c r="L94" s="22">
        <f t="shared" si="62"/>
        <v>0.38891255560103444</v>
      </c>
      <c r="M94" s="226">
        <f t="shared" si="63"/>
        <v>0.40183632717715534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0.84848484848484851</v>
      </c>
      <c r="I96" s="22">
        <f t="shared" si="59"/>
        <v>0.20388600555755407</v>
      </c>
      <c r="J96" s="24">
        <f t="shared" si="60"/>
        <v>0.20388600555755407</v>
      </c>
      <c r="K96" s="22">
        <f t="shared" si="61"/>
        <v>0.24029422083568872</v>
      </c>
      <c r="L96" s="22">
        <f t="shared" si="62"/>
        <v>0.20388600555755407</v>
      </c>
      <c r="M96" s="226">
        <f t="shared" si="63"/>
        <v>0.20388600555755407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0.27085017371985753</v>
      </c>
      <c r="K97" s="22">
        <f t="shared" si="61"/>
        <v>0.30894971250302833</v>
      </c>
      <c r="L97" s="22">
        <f t="shared" si="62"/>
        <v>0.26213915000256949</v>
      </c>
      <c r="M97" s="226">
        <f t="shared" si="63"/>
        <v>0.27085017371985753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0.29342102152984573</v>
      </c>
      <c r="K98" s="22">
        <f t="shared" si="61"/>
        <v>0.33469552187828072</v>
      </c>
      <c r="L98" s="22">
        <f t="shared" si="62"/>
        <v>0.28398407916945034</v>
      </c>
      <c r="M98" s="226">
        <f t="shared" si="63"/>
        <v>0.29342102152984573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0.31599186933983381</v>
      </c>
      <c r="K100" s="22">
        <f t="shared" si="61"/>
        <v>0.36044133125353306</v>
      </c>
      <c r="L100" s="22">
        <f t="shared" si="62"/>
        <v>0.30582900833633109</v>
      </c>
      <c r="M100" s="226">
        <f t="shared" si="63"/>
        <v>0.31599186933983381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4.5141695619976253E-2</v>
      </c>
      <c r="K101" s="22">
        <f t="shared" si="61"/>
        <v>5.1491618750504724E-2</v>
      </c>
      <c r="L101" s="22">
        <f t="shared" si="62"/>
        <v>4.3689858333761586E-2</v>
      </c>
      <c r="M101" s="226">
        <f t="shared" si="63"/>
        <v>4.5141695619976253E-2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0.84848484848484851</v>
      </c>
      <c r="I102" s="22">
        <f t="shared" si="59"/>
        <v>0.22019688600215839</v>
      </c>
      <c r="J102" s="24">
        <f t="shared" si="60"/>
        <v>0.22019688600215839</v>
      </c>
      <c r="K102" s="22">
        <f t="shared" si="61"/>
        <v>0.25951775850254383</v>
      </c>
      <c r="L102" s="22">
        <f t="shared" si="62"/>
        <v>0.22019688600215839</v>
      </c>
      <c r="M102" s="226">
        <f t="shared" si="63"/>
        <v>0.22019688600215839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0.84848484848484851</v>
      </c>
      <c r="I103" s="22">
        <f t="shared" si="59"/>
        <v>0.13500166225132332</v>
      </c>
      <c r="J103" s="24">
        <f t="shared" si="60"/>
        <v>0.13500166225132332</v>
      </c>
      <c r="K103" s="22">
        <f t="shared" si="61"/>
        <v>0.15910910193905961</v>
      </c>
      <c r="L103" s="22">
        <f t="shared" si="62"/>
        <v>0.13500166225132332</v>
      </c>
      <c r="M103" s="226">
        <f t="shared" si="63"/>
        <v>0.13500166225132332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0.84848484848484851</v>
      </c>
      <c r="I105" s="22">
        <f t="shared" si="59"/>
        <v>3.4951886667009269E-2</v>
      </c>
      <c r="J105" s="24">
        <f t="shared" si="60"/>
        <v>3.4951886667009269E-2</v>
      </c>
      <c r="K105" s="22">
        <f t="shared" si="61"/>
        <v>4.1193295000403779E-2</v>
      </c>
      <c r="L105" s="22">
        <f t="shared" si="62"/>
        <v>3.4951886667009269E-2</v>
      </c>
      <c r="M105" s="226">
        <f t="shared" si="63"/>
        <v>3.4951886667009269E-2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0.84848484848484851</v>
      </c>
      <c r="I106" s="22">
        <f t="shared" si="59"/>
        <v>0.88107880973085873</v>
      </c>
      <c r="J106" s="24">
        <f t="shared" si="60"/>
        <v>0.88107880973085873</v>
      </c>
      <c r="K106" s="22">
        <f t="shared" si="61"/>
        <v>1.038414311468512</v>
      </c>
      <c r="L106" s="22">
        <f t="shared" si="62"/>
        <v>0.88107880973085873</v>
      </c>
      <c r="M106" s="226">
        <f t="shared" si="63"/>
        <v>0.88107880973085873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0.57212121212121214</v>
      </c>
      <c r="I111" s="22">
        <f t="shared" si="59"/>
        <v>6.4810784133968617</v>
      </c>
      <c r="J111" s="24">
        <f t="shared" si="60"/>
        <v>6.4810784133968617</v>
      </c>
      <c r="K111" s="22">
        <f t="shared" si="61"/>
        <v>11.32815612511104</v>
      </c>
      <c r="L111" s="22">
        <f t="shared" si="62"/>
        <v>6.4810784133968617</v>
      </c>
      <c r="M111" s="226">
        <f t="shared" si="63"/>
        <v>6.4810784133968617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0.7151515151515152</v>
      </c>
      <c r="I114" s="22">
        <f t="shared" si="59"/>
        <v>0.45662143367114255</v>
      </c>
      <c r="J114" s="24">
        <f t="shared" si="60"/>
        <v>0.45662143367114255</v>
      </c>
      <c r="K114" s="22">
        <f t="shared" si="61"/>
        <v>0.63849607250625862</v>
      </c>
      <c r="L114" s="22">
        <f t="shared" si="62"/>
        <v>0.45662143367114255</v>
      </c>
      <c r="M114" s="226">
        <f t="shared" si="63"/>
        <v>0.45662143367114255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11.335928758955561</v>
      </c>
      <c r="J119" s="24">
        <f>SUM(J91:J118)</f>
        <v>12.384151175319708</v>
      </c>
      <c r="K119" s="22">
        <f>SUM(K91:K118)</f>
        <v>19.817922585965089</v>
      </c>
      <c r="L119" s="22">
        <f>SUM(L91:L118)</f>
        <v>12.35043847650717</v>
      </c>
      <c r="M119" s="57">
        <f t="shared" si="50"/>
        <v>12.384151175319708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10.389009013527772</v>
      </c>
      <c r="J128" s="227">
        <f>(J30)</f>
        <v>8.3813800460044496E-2</v>
      </c>
      <c r="K128" s="22">
        <f>(B128)</f>
        <v>0.57612499925280203</v>
      </c>
      <c r="L128" s="22">
        <f>IF(L124=L119,0,(L119-L124)/(B119-B124)*K128)</f>
        <v>0.35129311446190747</v>
      </c>
      <c r="M128" s="57">
        <f t="shared" si="90"/>
        <v>8.3813800460044496E-2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6.4841392282758123</v>
      </c>
      <c r="K129" s="29">
        <f>(B129)</f>
        <v>11.317048282221727</v>
      </c>
      <c r="L129" s="60">
        <f>IF(SUM(L124:L128)&gt;L130,0,L130-SUM(L124:L128))</f>
        <v>6.1829472154614109</v>
      </c>
      <c r="M129" s="57">
        <f t="shared" si="90"/>
        <v>6.4841392282758123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11.335928758955561</v>
      </c>
      <c r="J130" s="227">
        <f>(J119)</f>
        <v>12.384151175319708</v>
      </c>
      <c r="K130" s="22">
        <f>(B130)</f>
        <v>19.817922585965089</v>
      </c>
      <c r="L130" s="22">
        <f>(L119)</f>
        <v>12.35043847650717</v>
      </c>
      <c r="M130" s="57">
        <f t="shared" si="90"/>
        <v>12.384151175319708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0.96516514326779479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5519.7390389107231</v>
      </c>
      <c r="G72" s="109">
        <f>Poor!T7</f>
        <v>6168.0332868256583</v>
      </c>
      <c r="H72" s="109">
        <f>Middle!T7</f>
        <v>5378.5815604563295</v>
      </c>
      <c r="I72" s="109">
        <f>Rich!T7</f>
        <v>8222.339557853682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384</v>
      </c>
      <c r="G73" s="109">
        <f>Poor!T8</f>
        <v>1760.4951448600741</v>
      </c>
      <c r="H73" s="109">
        <f>Middle!T8</f>
        <v>10247.362058061879</v>
      </c>
      <c r="I73" s="109">
        <f>Rich!T8</f>
        <v>47892.718017530395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57.681000028634685</v>
      </c>
      <c r="G74" s="109">
        <f>Poor!T9</f>
        <v>464.2278771393137</v>
      </c>
      <c r="H74" s="109">
        <f>Middle!T9</f>
        <v>1456.9834208780651</v>
      </c>
      <c r="I74" s="109">
        <f>Rich!T9</f>
        <v>1382.6476074734351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4015.5399999999995</v>
      </c>
      <c r="H76" s="109">
        <f>Middle!T11</f>
        <v>25427.13036991204</v>
      </c>
      <c r="I76" s="109">
        <f>Rich!T11</f>
        <v>25049.339619396909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1034.9740773375329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19053.942857142862</v>
      </c>
      <c r="G78" s="109">
        <f>Poor!T13</f>
        <v>3496.5000000000005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110043.42857142859</v>
      </c>
      <c r="I79" s="109">
        <f>Rich!T14</f>
        <v>110762.66666666667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5504.1621800533467</v>
      </c>
      <c r="G81" s="109">
        <f>Poor!T16</f>
        <v>2098.2734648650744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16425.600000000002</v>
      </c>
      <c r="G85" s="109">
        <f>Poor!T20</f>
        <v>29311.199999999997</v>
      </c>
      <c r="H85" s="109">
        <f>Middle!T20</f>
        <v>10033.371428571429</v>
      </c>
      <c r="I85" s="109">
        <f>Rich!T20</f>
        <v>7803.7333333333336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50575.005267717526</v>
      </c>
      <c r="G88" s="109">
        <f>Poor!T23</f>
        <v>56517.448336144953</v>
      </c>
      <c r="H88" s="109">
        <f>Middle!T23</f>
        <v>164330.75128070594</v>
      </c>
      <c r="I88" s="109">
        <f>Rich!T23</f>
        <v>222608.47336889702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0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28091.832843057025</v>
      </c>
      <c r="G100" s="238">
        <f t="shared" si="0"/>
        <v>22149.389774629599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2016-06-04T22:33:48Z</dcterms:modified>
  <cp:category/>
</cp:coreProperties>
</file>