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E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E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E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<sst xmlns="http://schemas.openxmlformats.org/spreadsheetml/2006/main" count="790" uniqueCount="145">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</sst>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0.0471699330635118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95080"/>
        <c:axId val="-2044517000"/>
      </c:barChart>
      <c:catAx>
        <c:axId val="-204029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1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1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29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0.0841485042015564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0.00913872651400688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0.00227415182819218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0.00110664322539765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0.00103286701037114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0.00138330403174707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0.00322770940740983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0.000461101343915689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0.000516433505185572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7976"/>
        <c:axId val="-2018764952"/>
      </c:barChart>
      <c:catAx>
        <c:axId val="-201876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6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0.0619632370982919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0.0155714208612718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0.00834957752856041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0.00408958899358061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0.00443038807637899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0.00477118715917737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0.000681598165596767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85240"/>
        <c:axId val="-2019282248"/>
      </c:barChart>
      <c:catAx>
        <c:axId val="-20192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8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8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8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0.0576071116292626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0.167881084232002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10712"/>
        <c:axId val="-2038507720"/>
      </c:barChart>
      <c:catAx>
        <c:axId val="-203851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0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0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1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2185.435557925791</c:v>
                </c:pt>
                <c:pt idx="6">
                  <c:v>1554.407792999348</c:v>
                </c:pt>
                <c:pt idx="7">
                  <c:v>2468.819273725056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62.99999999999998</c:v>
                </c:pt>
                <c:pt idx="6">
                  <c:v>2028.476533811586</c:v>
                </c:pt>
                <c:pt idx="7">
                  <c:v>9624.043261445887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15004.46941724033</c:v>
                </c:pt>
                <c:pt idx="7">
                  <c:v>15944.71859908463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2397.9630963673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6582.857142857143</c:v>
                </c:pt>
                <c:pt idx="5">
                  <c:v>2534.4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018568"/>
        <c:axId val="-20385924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18568"/>
        <c:axId val="-2038592488"/>
      </c:lineChart>
      <c:catAx>
        <c:axId val="-201901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01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546328"/>
        <c:axId val="-203972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46328"/>
        <c:axId val="-2039720440"/>
      </c:lineChart>
      <c:catAx>
        <c:axId val="-203854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2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72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4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108168"/>
        <c:axId val="-20401048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108168"/>
        <c:axId val="-2040104824"/>
      </c:lineChart>
      <c:catAx>
        <c:axId val="-2040108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0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0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0.319107134369504</c:v>
                </c:pt>
                <c:pt idx="2">
                  <c:v>0.322491325633348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-0.454110142261616</c:v>
                </c:pt>
                <c:pt idx="2">
                  <c:v>-0.454110142261616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00856"/>
        <c:axId val="-2038597512"/>
      </c:barChart>
      <c:catAx>
        <c:axId val="-203860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9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9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0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0.1113258215672</c:v>
                </c:pt>
                <c:pt idx="2">
                  <c:v>0.0754146662853724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878392"/>
        <c:axId val="2074633288"/>
      </c:barChart>
      <c:catAx>
        <c:axId val="-203887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63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63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87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0.126828427353801</c:v>
                </c:pt>
                <c:pt idx="2">
                  <c:v>0.103690218175111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879160"/>
        <c:axId val="-2038776168"/>
      </c:barChart>
      <c:catAx>
        <c:axId val="-211287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7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7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87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0.00203341119235238</c:v>
                </c:pt>
                <c:pt idx="2">
                  <c:v>0.0645778588752437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0.000460417392936292</c:v>
                </c:pt>
                <c:pt idx="2">
                  <c:v>0.0645778588752437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-0.42066375206451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336024"/>
        <c:axId val="2115980184"/>
      </c:barChart>
      <c:catAx>
        <c:axId val="21153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8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33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0.0490819444049737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0.011605360275817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0.00306735357570815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0.0012635367762422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0.00998356728490732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0.00144933187748363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0.000943204062948992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0.033632848768355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0.00343081088620088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0.278389624279712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0.17763651412852</c:v>
                </c:pt>
                <c:pt idx="2" formatCode="0.0%">
                  <c:v>0.457451414064884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548280"/>
        <c:axId val="-2039545000"/>
      </c:barChart>
      <c:catAx>
        <c:axId val="-20395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54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54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5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41640"/>
        <c:axId val="21219354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41640"/>
        <c:axId val="21219354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41640"/>
        <c:axId val="2121935496"/>
      </c:scatterChart>
      <c:catAx>
        <c:axId val="2121941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35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935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41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71656"/>
        <c:axId val="21217660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71656"/>
        <c:axId val="2121766072"/>
      </c:lineChart>
      <c:catAx>
        <c:axId val="2121771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766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766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771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41112"/>
        <c:axId val="21214315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18408"/>
        <c:axId val="2121404456"/>
      </c:scatterChart>
      <c:valAx>
        <c:axId val="21214411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31528"/>
        <c:crosses val="autoZero"/>
        <c:crossBetween val="midCat"/>
      </c:valAx>
      <c:valAx>
        <c:axId val="2121431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41112"/>
        <c:crosses val="autoZero"/>
        <c:crossBetween val="midCat"/>
      </c:valAx>
      <c:valAx>
        <c:axId val="21214184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21404456"/>
        <c:crosses val="autoZero"/>
        <c:crossBetween val="midCat"/>
      </c:valAx>
      <c:valAx>
        <c:axId val="2121404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184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11736"/>
        <c:axId val="-21203168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11736"/>
        <c:axId val="-2120316888"/>
      </c:lineChart>
      <c:catAx>
        <c:axId val="-212061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16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0316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6117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0.071164996807023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0.0138341777427652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0.0242570233372825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0.00172303950842423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0.0025375128983725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0.0424305301217114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0.00402735608587765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0.223667460659265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0.203187615268976</c:v>
                </c:pt>
                <c:pt idx="2" formatCode="0.0%">
                  <c:v>0.473689794001389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62536"/>
        <c:axId val="-2040362744"/>
      </c:barChart>
      <c:catAx>
        <c:axId val="-203966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6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6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6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0.00813953491371642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0.00105637535165662</c:v>
                </c:pt>
                <c:pt idx="2" formatCode="0.0%">
                  <c:v>0.148166553707945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86232"/>
        <c:axId val="-2039682936"/>
      </c:barChart>
      <c:catAx>
        <c:axId val="-20396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8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8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8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0.0471699330635118</c:v>
                </c:pt>
                <c:pt idx="1">
                  <c:v>0.0471699330635118</c:v>
                </c:pt>
                <c:pt idx="2">
                  <c:v>0.0471699330635118</c:v>
                </c:pt>
                <c:pt idx="3">
                  <c:v>0.0471699330635118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0.264640212679903</c:v>
                </c:pt>
                <c:pt idx="1">
                  <c:v>-0.176532201677477</c:v>
                </c:pt>
                <c:pt idx="2">
                  <c:v>-0.256018083823603</c:v>
                </c:pt>
                <c:pt idx="3">
                  <c:v>-0.256018083823603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952680"/>
        <c:axId val="-2018922936"/>
      </c:barChart>
      <c:catAx>
        <c:axId val="-2039952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22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92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95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-0.494114487137636</c:v>
                </c:pt>
                <c:pt idx="1">
                  <c:v>-0.557241874281112</c:v>
                </c:pt>
                <c:pt idx="2">
                  <c:v>-0.557241874281112</c:v>
                </c:pt>
                <c:pt idx="3">
                  <c:v>-0.557241874281112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50552"/>
        <c:axId val="-2019347240"/>
      </c:barChart>
      <c:catAx>
        <c:axId val="-201935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47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34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5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0.196327777619895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0.0464214411032682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0.0122694143028326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0.0050541471049688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0.00998356728490732</c:v>
                </c:pt>
                <c:pt idx="1">
                  <c:v>0.00998356728490732</c:v>
                </c:pt>
                <c:pt idx="2">
                  <c:v>0.00998356728490732</c:v>
                </c:pt>
                <c:pt idx="3">
                  <c:v>0.00998356728490732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0.00579732750993454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0.00110958525965319</c:v>
                </c:pt>
                <c:pt idx="1">
                  <c:v>0.000665902068441988</c:v>
                </c:pt>
                <c:pt idx="2">
                  <c:v>0.000887743664047591</c:v>
                </c:pt>
                <c:pt idx="3">
                  <c:v>0.00110958525965319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0.00686162177240177</c:v>
                </c:pt>
                <c:pt idx="3">
                  <c:v>0.00686162177240177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0.278389624279712</c:v>
                </c:pt>
                <c:pt idx="1">
                  <c:v>0.278389624279712</c:v>
                </c:pt>
                <c:pt idx="2">
                  <c:v>0.278389624279712</c:v>
                </c:pt>
                <c:pt idx="3">
                  <c:v>0.278389624279712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0.254663445327633</c:v>
                </c:pt>
                <c:pt idx="1">
                  <c:v>0.558725464691902</c:v>
                </c:pt>
                <c:pt idx="2">
                  <c:v>-0.198766039593781</c:v>
                </c:pt>
                <c:pt idx="3">
                  <c:v>-0.499119247254881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01464"/>
        <c:axId val="2074108232"/>
      </c:barChart>
      <c:catAx>
        <c:axId val="-2039701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10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410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0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0.284659987228092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0.0553367109710608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0.0970280933491299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0.00689215803369694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0.00298513017364541</c:v>
                </c:pt>
                <c:pt idx="1">
                  <c:v>0.00179148410625099</c:v>
                </c:pt>
                <c:pt idx="2">
                  <c:v>0.0023883071399482</c:v>
                </c:pt>
                <c:pt idx="3">
                  <c:v>0.00298513017364541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0.0080547121717553</c:v>
                </c:pt>
                <c:pt idx="3">
                  <c:v>0.0080547121717553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0.223667460659265</c:v>
                </c:pt>
                <c:pt idx="1">
                  <c:v>0.223667460659265</c:v>
                </c:pt>
                <c:pt idx="2">
                  <c:v>0.223667460659265</c:v>
                </c:pt>
                <c:pt idx="3">
                  <c:v>0.223667460659265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0.178075698044035</c:v>
                </c:pt>
                <c:pt idx="1">
                  <c:v>0.544939079721104</c:v>
                </c:pt>
                <c:pt idx="2">
                  <c:v>0.622457186258306</c:v>
                </c:pt>
                <c:pt idx="3">
                  <c:v>0.549287211982111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13320"/>
        <c:axId val="-2107544040"/>
      </c:barChart>
      <c:catAx>
        <c:axId val="-2039713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544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754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1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0.060230999572223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25240"/>
        <c:axId val="-2018622216"/>
      </c:barChart>
      <c:catAx>
        <c:axId val="-201862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2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2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2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2397.9630963673003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6582.8571428571431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8.1395349137164206E-3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8.1395349137164206E-3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20052.316319023634</v>
      </c>
      <c r="T23" s="179">
        <f>SUM(T7:T22)</f>
        <v>22535.75810047569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0.14816655370794529</v>
      </c>
      <c r="J30" s="230">
        <f>IF(I$32&lt;=1,I30,1-SUM(J6:J29))</f>
        <v>0.14816655370794529</v>
      </c>
      <c r="K30" s="22">
        <f t="shared" si="4"/>
        <v>0.60449541284468955</v>
      </c>
      <c r="L30" s="22">
        <f>IF(L124=L119,0,IF(K30="",0,(L119-L124)/(B119-B124)*K30))</f>
        <v>1.0563753516566207E-3</v>
      </c>
      <c r="M30" s="175">
        <f t="shared" si="6"/>
        <v>0.14816655370794529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9381.775125084263</v>
      </c>
      <c r="T30" s="233">
        <f t="shared" si="24"/>
        <v>6898.3333436322064</v>
      </c>
      <c r="V30" s="56"/>
      <c r="W30" s="110"/>
      <c r="X30" s="118"/>
      <c r="Y30" s="183">
        <f>M30*4</f>
        <v>0.59266621483178117</v>
      </c>
      <c r="Z30" s="122">
        <f>IF($Y30=0,0,AA30/($Y$30))</f>
        <v>-0.83371461840098771</v>
      </c>
      <c r="AA30" s="187">
        <f>IF(AA79*4/$I$83+SUM(AA6:AA29)&lt;1,AA79*4/$I$83,1-SUM(AA6:AA29))</f>
        <v>-0.49411448713763623</v>
      </c>
      <c r="AB30" s="122">
        <f>IF($Y30=0,0,AC30/($Y$30))</f>
        <v>-0.94022885114056398</v>
      </c>
      <c r="AC30" s="187">
        <f>IF(AC79*4/$I$83+SUM(AC6:AC29)&lt;1,AC79*4/$I$83,1-SUM(AC6:AC29))</f>
        <v>-0.55724187428111227</v>
      </c>
      <c r="AD30" s="122">
        <f>IF($Y30=0,0,AE30/($Y$30))</f>
        <v>-0.94022885114056398</v>
      </c>
      <c r="AE30" s="187">
        <f>IF(AE79*4/$I$83+SUM(AE6:AE29)&lt;1,AE79*4/$I$83,1-SUM(AE6:AE29))</f>
        <v>-0.55724187428111227</v>
      </c>
      <c r="AF30" s="122">
        <f>IF($Y30=0,0,AG30/($Y$30))</f>
        <v>-0.94022885114056398</v>
      </c>
      <c r="AG30" s="187">
        <f>IF(AG79*4/$I$83+SUM(AG6:AG29)&lt;1,AG79*4/$I$83,1-SUM(AG6:AG29))</f>
        <v>-0.55724187428111227</v>
      </c>
      <c r="AH30" s="123">
        <f t="shared" si="12"/>
        <v>-3.6544011718226797</v>
      </c>
      <c r="AI30" s="183">
        <f t="shared" si="13"/>
        <v>-0.54146002749524325</v>
      </c>
      <c r="AJ30" s="120">
        <f t="shared" si="14"/>
        <v>-0.52567818070937422</v>
      </c>
      <c r="AK30" s="119">
        <f t="shared" si="15"/>
        <v>-0.55724187428111227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0.40364358016386803</v>
      </c>
      <c r="K31" s="22" t="str">
        <f t="shared" si="4"/>
        <v/>
      </c>
      <c r="L31" s="22">
        <f>(1-SUM(L6:L30))</f>
        <v>0.55189135899657837</v>
      </c>
      <c r="M31" s="240">
        <f t="shared" si="6"/>
        <v>0.40364358016386803</v>
      </c>
      <c r="N31" s="167">
        <f>M31*I83</f>
        <v>6036.0416756781779</v>
      </c>
      <c r="P31" s="22"/>
      <c r="Q31" s="237" t="s">
        <v>142</v>
      </c>
      <c r="R31" s="233">
        <f t="shared" si="24"/>
        <v>0</v>
      </c>
      <c r="S31" s="233">
        <f t="shared" si="24"/>
        <v>25876.601791750927</v>
      </c>
      <c r="T31" s="233">
        <f>IF(T25&gt;T$23,T25-T$23,0)</f>
        <v>23393.16001029887</v>
      </c>
      <c r="V31" s="56"/>
      <c r="W31" s="129" t="s">
        <v>84</v>
      </c>
      <c r="X31" s="130"/>
      <c r="Y31" s="121">
        <f>M31*4</f>
        <v>1.6145743206554721</v>
      </c>
      <c r="Z31" s="131"/>
      <c r="AA31" s="132">
        <f>1-AA32+IF($Y32&lt;0,$Y32/4,0)</f>
        <v>0.87048828429889991</v>
      </c>
      <c r="AB31" s="131"/>
      <c r="AC31" s="133">
        <f>1-AC32+IF($Y32&lt;0,$Y32/4,0)</f>
        <v>1.1721913243629714</v>
      </c>
      <c r="AD31" s="134"/>
      <c r="AE31" s="133">
        <f>1-AE32+IF($Y32&lt;0,$Y32/4,0)</f>
        <v>1.1851491603793385</v>
      </c>
      <c r="AF31" s="134"/>
      <c r="AG31" s="133">
        <f>1-AG32+IF($Y32&lt;0,$Y32/4,0)</f>
        <v>1.1800635353844977</v>
      </c>
      <c r="AH31" s="123"/>
      <c r="AI31" s="182">
        <f>SUM(AA31,AC31,AE31,AG31)/4</f>
        <v>1.101973076106427</v>
      </c>
      <c r="AJ31" s="135">
        <f t="shared" si="14"/>
        <v>1.0213398043309356</v>
      </c>
      <c r="AK31" s="136">
        <f t="shared" si="15"/>
        <v>1.1826063478819182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0.59635641983613197</v>
      </c>
      <c r="J32" s="17"/>
      <c r="L32" s="22">
        <f>SUM(L6:L30)</f>
        <v>0.44810864100342168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58614.521791750914</v>
      </c>
      <c r="T32" s="233">
        <f t="shared" si="24"/>
        <v>56131.080010298858</v>
      </c>
      <c r="V32" s="56"/>
      <c r="W32" s="110"/>
      <c r="X32" s="118"/>
      <c r="Y32" s="115">
        <f>SUM(Y6:Y31)</f>
        <v>3.965188341042519</v>
      </c>
      <c r="Z32" s="137"/>
      <c r="AA32" s="138">
        <f>SUM(AA6:AA30)</f>
        <v>0.12951171570110004</v>
      </c>
      <c r="AB32" s="137"/>
      <c r="AC32" s="139">
        <f>SUM(AC6:AC30)</f>
        <v>-0.17219132436297135</v>
      </c>
      <c r="AD32" s="137"/>
      <c r="AE32" s="139">
        <f>SUM(AE6:AE30)</f>
        <v>-0.18514916037933848</v>
      </c>
      <c r="AF32" s="137"/>
      <c r="AG32" s="139">
        <f>SUM(AG6:AG30)</f>
        <v>-0.18006353538449771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4.1645549634482002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14432.973333333333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1976.5000000000002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5.760711162926261E-2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5760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0.16788108423200232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1440</v>
      </c>
      <c r="AB58" s="156">
        <f>Poor!AB58</f>
        <v>0.25</v>
      </c>
      <c r="AC58" s="147">
        <f t="shared" si="41"/>
        <v>1440</v>
      </c>
      <c r="AD58" s="156">
        <f>Poor!AD58</f>
        <v>0.25</v>
      </c>
      <c r="AE58" s="147">
        <f t="shared" si="42"/>
        <v>1440</v>
      </c>
      <c r="AF58" s="122">
        <f t="shared" si="29"/>
        <v>0.25</v>
      </c>
      <c r="AG58" s="147">
        <f t="shared" si="36"/>
        <v>1440</v>
      </c>
      <c r="AH58" s="123">
        <f t="shared" si="37"/>
        <v>1</v>
      </c>
      <c r="AI58" s="112">
        <f t="shared" si="37"/>
        <v>5760</v>
      </c>
      <c r="AJ58" s="148">
        <f t="shared" si="38"/>
        <v>2880</v>
      </c>
      <c r="AK58" s="147">
        <f t="shared" si="39"/>
        <v>2880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0.35499854269892162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16375.800000000001</v>
      </c>
      <c r="J65" s="39">
        <f>SUM(J37:J64)</f>
        <v>16375.800000000001</v>
      </c>
      <c r="K65" s="40">
        <f>SUM(K37:K64)</f>
        <v>1</v>
      </c>
      <c r="L65" s="22">
        <f>SUM(L37:L64)</f>
        <v>0.41474497231127955</v>
      </c>
      <c r="M65" s="24">
        <f>SUM(M37:M64)</f>
        <v>0.47728941999417085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1692.8</v>
      </c>
      <c r="AB65" s="137"/>
      <c r="AC65" s="153">
        <f>SUM(AC37:AC64)</f>
        <v>1456.8</v>
      </c>
      <c r="AD65" s="137"/>
      <c r="AE65" s="153">
        <f>SUM(AE37:AE64)</f>
        <v>1456.8</v>
      </c>
      <c r="AF65" s="137"/>
      <c r="AG65" s="153">
        <f>SUM(AG37:AG64)</f>
        <v>1456.8</v>
      </c>
      <c r="AH65" s="137"/>
      <c r="AI65" s="153">
        <f>SUM(AI37:AI64)</f>
        <v>6063.2</v>
      </c>
      <c r="AJ65" s="153">
        <f>SUM(AJ37:AJ64)</f>
        <v>3149.6</v>
      </c>
      <c r="AK65" s="153">
        <f>SUM(AK37:AK64)</f>
        <v>2913.6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2215.666338009612</v>
      </c>
      <c r="J71" s="51">
        <f t="shared" si="44"/>
        <v>2215.666338009612</v>
      </c>
      <c r="K71" s="40">
        <f t="shared" ref="K71:K72" si="47">B71/B$76</f>
        <v>0.35649470513941517</v>
      </c>
      <c r="L71" s="22">
        <f t="shared" si="45"/>
        <v>2.0334111923523807E-3</v>
      </c>
      <c r="M71" s="24">
        <f t="shared" ref="M71:M72" si="48">J71/B$76</f>
        <v>6.4577858875243713E-2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2215.666338009612</v>
      </c>
      <c r="J74" s="51">
        <f t="shared" si="44"/>
        <v>2215.666338009612</v>
      </c>
      <c r="K74" s="40">
        <f>B74/B$76</f>
        <v>0.15967705991340145</v>
      </c>
      <c r="L74" s="22">
        <f t="shared" si="45"/>
        <v>4.6041739293629171E-4</v>
      </c>
      <c r="M74" s="24">
        <f>J74/B$76</f>
        <v>6.4577858875243713E-2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-1847.2334154975977</v>
      </c>
      <c r="AB74" s="156"/>
      <c r="AC74" s="147">
        <f>AC30*$I$83/4</f>
        <v>-2083.2334154975979</v>
      </c>
      <c r="AD74" s="156"/>
      <c r="AE74" s="147">
        <f>AE30*$I$83/4</f>
        <v>-2083.2334154975979</v>
      </c>
      <c r="AF74" s="156"/>
      <c r="AG74" s="147">
        <f>AG30*$I$83/4</f>
        <v>-2083.2334154975979</v>
      </c>
      <c r="AH74" s="155"/>
      <c r="AI74" s="147">
        <f>SUM(AA74,AC74,AE74,AG74)</f>
        <v>-8096.9336619903916</v>
      </c>
      <c r="AJ74" s="148">
        <f>(AA74+AC74)</f>
        <v>-3930.4668309951958</v>
      </c>
      <c r="AK74" s="147">
        <f>(AE74+AG74)</f>
        <v>-4166.4668309951958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16375.800000000003</v>
      </c>
      <c r="J76" s="51">
        <f t="shared" si="44"/>
        <v>16375.800000000003</v>
      </c>
      <c r="K76" s="40">
        <f>SUM(K70:K75)</f>
        <v>1.5427057547682346</v>
      </c>
      <c r="L76" s="22">
        <f>SUM(L70:L75)</f>
        <v>0.41520538970421578</v>
      </c>
      <c r="M76" s="24">
        <f>SUM(M70:M75)</f>
        <v>0.54186727886941455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1692.8</v>
      </c>
      <c r="AB76" s="137"/>
      <c r="AC76" s="153">
        <f>AC65</f>
        <v>1456.8</v>
      </c>
      <c r="AD76" s="137"/>
      <c r="AE76" s="153">
        <f>AE65</f>
        <v>1456.8</v>
      </c>
      <c r="AF76" s="137"/>
      <c r="AG76" s="153">
        <f>AG65</f>
        <v>1456.8</v>
      </c>
      <c r="AH76" s="137"/>
      <c r="AI76" s="153">
        <f>SUM(AA76,AC76,AE76,AG76)</f>
        <v>6063.2</v>
      </c>
      <c r="AJ76" s="154">
        <f>SUM(AA76,AC76)</f>
        <v>3149.6</v>
      </c>
      <c r="AK76" s="154">
        <f>SUM(AE76,AG76)</f>
        <v>2913.6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14432.973333333333</v>
      </c>
      <c r="K77" s="40"/>
      <c r="L77" s="22">
        <f>-(L131*G$37*F$9/F$7)/B$130</f>
        <v>-0.4206637520645099</v>
      </c>
      <c r="M77" s="24">
        <f>-J77/B$76</f>
        <v>-0.42066375206450984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3254.2965009406648</v>
      </c>
      <c r="AB77" s="112"/>
      <c r="AC77" s="111">
        <f>AC31*$I$83/4</f>
        <v>4382.2050154067101</v>
      </c>
      <c r="AD77" s="112"/>
      <c r="AE77" s="111">
        <f>AE31*$I$83/4</f>
        <v>4430.6475288424763</v>
      </c>
      <c r="AF77" s="112"/>
      <c r="AG77" s="111">
        <f>AG31*$I$83/4</f>
        <v>4411.6350597210376</v>
      </c>
      <c r="AH77" s="110"/>
      <c r="AI77" s="154">
        <f>SUM(AA77,AC77,AE77,AG77)</f>
        <v>16478.784104910887</v>
      </c>
      <c r="AJ77" s="153">
        <f>SUM(AA77,AC77)</f>
        <v>7636.5015163473745</v>
      </c>
      <c r="AK77" s="160">
        <f>SUM(AE77,AG77)</f>
        <v>8842.2825885635139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-1847.2334154975977</v>
      </c>
      <c r="AB79" s="112"/>
      <c r="AC79" s="112">
        <f>AA79-AA74+AC65-AC70</f>
        <v>-2083.2334154975979</v>
      </c>
      <c r="AD79" s="112"/>
      <c r="AE79" s="112">
        <f>AC79-AC74+AE65-AE70</f>
        <v>-2083.2334154975979</v>
      </c>
      <c r="AF79" s="112"/>
      <c r="AG79" s="112">
        <f>AE79-AE74+AG65-AG70</f>
        <v>-2083.2334154975979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0.13217296683165272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0.13217296683165272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0.38518405714663273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0.38518405714663273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</v>
      </c>
      <c r="I114" s="22">
        <f t="shared" si="61"/>
        <v>0</v>
      </c>
      <c r="J114" s="24">
        <f t="shared" si="62"/>
        <v>0</v>
      </c>
      <c r="K114" s="22">
        <f t="shared" si="63"/>
        <v>1.3439312493881732</v>
      </c>
      <c r="L114" s="22">
        <f t="shared" si="64"/>
        <v>0</v>
      </c>
      <c r="M114" s="227">
        <f t="shared" si="65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1.0950862991357342</v>
      </c>
      <c r="J119" s="24">
        <f>SUM(J91:J118)</f>
        <v>1.0950862991357342</v>
      </c>
      <c r="K119" s="22">
        <f>SUM(K91:K118)</f>
        <v>3.7857373699924648</v>
      </c>
      <c r="L119" s="22">
        <f>SUM(L91:L118)</f>
        <v>0.95158517617897032</v>
      </c>
      <c r="M119" s="57">
        <f t="shared" si="49"/>
        <v>1.0950862991357342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0.14816655370794529</v>
      </c>
      <c r="J125" s="236">
        <f>IF(SUMPRODUCT($B$124:$B125,$H$124:$H125)&lt;J$119,($B125*$H125),IF(SUMPRODUCT($B$124:$B124,$H$124:$H124)&lt;J$119,J$119-SUMPRODUCT($B$124:$B124,$H$124:$H124),0))</f>
        <v>0.14816655370794529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4.6654307511814208E-3</v>
      </c>
      <c r="M125" s="239">
        <f t="shared" si="66"/>
        <v>0.14816655370794529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0.14816655370794529</v>
      </c>
      <c r="J128" s="227">
        <f>(J30)</f>
        <v>0.14816655370794529</v>
      </c>
      <c r="K128" s="29">
        <f>(B128)</f>
        <v>0.60449541284468955</v>
      </c>
      <c r="L128" s="29">
        <f>IF(L124=L119,0,(L119-L124)/(B119-B124)*K128)</f>
        <v>1.0563753516566207E-3</v>
      </c>
      <c r="M128" s="239">
        <f t="shared" si="66"/>
        <v>0.14816655370794529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1.0950862991357342</v>
      </c>
      <c r="J130" s="227">
        <f>(J119)</f>
        <v>1.0950862991357342</v>
      </c>
      <c r="K130" s="29">
        <f>(B130)</f>
        <v>3.7857373699924648</v>
      </c>
      <c r="L130" s="29">
        <f>(L119)</f>
        <v>0.95158517617897032</v>
      </c>
      <c r="M130" s="239">
        <f t="shared" si="66"/>
        <v>1.0950862991357342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0.9651651432677939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2185.4355579257908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62.999999999999986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4.7169933063511832E-2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4.7169933063511832E-2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0.18867973225404733</v>
      </c>
      <c r="Z15" s="116">
        <v>0.25</v>
      </c>
      <c r="AA15" s="121">
        <f t="shared" si="16"/>
        <v>4.7169933063511832E-2</v>
      </c>
      <c r="AB15" s="116">
        <v>0.25</v>
      </c>
      <c r="AC15" s="121">
        <f t="shared" si="7"/>
        <v>4.7169933063511832E-2</v>
      </c>
      <c r="AD15" s="116">
        <v>0.25</v>
      </c>
      <c r="AE15" s="121">
        <f t="shared" si="8"/>
        <v>4.7169933063511832E-2</v>
      </c>
      <c r="AF15" s="122">
        <f t="shared" si="10"/>
        <v>0.25</v>
      </c>
      <c r="AG15" s="121">
        <f t="shared" si="11"/>
        <v>4.7169933063511832E-2</v>
      </c>
      <c r="AH15" s="123">
        <f t="shared" si="12"/>
        <v>1</v>
      </c>
      <c r="AI15" s="183">
        <f t="shared" si="13"/>
        <v>4.7169933063511832E-2</v>
      </c>
      <c r="AJ15" s="120">
        <f t="shared" si="14"/>
        <v>4.7169933063511832E-2</v>
      </c>
      <c r="AK15" s="119">
        <f t="shared" si="15"/>
        <v>4.7169933063511832E-2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2534.3999999999996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17696.781910916194</v>
      </c>
      <c r="T23" s="179">
        <f>SUM(T7:T22)</f>
        <v>18484.095271236347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0.56576416102117066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11737.309533191699</v>
      </c>
      <c r="T30" s="233">
        <f t="shared" si="50"/>
        <v>10949.996172871546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0.26464021267990301</v>
      </c>
      <c r="AB30" s="122">
        <f>IF($Y30=0,0,AC30/($Y$30))</f>
        <v>0</v>
      </c>
      <c r="AC30" s="187">
        <f>IF(AC79*4/$I$83+SUM(AC6:AC29)&lt;1,AC79*4/$I$83,1-SUM(AC6:AC29))</f>
        <v>-0.17653220167747719</v>
      </c>
      <c r="AD30" s="122">
        <f>IF($Y30=0,0,AE30/($Y$30))</f>
        <v>0</v>
      </c>
      <c r="AE30" s="187">
        <f>IF(AE79*4/$I$83+SUM(AE6:AE29)&lt;1,AE79*4/$I$83,1-SUM(AE6:AE29))</f>
        <v>-0.25601808382360336</v>
      </c>
      <c r="AF30" s="122">
        <f>IF($Y30=0,0,AG30/($Y$30))</f>
        <v>0</v>
      </c>
      <c r="AG30" s="187">
        <f>IF(AG79*4/$I$83+SUM(AG6:AG29)&lt;1,AG79*4/$I$83,1-SUM(AG6:AG29))</f>
        <v>-0.25601808382360336</v>
      </c>
      <c r="AH30" s="123">
        <f t="shared" si="12"/>
        <v>0</v>
      </c>
      <c r="AI30" s="183">
        <f t="shared" si="13"/>
        <v>-0.10598203916119522</v>
      </c>
      <c r="AJ30" s="120">
        <f t="shared" si="14"/>
        <v>4.4054005501212912E-2</v>
      </c>
      <c r="AK30" s="119">
        <f t="shared" si="15"/>
        <v>-0.25601808382360336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0.48781148350107351</v>
      </c>
      <c r="K31" s="22" t="str">
        <f t="shared" si="4"/>
        <v/>
      </c>
      <c r="L31" s="22">
        <f>(1-SUM(L6:L30))</f>
        <v>0.49381537328989511</v>
      </c>
      <c r="M31" s="178">
        <f t="shared" si="6"/>
        <v>0.48781148350107351</v>
      </c>
      <c r="N31" s="167">
        <f>M31*I83</f>
        <v>8336.7762734539556</v>
      </c>
      <c r="P31" s="22"/>
      <c r="Q31" s="237" t="s">
        <v>142</v>
      </c>
      <c r="R31" s="233">
        <f t="shared" si="50"/>
        <v>0</v>
      </c>
      <c r="S31" s="233">
        <f t="shared" si="50"/>
        <v>28232.136199858367</v>
      </c>
      <c r="T31" s="233">
        <f>IF(T25&gt;T$23,T25-T$23,0)</f>
        <v>27444.822839538214</v>
      </c>
      <c r="V31" s="56"/>
      <c r="W31" s="129" t="s">
        <v>84</v>
      </c>
      <c r="X31" s="130"/>
      <c r="Y31" s="121">
        <f>M31*4</f>
        <v>1.951245934004294</v>
      </c>
      <c r="Z31" s="131"/>
      <c r="AA31" s="132">
        <f>1-AA32+IF($Y32&lt;0,$Y32/4,0)</f>
        <v>0</v>
      </c>
      <c r="AB31" s="131"/>
      <c r="AC31" s="133">
        <f>1-AC32+IF($Y32&lt;0,$Y32/4,0)</f>
        <v>0.7386774828692938</v>
      </c>
      <c r="AD31" s="134"/>
      <c r="AE31" s="133">
        <f>1-AE32+IF($Y32&lt;0,$Y32/4,0)</f>
        <v>0.82653966570134774</v>
      </c>
      <c r="AF31" s="134"/>
      <c r="AG31" s="133">
        <f>1-AG32+IF($Y32&lt;0,$Y32/4,0)</f>
        <v>0.80995694207843361</v>
      </c>
      <c r="AH31" s="123"/>
      <c r="AI31" s="182">
        <f>SUM(AA31,AC31,AE31,AG31)/4</f>
        <v>0.59379352266226881</v>
      </c>
      <c r="AJ31" s="135">
        <f t="shared" si="14"/>
        <v>0.3693387414346469</v>
      </c>
      <c r="AK31" s="136">
        <f t="shared" si="15"/>
        <v>0.81824830388989067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0.51218851649892649</v>
      </c>
      <c r="J32" s="17"/>
      <c r="L32" s="22">
        <f>SUM(L6:L30)</f>
        <v>0.50618462671010489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60970.056199858358</v>
      </c>
      <c r="T32" s="233">
        <f t="shared" si="50"/>
        <v>60182.742839538201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0.2613225171307062</v>
      </c>
      <c r="AD32" s="137"/>
      <c r="AE32" s="139">
        <f>SUM(AE6:AE30)</f>
        <v>0.17346033429865226</v>
      </c>
      <c r="AF32" s="137"/>
      <c r="AG32" s="139">
        <f>SUM(AG6:AG30)</f>
        <v>0.19004305792156634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98.579440540208822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19108.04656608426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0.8596086772607312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1775.0919185434095</v>
      </c>
      <c r="AB37" s="122">
        <f>IF($J37=0,0,AC37/($J37))</f>
        <v>0.1403913227392688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289.90808145659003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2064.9999999999995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0.85960867726073109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304.30147175029879</v>
      </c>
      <c r="AB38" s="122">
        <f>IF($J38=0,0,AC38/($J38))</f>
        <v>0.14039132273926896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49.698528249701212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62.999999999999993</v>
      </c>
      <c r="J50" s="38">
        <f t="shared" ref="J50:J64" si="71">J104*I$83</f>
        <v>62.999999999999986</v>
      </c>
      <c r="K50" s="40">
        <f t="shared" ref="K50:K64" si="72">(B50/B$65)</f>
        <v>5.347212319977185E-3</v>
      </c>
      <c r="L50" s="22">
        <f t="shared" ref="L50:L64" si="73">(K50*H50)</f>
        <v>1.4972194495936116E-3</v>
      </c>
      <c r="M50" s="24">
        <f t="shared" ref="M50:M64" si="74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9"/>
        <v>0.55500000000000005</v>
      </c>
      <c r="I54" s="39">
        <f t="shared" si="70"/>
        <v>1748.2500000000002</v>
      </c>
      <c r="J54" s="38">
        <f t="shared" si="71"/>
        <v>1748.2500000000002</v>
      </c>
      <c r="K54" s="40">
        <f t="shared" si="72"/>
        <v>7.4860972479680599E-2</v>
      </c>
      <c r="L54" s="22">
        <f t="shared" si="73"/>
        <v>4.1547839726222738E-2</v>
      </c>
      <c r="M54" s="24">
        <f t="shared" si="74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9"/>
        <v>0.70799999999999996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2534.3999999999996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6.0230999572223005E-2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633.59999999999991</v>
      </c>
      <c r="AB58" s="116">
        <v>0.25</v>
      </c>
      <c r="AC58" s="147">
        <f t="shared" si="65"/>
        <v>633.59999999999991</v>
      </c>
      <c r="AD58" s="116">
        <v>0.25</v>
      </c>
      <c r="AE58" s="147">
        <f t="shared" si="66"/>
        <v>633.59999999999991</v>
      </c>
      <c r="AF58" s="122">
        <f t="shared" si="57"/>
        <v>0.25</v>
      </c>
      <c r="AG58" s="147">
        <f t="shared" si="60"/>
        <v>633.59999999999991</v>
      </c>
      <c r="AH58" s="123">
        <f t="shared" si="61"/>
        <v>1</v>
      </c>
      <c r="AI58" s="112">
        <f t="shared" si="61"/>
        <v>2534.3999999999996</v>
      </c>
      <c r="AJ58" s="148">
        <f t="shared" si="62"/>
        <v>1267.1999999999998</v>
      </c>
      <c r="AK58" s="147">
        <f t="shared" si="63"/>
        <v>1267.1999999999998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0</v>
      </c>
      <c r="F60" s="26">
        <v>1.18</v>
      </c>
      <c r="G60" s="22">
        <f t="shared" si="59"/>
        <v>1.65</v>
      </c>
      <c r="H60" s="24">
        <f t="shared" si="69"/>
        <v>0</v>
      </c>
      <c r="I60" s="39">
        <f t="shared" si="70"/>
        <v>0</v>
      </c>
      <c r="J60" s="38">
        <f t="shared" si="71"/>
        <v>0</v>
      </c>
      <c r="K60" s="40">
        <f t="shared" si="72"/>
        <v>0.59033224012548124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13569.79</v>
      </c>
      <c r="J65" s="39">
        <f>SUM(J37:J64)</f>
        <v>13569.789999999997</v>
      </c>
      <c r="K65" s="40">
        <f>SUM(K37:K64)</f>
        <v>1</v>
      </c>
      <c r="L65" s="22">
        <f>SUM(L37:L64)</f>
        <v>0.31910713436950428</v>
      </c>
      <c r="M65" s="24">
        <f>SUM(M37:M64)</f>
        <v>0.32249132563334759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4523.1333902937076</v>
      </c>
      <c r="AB65" s="137"/>
      <c r="AC65" s="153">
        <f>SUM(AC37:AC64)</f>
        <v>2638.2066097062907</v>
      </c>
      <c r="AD65" s="137"/>
      <c r="AE65" s="153">
        <f>SUM(AE37:AE64)</f>
        <v>2298.5999999999995</v>
      </c>
      <c r="AF65" s="137"/>
      <c r="AG65" s="153">
        <f>SUM(AG37:AG64)</f>
        <v>2298.5999999999995</v>
      </c>
      <c r="AH65" s="137"/>
      <c r="AI65" s="153">
        <f>SUM(AI37:AI64)</f>
        <v>11758.539999999997</v>
      </c>
      <c r="AJ65" s="153">
        <f>SUM(AJ37:AJ64)</f>
        <v>7161.3399999999983</v>
      </c>
      <c r="AK65" s="153">
        <f>SUM(AK37:AK64)</f>
        <v>4597.1999999999989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13569.789999999999</v>
      </c>
      <c r="J70" s="51">
        <f t="shared" ref="J70:J77" si="76">J124*I$83</f>
        <v>13569.789999999999</v>
      </c>
      <c r="K70" s="40">
        <f>B70/B$76</f>
        <v>0.2747110790745349</v>
      </c>
      <c r="L70" s="22">
        <f t="shared" ref="L70:L75" si="77">(L124*G$37*F$9/F$7)/B$130</f>
        <v>0.31910713436950433</v>
      </c>
      <c r="M70" s="24">
        <f>J70/B$76</f>
        <v>0.32249132563334759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3392.4474999999998</v>
      </c>
      <c r="AB70" s="116">
        <v>0.25</v>
      </c>
      <c r="AC70" s="147">
        <f>$J70*AB70</f>
        <v>3392.4474999999998</v>
      </c>
      <c r="AD70" s="116">
        <v>0.25</v>
      </c>
      <c r="AE70" s="147">
        <f>$J70*AD70</f>
        <v>3392.4474999999998</v>
      </c>
      <c r="AF70" s="122">
        <f>1-SUM(Z70,AB70,AD70)</f>
        <v>0.25</v>
      </c>
      <c r="AG70" s="147">
        <f>$J70*AF70</f>
        <v>3392.4474999999998</v>
      </c>
      <c r="AH70" s="155">
        <f>SUM(Z70,AB70,AD70,AF70)</f>
        <v>1</v>
      </c>
      <c r="AI70" s="147">
        <f>SUM(AA70,AC70,AE70,AG70)</f>
        <v>13569.789999999999</v>
      </c>
      <c r="AJ70" s="148">
        <f>(AA70+AC70)</f>
        <v>6784.8949999999995</v>
      </c>
      <c r="AK70" s="147">
        <f>(AE70+AG70)</f>
        <v>6784.8949999999995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0.33220843829713076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0.65934692713532017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0.13926517420029469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1130.6858902937086</v>
      </c>
      <c r="AB74" s="156"/>
      <c r="AC74" s="147">
        <f>AC30*$I$83/4</f>
        <v>-754.24089029370998</v>
      </c>
      <c r="AD74" s="156"/>
      <c r="AE74" s="147">
        <f>AE30*$I$83/4</f>
        <v>-1093.8475000000003</v>
      </c>
      <c r="AF74" s="156"/>
      <c r="AG74" s="147">
        <f>AG30*$I$83/4</f>
        <v>-1093.8475000000003</v>
      </c>
      <c r="AH74" s="155"/>
      <c r="AI74" s="147">
        <f>SUM(AA74,AC74,AE74,AG74)</f>
        <v>-1811.250000000002</v>
      </c>
      <c r="AJ74" s="148">
        <f>(AA74+AC74)</f>
        <v>376.44499999999857</v>
      </c>
      <c r="AK74" s="147">
        <f>(AE74+AG74)</f>
        <v>-2187.6950000000006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13569.789999999999</v>
      </c>
      <c r="J76" s="51">
        <f t="shared" si="76"/>
        <v>13569.789999999999</v>
      </c>
      <c r="K76" s="40">
        <f>SUM(K70:K75)</f>
        <v>1.4392784697933587</v>
      </c>
      <c r="L76" s="22">
        <f>SUM(L70:L75)</f>
        <v>0.31910713436950433</v>
      </c>
      <c r="M76" s="24">
        <f>SUM(M70:M75)</f>
        <v>0.32249132563334759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4523.1333902937076</v>
      </c>
      <c r="AB76" s="137"/>
      <c r="AC76" s="153">
        <f>AC65</f>
        <v>2638.2066097062907</v>
      </c>
      <c r="AD76" s="137"/>
      <c r="AE76" s="153">
        <f>AE65</f>
        <v>2298.5999999999995</v>
      </c>
      <c r="AF76" s="137"/>
      <c r="AG76" s="153">
        <f>AG65</f>
        <v>2298.5999999999995</v>
      </c>
      <c r="AH76" s="137"/>
      <c r="AI76" s="153">
        <f>SUM(AA76,AC76,AE76,AG76)</f>
        <v>11758.539999999997</v>
      </c>
      <c r="AJ76" s="154">
        <f>SUM(AA76,AC76)</f>
        <v>7161.3399999999983</v>
      </c>
      <c r="AK76" s="154">
        <f>SUM(AE76,AG76)</f>
        <v>4597.1999999999989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19108.04656608426</v>
      </c>
      <c r="J77" s="100">
        <f t="shared" si="76"/>
        <v>19108.04656608426</v>
      </c>
      <c r="K77" s="40"/>
      <c r="L77" s="22">
        <f>-(L131*G$37*F$9/F$7)/B$130</f>
        <v>-0.45411014226161567</v>
      </c>
      <c r="M77" s="24">
        <f>-J77/B$76</f>
        <v>-0.45411014226161556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3156.0290815221588</v>
      </c>
      <c r="AD77" s="112"/>
      <c r="AE77" s="111">
        <f>AE31*$I$83/4</f>
        <v>3531.4237708348228</v>
      </c>
      <c r="AF77" s="112"/>
      <c r="AG77" s="111">
        <f>AG31*$I$83/4</f>
        <v>3460.5734210969767</v>
      </c>
      <c r="AH77" s="110"/>
      <c r="AI77" s="154">
        <f>SUM(AA77,AC77,AE77,AG77)</f>
        <v>10148.026273453957</v>
      </c>
      <c r="AJ77" s="153">
        <f>SUM(AA77,AC77)</f>
        <v>3156.0290815221588</v>
      </c>
      <c r="AK77" s="160">
        <f>SUM(AE77,AG77)</f>
        <v>6991.9971919317995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1130.6858902937079</v>
      </c>
      <c r="AB79" s="112"/>
      <c r="AC79" s="112">
        <f>AA79-AA74+AC65-AC70</f>
        <v>-754.24089029370998</v>
      </c>
      <c r="AD79" s="112"/>
      <c r="AE79" s="112">
        <f>AC79-AC74+AE65-AE70</f>
        <v>-1093.8475000000003</v>
      </c>
      <c r="AF79" s="112"/>
      <c r="AG79" s="112">
        <f>AE79-AE74+AG65-AG70</f>
        <v>-1093.8475000000003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3">(D91*H91)</f>
        <v>0.12082976445430939</v>
      </c>
      <c r="J91" s="24">
        <f>IF(I$32&lt;=1+I$131,I91,L91+J$33*(I91-L91))</f>
        <v>0.12082976445430939</v>
      </c>
      <c r="K91" s="22">
        <f t="shared" ref="K91" si="84">IF(B91="",0,B91)</f>
        <v>0.33791374805018726</v>
      </c>
      <c r="L91" s="22">
        <f t="shared" ref="L91" si="85">(K91*H91)</f>
        <v>0.12082976445430939</v>
      </c>
      <c r="M91" s="226">
        <f t="shared" si="81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0.3575757575757576</v>
      </c>
      <c r="I92" s="22">
        <f t="shared" ref="I92:I118" si="89">(D92*H92)</f>
        <v>2.071367390645304E-2</v>
      </c>
      <c r="J92" s="24">
        <f t="shared" ref="J92:J118" si="90">IF(I$32&lt;=1+I$131,I92,L92+J$33*(I92-L92))</f>
        <v>2.071367390645304E-2</v>
      </c>
      <c r="K92" s="22">
        <f t="shared" ref="K92:K118" si="91">IF(B92="",0,B92)</f>
        <v>5.7928071094317815E-2</v>
      </c>
      <c r="L92" s="22">
        <f t="shared" ref="L92:L118" si="92">(K92*H92)</f>
        <v>2.071367390645304E-2</v>
      </c>
      <c r="M92" s="226">
        <f t="shared" ref="M92:M118" si="93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0.25454545454545457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9.6546785157196363E-2</v>
      </c>
      <c r="L99" s="22">
        <f t="shared" si="92"/>
        <v>1.6383696875160593E-2</v>
      </c>
      <c r="M99" s="226">
        <f t="shared" si="9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0.16969696969696968</v>
      </c>
      <c r="I104" s="22">
        <f t="shared" si="89"/>
        <v>3.6863317969111336E-3</v>
      </c>
      <c r="J104" s="24">
        <f t="shared" si="90"/>
        <v>3.6863317969111336E-3</v>
      </c>
      <c r="K104" s="22">
        <f t="shared" si="91"/>
        <v>2.1723026660369182E-2</v>
      </c>
      <c r="L104" s="22">
        <f t="shared" si="92"/>
        <v>3.6863317969111336E-3</v>
      </c>
      <c r="M104" s="226">
        <f t="shared" si="93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0.33636363636363642</v>
      </c>
      <c r="I108" s="22">
        <f t="shared" si="89"/>
        <v>0.10229570736428399</v>
      </c>
      <c r="J108" s="24">
        <f t="shared" si="90"/>
        <v>0.10229570736428399</v>
      </c>
      <c r="K108" s="22">
        <f t="shared" si="91"/>
        <v>0.30412237324516855</v>
      </c>
      <c r="L108" s="22">
        <f t="shared" si="92"/>
        <v>0.10229570736428399</v>
      </c>
      <c r="M108" s="226">
        <f t="shared" si="93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0.33636363636363642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0.42909090909090908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0.14829586200145362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0.14829586200145362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</v>
      </c>
      <c r="I114" s="22">
        <f t="shared" si="89"/>
        <v>0</v>
      </c>
      <c r="J114" s="24">
        <f t="shared" si="90"/>
        <v>0</v>
      </c>
      <c r="K114" s="22">
        <f t="shared" si="91"/>
        <v>2.3982221433047575</v>
      </c>
      <c r="L114" s="22">
        <f t="shared" si="92"/>
        <v>0</v>
      </c>
      <c r="M114" s="226">
        <f t="shared" si="9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0.79401187864137679</v>
      </c>
      <c r="J119" s="24">
        <f>SUM(J91:J118)</f>
        <v>0.79401187864137679</v>
      </c>
      <c r="K119" s="22">
        <f>SUM(K91:K118)</f>
        <v>4.062495625844508</v>
      </c>
      <c r="L119" s="22">
        <f>SUM(L91:L118)</f>
        <v>0.78567959851629521</v>
      </c>
      <c r="M119" s="57">
        <f t="shared" si="81"/>
        <v>0.79401187864137679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0.79401187864137679</v>
      </c>
      <c r="J124" s="236">
        <f>IF(SUMPRODUCT($B$124:$B124,$H$124:$H124)&lt;J$119,($B124*$H124),J$119)</f>
        <v>0.79401187864137679</v>
      </c>
      <c r="K124" s="29">
        <f>(B124)</f>
        <v>1.1160125571113229</v>
      </c>
      <c r="L124" s="29">
        <f>IF(SUMPRODUCT($B$124:$B124,$H$124:$H124)&lt;L$119,($B124*$H124),L$119)</f>
        <v>0.78567959851629521</v>
      </c>
      <c r="M124" s="239">
        <f t="shared" si="94"/>
        <v>0.79401187864137679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0.56576416102117066</v>
      </c>
      <c r="L128" s="29">
        <f>IF(L124=L119,0,(L119-L124)/(B119-B124)*K128)</f>
        <v>0</v>
      </c>
      <c r="M128" s="239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0.79401187864137679</v>
      </c>
      <c r="J130" s="227">
        <f>(J119)</f>
        <v>0.79401187864137679</v>
      </c>
      <c r="K130" s="29">
        <f>(B130)</f>
        <v>4.062495625844508</v>
      </c>
      <c r="L130" s="29">
        <f>(L119)</f>
        <v>0.78567959851629521</v>
      </c>
      <c r="M130" s="239">
        <f t="shared" si="94"/>
        <v>0.79401187864137679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1.1180730100542067</v>
      </c>
      <c r="J131" s="236">
        <f>IF(SUMPRODUCT($B124:$B125,$H124:$H125)&gt;(J119-J128),SUMPRODUCT($B124:$B125,$H124:$H125)+J128-J119,0)</f>
        <v>1.1180730100542067</v>
      </c>
      <c r="K131" s="29"/>
      <c r="L131" s="29">
        <f>IF(I131&lt;SUM(L126:L127),0,I131-(SUM(L126:L127)))</f>
        <v>1.1180730100542067</v>
      </c>
      <c r="M131" s="236">
        <f>IF(I131&lt;SUM(M126:M127),0,I131-(SUM(M126:M127)))</f>
        <v>1.1180730100542067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1554.4077929993477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2028.4765338115856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4.9081944404973737E-2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4.9081944404973737E-2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0.19632777761989495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0.19632777761989495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4.9081944404973737E-2</v>
      </c>
      <c r="AJ9" s="120">
        <f t="shared" si="14"/>
        <v>9.8163888809947475E-2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1.1605360275817043E-2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1.1605360275817043E-2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4.6421441103268173E-2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4.6421441103268173E-2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1.1605360275817043E-2</v>
      </c>
      <c r="AJ10" s="120">
        <f t="shared" si="14"/>
        <v>2.3210720551634086E-2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15004.469417240325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3.0673535757081488E-3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3.0673535757081488E-3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1.2269414302832595E-2</v>
      </c>
      <c r="Z13" s="156">
        <f>Poor!Z13</f>
        <v>1</v>
      </c>
      <c r="AA13" s="121">
        <f>$M13*Z13*4</f>
        <v>1.2269414302832595E-2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3.0673535757081488E-3</v>
      </c>
      <c r="AJ13" s="120">
        <f t="shared" si="14"/>
        <v>6.1347071514162976E-3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1.2635367762421994E-3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1.2635367762421994E-3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5.0541471049687977E-3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5.0541471049687977E-3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1.2635367762421994E-3</v>
      </c>
      <c r="AJ14" s="120">
        <f t="shared" si="14"/>
        <v>2.5270735524843988E-3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9.9835672849073187E-3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9.9835672849073187E-3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3.9934269139629275E-2</v>
      </c>
      <c r="Z15" s="156">
        <f>Poor!Z15</f>
        <v>0.25</v>
      </c>
      <c r="AA15" s="121">
        <f t="shared" si="16"/>
        <v>9.9835672849073187E-3</v>
      </c>
      <c r="AB15" s="156">
        <f>Poor!AB15</f>
        <v>0.25</v>
      </c>
      <c r="AC15" s="121">
        <f t="shared" si="7"/>
        <v>9.9835672849073187E-3</v>
      </c>
      <c r="AD15" s="156">
        <f>Poor!AD15</f>
        <v>0.25</v>
      </c>
      <c r="AE15" s="121">
        <f t="shared" si="8"/>
        <v>9.9835672849073187E-3</v>
      </c>
      <c r="AF15" s="122">
        <f t="shared" si="10"/>
        <v>0.25</v>
      </c>
      <c r="AG15" s="121">
        <f t="shared" si="11"/>
        <v>9.9835672849073187E-3</v>
      </c>
      <c r="AH15" s="123">
        <f t="shared" si="12"/>
        <v>1</v>
      </c>
      <c r="AI15" s="183">
        <f t="shared" si="13"/>
        <v>9.9835672849073187E-3</v>
      </c>
      <c r="AJ15" s="120">
        <f t="shared" si="14"/>
        <v>9.9835672849073187E-3</v>
      </c>
      <c r="AK15" s="119">
        <f t="shared" si="15"/>
        <v>9.9835672849073187E-3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1.4493318774836349E-3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1.4493318774836349E-3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5.7973275099345396E-3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5.7973275099345396E-3</v>
      </c>
      <c r="AH16" s="123">
        <f t="shared" si="12"/>
        <v>1</v>
      </c>
      <c r="AI16" s="183">
        <f t="shared" si="13"/>
        <v>1.4493318774836349E-3</v>
      </c>
      <c r="AJ16" s="120">
        <f t="shared" si="14"/>
        <v>0</v>
      </c>
      <c r="AK16" s="119">
        <f t="shared" si="15"/>
        <v>2.8986637549672698E-3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9.4320406294899249E-4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9.4320406294899249E-4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3.7728162517959699E-3</v>
      </c>
      <c r="Z17" s="156">
        <f>Poor!Z17</f>
        <v>0.29409999999999997</v>
      </c>
      <c r="AA17" s="121">
        <f t="shared" si="16"/>
        <v>1.1095852596531947E-3</v>
      </c>
      <c r="AB17" s="156">
        <f>Poor!AB17</f>
        <v>0.17649999999999999</v>
      </c>
      <c r="AC17" s="121">
        <f t="shared" si="7"/>
        <v>6.6590206844198863E-4</v>
      </c>
      <c r="AD17" s="156">
        <f>Poor!AD17</f>
        <v>0.23530000000000001</v>
      </c>
      <c r="AE17" s="121">
        <f t="shared" si="8"/>
        <v>8.8774366404759174E-4</v>
      </c>
      <c r="AF17" s="122">
        <f t="shared" si="10"/>
        <v>0.29410000000000003</v>
      </c>
      <c r="AG17" s="121">
        <f t="shared" si="11"/>
        <v>1.109585259653195E-3</v>
      </c>
      <c r="AH17" s="123">
        <f t="shared" si="12"/>
        <v>1</v>
      </c>
      <c r="AI17" s="183">
        <f t="shared" si="13"/>
        <v>9.4320406294899249E-4</v>
      </c>
      <c r="AJ17" s="120">
        <f t="shared" si="14"/>
        <v>8.8774366404759174E-4</v>
      </c>
      <c r="AK17" s="119">
        <f t="shared" si="15"/>
        <v>9.9866446185039323E-4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104183.96903033325</v>
      </c>
      <c r="T23" s="179">
        <f>SUM(T7:T22)</f>
        <v>103446.61241237151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3.3632848768354991E-2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3.3632848768354991E-2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0.13453139507341996</v>
      </c>
      <c r="Z27" s="156">
        <f>Poor!Z27</f>
        <v>0.25</v>
      </c>
      <c r="AA27" s="121">
        <f t="shared" si="16"/>
        <v>3.3632848768354991E-2</v>
      </c>
      <c r="AB27" s="156">
        <f>Poor!AB27</f>
        <v>0.25</v>
      </c>
      <c r="AC27" s="121">
        <f t="shared" si="7"/>
        <v>3.3632848768354991E-2</v>
      </c>
      <c r="AD27" s="156">
        <f>Poor!AD27</f>
        <v>0.25</v>
      </c>
      <c r="AE27" s="121">
        <f t="shared" si="8"/>
        <v>3.3632848768354991E-2</v>
      </c>
      <c r="AF27" s="122">
        <f t="shared" si="10"/>
        <v>0.25</v>
      </c>
      <c r="AG27" s="121">
        <f t="shared" si="11"/>
        <v>3.3632848768354991E-2</v>
      </c>
      <c r="AH27" s="123">
        <f t="shared" si="12"/>
        <v>1</v>
      </c>
      <c r="AI27" s="183">
        <f t="shared" si="13"/>
        <v>3.3632848768354991E-2</v>
      </c>
      <c r="AJ27" s="120">
        <f t="shared" si="14"/>
        <v>3.3632848768354991E-2</v>
      </c>
      <c r="AK27" s="119">
        <f t="shared" si="15"/>
        <v>3.3632848768354991E-2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3.430810886200886E-3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3.430810886200886E-3</v>
      </c>
      <c r="N28" s="228"/>
      <c r="O28" s="2"/>
      <c r="P28" s="22"/>
      <c r="V28" s="56"/>
      <c r="W28" s="110"/>
      <c r="X28" s="118"/>
      <c r="Y28" s="183">
        <f t="shared" si="9"/>
        <v>1.3723243544803544E-2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6.8616217724017719E-3</v>
      </c>
      <c r="AF28" s="122">
        <f t="shared" si="10"/>
        <v>0.5</v>
      </c>
      <c r="AG28" s="121">
        <f t="shared" si="11"/>
        <v>6.8616217724017719E-3</v>
      </c>
      <c r="AH28" s="123">
        <f t="shared" si="12"/>
        <v>1</v>
      </c>
      <c r="AI28" s="183">
        <f t="shared" si="13"/>
        <v>3.430810886200886E-3</v>
      </c>
      <c r="AJ28" s="120">
        <f t="shared" si="14"/>
        <v>0</v>
      </c>
      <c r="AK28" s="119">
        <f t="shared" si="15"/>
        <v>6.8616217724017719E-3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0.27838962427971164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0.27838962427971164</v>
      </c>
      <c r="N29" s="228"/>
      <c r="P29" s="22"/>
      <c r="V29" s="56"/>
      <c r="W29" s="110"/>
      <c r="X29" s="118"/>
      <c r="Y29" s="183">
        <f t="shared" si="9"/>
        <v>1.1135584971188466</v>
      </c>
      <c r="Z29" s="156">
        <f>Poor!Z29</f>
        <v>0.25</v>
      </c>
      <c r="AA29" s="121">
        <f t="shared" si="16"/>
        <v>0.27838962427971164</v>
      </c>
      <c r="AB29" s="156">
        <f>Poor!AB29</f>
        <v>0.25</v>
      </c>
      <c r="AC29" s="121">
        <f t="shared" si="7"/>
        <v>0.27838962427971164</v>
      </c>
      <c r="AD29" s="156">
        <f>Poor!AD29</f>
        <v>0.25</v>
      </c>
      <c r="AE29" s="121">
        <f t="shared" si="8"/>
        <v>0.27838962427971164</v>
      </c>
      <c r="AF29" s="122">
        <f t="shared" si="10"/>
        <v>0.25</v>
      </c>
      <c r="AG29" s="121">
        <f t="shared" si="11"/>
        <v>0.27838962427971164</v>
      </c>
      <c r="AH29" s="123">
        <f t="shared" si="12"/>
        <v>1</v>
      </c>
      <c r="AI29" s="183">
        <f t="shared" si="13"/>
        <v>0.27838962427971164</v>
      </c>
      <c r="AJ29" s="120">
        <f t="shared" si="14"/>
        <v>0.27838962427971164</v>
      </c>
      <c r="AK29" s="119">
        <f t="shared" si="15"/>
        <v>0.27838962427971164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4.3024367950433078</v>
      </c>
      <c r="J30" s="230">
        <f>IF(I$32&lt;=1,I30,1-SUM(J6:J29))</f>
        <v>0.45745141406488399</v>
      </c>
      <c r="K30" s="22">
        <f t="shared" si="4"/>
        <v>0.51164617712150862</v>
      </c>
      <c r="L30" s="22">
        <f>IF(L124=L119,0,IF(K30="",0,(L119-L124)/(B119-B124)*K30))</f>
        <v>0.17763651412852027</v>
      </c>
      <c r="M30" s="175">
        <f t="shared" si="6"/>
        <v>0.45745141406488399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1.829805656259536</v>
      </c>
      <c r="Z30" s="122">
        <f>IF($Y30=0,0,AA30/($Y$30))</f>
        <v>0.13917513286531896</v>
      </c>
      <c r="AA30" s="187">
        <f>IF(AA79*4/$I$84+SUM(AA6:AA29)&lt;1,AA79*4/$I$84,1-SUM(AA6:AA29))</f>
        <v>0.25466344532763308</v>
      </c>
      <c r="AB30" s="122">
        <f>IF($Y30=0,0,AC30/($Y$30))</f>
        <v>0.30534688904287322</v>
      </c>
      <c r="AC30" s="187">
        <f>IF(AC79*4/$I$84+SUM(AC6:AC29)&lt;1,AC79*4/$I$84,1-SUM(AC6:AC29))</f>
        <v>0.55872546469190232</v>
      </c>
      <c r="AD30" s="122">
        <f>IF($Y30=0,0,AE30/($Y$30))</f>
        <v>-0.10862685822061362</v>
      </c>
      <c r="AE30" s="187">
        <f>IF(AE79*4/$I$84+SUM(AE6:AE29)&lt;1,AE79*4/$I$84,1-SUM(AE6:AE29))</f>
        <v>-0.19876603959378147</v>
      </c>
      <c r="AF30" s="122">
        <f>IF($Y30=0,0,AG30/($Y$30))</f>
        <v>-0.27277172608328992</v>
      </c>
      <c r="AG30" s="187">
        <f>IF(AG79*4/$I$84+SUM(AG6:AG29)&lt;1,AG79*4/$I$84,1-SUM(AG6:AG29))</f>
        <v>-0.49911924725488066</v>
      </c>
      <c r="AH30" s="123">
        <f t="shared" si="12"/>
        <v>6.3123437604288624E-2</v>
      </c>
      <c r="AI30" s="183">
        <f t="shared" si="13"/>
        <v>2.8875905792718315E-2</v>
      </c>
      <c r="AJ30" s="120">
        <f t="shared" si="14"/>
        <v>0.4066944550097677</v>
      </c>
      <c r="AK30" s="119">
        <f t="shared" si="15"/>
        <v>-0.34894264342433107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0.28190470950818214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0.7442412213917966</v>
      </c>
      <c r="AF31" s="134"/>
      <c r="AG31" s="133">
        <f>1-AG32+IF($Y32&lt;0,$Y32/4,0)</f>
        <v>0.97006081169686631</v>
      </c>
      <c r="AH31" s="123"/>
      <c r="AI31" s="182">
        <f>SUM(AA31,AC31,AE31,AG31)/4</f>
        <v>0.42857550827216573</v>
      </c>
      <c r="AJ31" s="135">
        <f t="shared" si="14"/>
        <v>0</v>
      </c>
      <c r="AK31" s="136">
        <f t="shared" si="15"/>
        <v>0.85715101654433146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4.8674253800755194</v>
      </c>
      <c r="J32" s="17"/>
      <c r="L32" s="22">
        <f>SUM(L6:L30)</f>
        <v>0.71809529049181786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0.2557587786082034</v>
      </c>
      <c r="AF32" s="137"/>
      <c r="AG32" s="139">
        <f>SUM(AG6:AG30)</f>
        <v>2.993918830313369E-2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8.5194695157439604E-2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11686.29181799955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8.4148504201556409E-2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0.32499151812435684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3797.9457191759238</v>
      </c>
      <c r="AB37" s="122">
        <f>IF($J37=0,0,AC37/($J37))</f>
        <v>0.53140973806033442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6210.2092738997708</v>
      </c>
      <c r="AD37" s="122">
        <f>IF($J37=0,0,AE37/($J37))</f>
        <v>0.14359874381530871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1678.1368249238558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0.99999999999999989</v>
      </c>
      <c r="AI37" s="112">
        <f>SUM(AA37,AC37,AE37,AG37)</f>
        <v>11686.29181799955</v>
      </c>
      <c r="AJ37" s="148">
        <f>(AA37+AC37)</f>
        <v>10008.154993075696</v>
      </c>
      <c r="AK37" s="147">
        <f>(AE37+AG37)</f>
        <v>1678.1368249238558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1269.1589220857338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9.138726514006882E-3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0.32499151812435684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412.46588482971498</v>
      </c>
      <c r="AB38" s="122">
        <f>IF($J38=0,0,AC38/($J38))</f>
        <v>0.53140973806033442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674.44341034251613</v>
      </c>
      <c r="AD38" s="122">
        <f>IF($J38=0,0,AE38/($J38))</f>
        <v>0.14359874381530882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182.24962691350277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1269.158922085734</v>
      </c>
      <c r="AJ38" s="148">
        <f t="shared" ref="AJ38:AJ64" si="38">(AA38+AC38)</f>
        <v>1086.9092951722312</v>
      </c>
      <c r="AK38" s="147">
        <f t="shared" ref="AK38:AK64" si="39">(AE38+AG38)</f>
        <v>182.24962691350277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315.82738344384563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2.2741518281921818E-3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315.82738344384563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315.82738344384563</v>
      </c>
      <c r="AJ40" s="148">
        <f t="shared" si="38"/>
        <v>315.82738344384563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153.68729121355014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1.106643225397655E-3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153.68729121355014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153.68729121355014</v>
      </c>
      <c r="AJ41" s="148">
        <f t="shared" si="38"/>
        <v>153.68729121355014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143.44147179931343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1.0328670103711445E-3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35.860367949828358</v>
      </c>
      <c r="AB43" s="156">
        <f>Poor!AB43</f>
        <v>0.25</v>
      </c>
      <c r="AC43" s="147">
        <f t="shared" si="41"/>
        <v>35.860367949828358</v>
      </c>
      <c r="AD43" s="156">
        <f>Poor!AD43</f>
        <v>0.25</v>
      </c>
      <c r="AE43" s="147">
        <f t="shared" si="42"/>
        <v>35.860367949828358</v>
      </c>
      <c r="AF43" s="122">
        <f t="shared" si="29"/>
        <v>0.25</v>
      </c>
      <c r="AG43" s="147">
        <f t="shared" si="36"/>
        <v>35.860367949828358</v>
      </c>
      <c r="AH43" s="123">
        <f t="shared" si="37"/>
        <v>1</v>
      </c>
      <c r="AI43" s="112">
        <f t="shared" si="37"/>
        <v>143.44147179931343</v>
      </c>
      <c r="AJ43" s="148">
        <f t="shared" si="38"/>
        <v>71.720735899656717</v>
      </c>
      <c r="AK43" s="147">
        <f t="shared" si="39"/>
        <v>71.720735899656717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192.10911401693767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1.3833040317470686E-3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48.027278504234417</v>
      </c>
      <c r="AB44" s="156">
        <f>Poor!AB44</f>
        <v>0.25</v>
      </c>
      <c r="AC44" s="147">
        <f t="shared" si="41"/>
        <v>48.027278504234417</v>
      </c>
      <c r="AD44" s="156">
        <f>Poor!AD44</f>
        <v>0.25</v>
      </c>
      <c r="AE44" s="147">
        <f t="shared" si="42"/>
        <v>48.027278504234417</v>
      </c>
      <c r="AF44" s="122">
        <f t="shared" si="29"/>
        <v>0.25</v>
      </c>
      <c r="AG44" s="147">
        <f t="shared" si="36"/>
        <v>48.027278504234417</v>
      </c>
      <c r="AH44" s="123">
        <f t="shared" si="37"/>
        <v>1</v>
      </c>
      <c r="AI44" s="112">
        <f t="shared" si="37"/>
        <v>192.10911401693767</v>
      </c>
      <c r="AJ44" s="148">
        <f t="shared" si="38"/>
        <v>96.054557008468834</v>
      </c>
      <c r="AK44" s="147">
        <f t="shared" si="39"/>
        <v>96.054557008468834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448.2545993728545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3.2277094074098268E-3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112.06364984321362</v>
      </c>
      <c r="AB45" s="156">
        <f>Poor!AB45</f>
        <v>0.25</v>
      </c>
      <c r="AC45" s="147">
        <f t="shared" si="41"/>
        <v>112.06364984321362</v>
      </c>
      <c r="AD45" s="156">
        <f>Poor!AD45</f>
        <v>0.25</v>
      </c>
      <c r="AE45" s="147">
        <f t="shared" si="42"/>
        <v>112.06364984321362</v>
      </c>
      <c r="AF45" s="122">
        <f t="shared" si="29"/>
        <v>0.25</v>
      </c>
      <c r="AG45" s="147">
        <f t="shared" si="36"/>
        <v>112.06364984321362</v>
      </c>
      <c r="AH45" s="123">
        <f t="shared" si="37"/>
        <v>1</v>
      </c>
      <c r="AI45" s="112">
        <f t="shared" si="37"/>
        <v>448.2545993728545</v>
      </c>
      <c r="AJ45" s="148">
        <f t="shared" si="38"/>
        <v>224.12729968642725</v>
      </c>
      <c r="AK45" s="147">
        <f t="shared" si="39"/>
        <v>224.12729968642725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64.036371338979222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4.611013439156896E-4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16.009092834744806</v>
      </c>
      <c r="AB46" s="156">
        <f>Poor!AB46</f>
        <v>0.25</v>
      </c>
      <c r="AC46" s="147">
        <f t="shared" si="41"/>
        <v>16.009092834744806</v>
      </c>
      <c r="AD46" s="156">
        <f>Poor!AD46</f>
        <v>0.25</v>
      </c>
      <c r="AE46" s="147">
        <f t="shared" si="42"/>
        <v>16.009092834744806</v>
      </c>
      <c r="AF46" s="122">
        <f t="shared" si="29"/>
        <v>0.25</v>
      </c>
      <c r="AG46" s="147">
        <f t="shared" si="36"/>
        <v>16.009092834744806</v>
      </c>
      <c r="AH46" s="123">
        <f t="shared" si="37"/>
        <v>1</v>
      </c>
      <c r="AI46" s="112">
        <f t="shared" si="37"/>
        <v>64.036371338979222</v>
      </c>
      <c r="AJ46" s="148">
        <f t="shared" si="38"/>
        <v>32.018185669489611</v>
      </c>
      <c r="AK46" s="147">
        <f t="shared" si="39"/>
        <v>32.018185669489611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71.720735899656717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5.1643350518557226E-4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17.930183974914179</v>
      </c>
      <c r="AB47" s="156">
        <f>Poor!AB47</f>
        <v>0.25</v>
      </c>
      <c r="AC47" s="147">
        <f t="shared" si="41"/>
        <v>17.930183974914179</v>
      </c>
      <c r="AD47" s="156">
        <f>Poor!AD47</f>
        <v>0.25</v>
      </c>
      <c r="AE47" s="147">
        <f t="shared" si="42"/>
        <v>17.930183974914179</v>
      </c>
      <c r="AF47" s="122">
        <f t="shared" si="29"/>
        <v>0.25</v>
      </c>
      <c r="AG47" s="147">
        <f t="shared" si="36"/>
        <v>17.930183974914179</v>
      </c>
      <c r="AH47" s="123">
        <f t="shared" si="37"/>
        <v>1</v>
      </c>
      <c r="AI47" s="112">
        <f t="shared" si="37"/>
        <v>71.720735899656717</v>
      </c>
      <c r="AJ47" s="148">
        <f t="shared" si="38"/>
        <v>35.860367949828358</v>
      </c>
      <c r="AK47" s="147">
        <f t="shared" si="39"/>
        <v>35.860367949828358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5.3572585813345619E-2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78498.3</v>
      </c>
      <c r="J65" s="39">
        <f>SUM(J37:J64)</f>
        <v>87119.827707170421</v>
      </c>
      <c r="K65" s="40">
        <f>SUM(K37:K64)</f>
        <v>1</v>
      </c>
      <c r="L65" s="22">
        <f>SUM(L37:L64)</f>
        <v>0.63309792118205321</v>
      </c>
      <c r="M65" s="24">
        <f>SUM(M37:M64)</f>
        <v>0.62731645778041301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5179.7368517699697</v>
      </c>
      <c r="AB65" s="137"/>
      <c r="AC65" s="153">
        <f>SUM(AC37:AC64)</f>
        <v>7137.5032573492217</v>
      </c>
      <c r="AD65" s="137"/>
      <c r="AE65" s="153">
        <f>SUM(AE37:AE64)</f>
        <v>2260.2370249442938</v>
      </c>
      <c r="AF65" s="137"/>
      <c r="AG65" s="153">
        <f>SUM(AG37:AG64)</f>
        <v>326.35057310693543</v>
      </c>
      <c r="AH65" s="137"/>
      <c r="AI65" s="153">
        <f>SUM(AI37:AI64)</f>
        <v>14903.827707170421</v>
      </c>
      <c r="AJ65" s="153">
        <f>SUM(AJ37:AJ64)</f>
        <v>12317.240109119191</v>
      </c>
      <c r="AK65" s="153">
        <f>SUM(AK37:AK64)</f>
        <v>2586.5875980512287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64338.166338009607</v>
      </c>
      <c r="J74" s="51">
        <f t="shared" si="44"/>
        <v>6840.6781021330398</v>
      </c>
      <c r="K74" s="40">
        <f>B74/B$76</f>
        <v>3.3389479046744219E-2</v>
      </c>
      <c r="L74" s="22">
        <f t="shared" si="45"/>
        <v>1.9127406862822816E-2</v>
      </c>
      <c r="M74" s="24">
        <f>J74/B$76</f>
        <v>4.9257098743010291E-2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1639.7034362723712</v>
      </c>
      <c r="AB74" s="156"/>
      <c r="AC74" s="147">
        <f>AC30*$I$84/4</f>
        <v>3597.4698418516232</v>
      </c>
      <c r="AD74" s="156"/>
      <c r="AE74" s="147">
        <f>AE30*$I$84/4</f>
        <v>-1279.7963905533047</v>
      </c>
      <c r="AF74" s="156"/>
      <c r="AG74" s="147">
        <f>AG30*$I$84/4</f>
        <v>-3213.6828423906632</v>
      </c>
      <c r="AH74" s="155"/>
      <c r="AI74" s="147">
        <f>SUM(AA74,AC74,AE74,AG74)</f>
        <v>743.69404518002648</v>
      </c>
      <c r="AJ74" s="148">
        <f>(AA74+AC74)</f>
        <v>5237.1732781239944</v>
      </c>
      <c r="AK74" s="147">
        <f>(AE74+AG74)</f>
        <v>-4493.4792329439679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10473.362609713668</v>
      </c>
      <c r="K75" s="40">
        <f>B75/B$76</f>
        <v>0.55421887568104133</v>
      </c>
      <c r="L75" s="22">
        <f t="shared" si="45"/>
        <v>0.11132582156719997</v>
      </c>
      <c r="M75" s="24">
        <f>J75/B$76</f>
        <v>7.5414666285372439E-2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78498.3</v>
      </c>
      <c r="J76" s="51">
        <f t="shared" si="44"/>
        <v>87119.827707170421</v>
      </c>
      <c r="K76" s="40">
        <f>SUM(K70:K75)</f>
        <v>1</v>
      </c>
      <c r="L76" s="22">
        <f>SUM(L70:L75)</f>
        <v>0.6330979211820531</v>
      </c>
      <c r="M76" s="24">
        <f>SUM(M70:M75)</f>
        <v>0.62731645778041312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5179.7368517699697</v>
      </c>
      <c r="AB76" s="137"/>
      <c r="AC76" s="153">
        <f>AC65</f>
        <v>7137.5032573492217</v>
      </c>
      <c r="AD76" s="137"/>
      <c r="AE76" s="153">
        <f>AE65</f>
        <v>2260.2370249442938</v>
      </c>
      <c r="AF76" s="137"/>
      <c r="AG76" s="153">
        <f>AG65</f>
        <v>326.35057310693543</v>
      </c>
      <c r="AH76" s="137"/>
      <c r="AI76" s="153">
        <f>SUM(AA76,AC76,AE76,AG76)</f>
        <v>14903.827707170421</v>
      </c>
      <c r="AJ76" s="154">
        <f>SUM(AA76,AC76)</f>
        <v>12317.240109119191</v>
      </c>
      <c r="AK76" s="154">
        <f>SUM(AE76,AG76)</f>
        <v>2586.5875980512292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4791.9515365139023</v>
      </c>
      <c r="AF77" s="112"/>
      <c r="AG77" s="111">
        <f>AG31*$I$84/4</f>
        <v>6245.9378270255529</v>
      </c>
      <c r="AH77" s="110"/>
      <c r="AI77" s="154">
        <f>SUM(AA77,AC77,AE77,AG77)</f>
        <v>11037.889363539456</v>
      </c>
      <c r="AJ77" s="153">
        <f>SUM(AA77,AC77)</f>
        <v>0</v>
      </c>
      <c r="AK77" s="160">
        <f>SUM(AE77,AG77)</f>
        <v>11037.889363539456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1639.7034362723712</v>
      </c>
      <c r="AB79" s="112"/>
      <c r="AC79" s="112">
        <f>AA79-AA74+AC65-AC70</f>
        <v>3597.4698418516232</v>
      </c>
      <c r="AD79" s="112"/>
      <c r="AE79" s="112">
        <f>AC79-AC74+AE65-AE70</f>
        <v>-1279.7963905533047</v>
      </c>
      <c r="AF79" s="112"/>
      <c r="AG79" s="112">
        <f>AE79-AE74+AG65-AG70</f>
        <v>-3213.6828423906632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0.78148841935009805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0.78148841935009805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8.487149006472744E-2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8.487149006472744E-2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2.112008210293502E-2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2.112008210293502E-2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1.0277412215540153E-2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1.0277412215540153E-2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9.5922514011708079E-3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9.5922514011708079E-3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1.284676526942519E-2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1.284676526942519E-2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2.9975785628658776E-2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2.9975785628658776E-2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4.2822550898083964E-3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4.2822550898083964E-3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4.796125700585404E-3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4.796125700585404E-3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</v>
      </c>
      <c r="I114" s="22">
        <f t="shared" si="58"/>
        <v>0</v>
      </c>
      <c r="J114" s="24">
        <f t="shared" si="59"/>
        <v>0</v>
      </c>
      <c r="K114" s="22">
        <f t="shared" si="60"/>
        <v>0.82092352179376094</v>
      </c>
      <c r="L114" s="22">
        <f t="shared" si="61"/>
        <v>0</v>
      </c>
      <c r="M114" s="226">
        <f t="shared" si="6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5.2493565404710969</v>
      </c>
      <c r="J119" s="24">
        <f>SUM(J91:J118)</f>
        <v>5.8258973427367238</v>
      </c>
      <c r="K119" s="22">
        <f>SUM(K91:K118)</f>
        <v>15.323574722601096</v>
      </c>
      <c r="L119" s="22">
        <f>SUM(L91:L118)</f>
        <v>5.879589879973703</v>
      </c>
      <c r="M119" s="57">
        <f t="shared" si="49"/>
        <v>5.8258973427367238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4.3024367950433078</v>
      </c>
      <c r="J128" s="227">
        <f>(J30)</f>
        <v>0.45745141406488399</v>
      </c>
      <c r="K128" s="22">
        <f>(B128)</f>
        <v>0.51164617712150862</v>
      </c>
      <c r="L128" s="22">
        <f>IF(L124=L119,0,(L119-L124)/(B119-B124)*K128)</f>
        <v>0.17763651412852027</v>
      </c>
      <c r="M128" s="57">
        <f t="shared" si="63"/>
        <v>0.45745141406488399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0.70037713575995753</v>
      </c>
      <c r="K129" s="29">
        <f>(B129)</f>
        <v>8.4926143541744032</v>
      </c>
      <c r="L129" s="60">
        <f>IF(SUM(L124:L128)&gt;L130,0,L130-SUM(L124:L128))</f>
        <v>1.0338845729333004</v>
      </c>
      <c r="M129" s="57">
        <f t="shared" si="63"/>
        <v>0.70037713575995753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5.2493565404710969</v>
      </c>
      <c r="J130" s="227">
        <f>(J119)</f>
        <v>5.8258973427367238</v>
      </c>
      <c r="K130" s="22">
        <f>(B130)</f>
        <v>15.323574722601096</v>
      </c>
      <c r="L130" s="22">
        <f>(L119)</f>
        <v>5.879589879973703</v>
      </c>
      <c r="M130" s="57">
        <f t="shared" si="63"/>
        <v>5.8258973427367238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2468.8192737250556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9624.0432614458878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7.1164996807022998E-2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7.1164996807022998E-2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0.28465998722809199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0.28465998722809199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7.1164996807022998E-2</v>
      </c>
      <c r="AJ9" s="120">
        <f t="shared" si="14"/>
        <v>0.142329993614046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15944.718599084628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1.3834177742765212E-2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1.3834177742765212E-2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5.5336710971060847E-2</v>
      </c>
      <c r="Z13" s="156">
        <f>Poor!Z13</f>
        <v>1</v>
      </c>
      <c r="AA13" s="121">
        <f>$M13*Z13*4</f>
        <v>5.5336710971060847E-2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1.3834177742765212E-2</v>
      </c>
      <c r="AJ13" s="120">
        <f t="shared" si="14"/>
        <v>2.7668355485530424E-2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2.4257023337282489E-2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2.4257023337282489E-2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9.7028093349129957E-2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9.7028093349129957E-2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2.4257023337282489E-2</v>
      </c>
      <c r="AJ14" s="120">
        <f t="shared" si="14"/>
        <v>4.8514046674564978E-2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1.7230395084242352E-3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1.7230395084242352E-3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6.8921580336969409E-3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6.8921580336969409E-3</v>
      </c>
      <c r="AH16" s="123">
        <f t="shared" si="12"/>
        <v>1</v>
      </c>
      <c r="AI16" s="183">
        <f t="shared" si="13"/>
        <v>1.7230395084242352E-3</v>
      </c>
      <c r="AJ16" s="120">
        <f t="shared" si="14"/>
        <v>0</v>
      </c>
      <c r="AK16" s="119">
        <f t="shared" si="15"/>
        <v>3.4460790168484704E-3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2.5375128983725036E-3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2.5375128983725036E-3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1.0150051593490014E-2</v>
      </c>
      <c r="Z17" s="156">
        <f>Poor!Z17</f>
        <v>0.29409999999999997</v>
      </c>
      <c r="AA17" s="121">
        <f t="shared" si="16"/>
        <v>2.9851301736454131E-3</v>
      </c>
      <c r="AB17" s="156">
        <f>Poor!AB17</f>
        <v>0.17649999999999999</v>
      </c>
      <c r="AC17" s="121">
        <f t="shared" si="7"/>
        <v>1.7914841062509875E-3</v>
      </c>
      <c r="AD17" s="156">
        <f>Poor!AD17</f>
        <v>0.23530000000000001</v>
      </c>
      <c r="AE17" s="121">
        <f t="shared" si="8"/>
        <v>2.3883071399482003E-3</v>
      </c>
      <c r="AF17" s="122">
        <f t="shared" si="10"/>
        <v>0.29410000000000003</v>
      </c>
      <c r="AG17" s="121">
        <f t="shared" si="11"/>
        <v>2.9851301736454135E-3</v>
      </c>
      <c r="AH17" s="123">
        <f t="shared" si="12"/>
        <v>1</v>
      </c>
      <c r="AI17" s="183">
        <f t="shared" si="13"/>
        <v>2.5375128983725036E-3</v>
      </c>
      <c r="AJ17" s="120">
        <f t="shared" si="14"/>
        <v>2.3883071399482003E-3</v>
      </c>
      <c r="AK17" s="119">
        <f t="shared" si="15"/>
        <v>2.6867186567968069E-3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132869.05397336991</v>
      </c>
      <c r="T23" s="179">
        <f>SUM(T7:T22)</f>
        <v>133157.66874388754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4.2430530121711413E-2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4.2430530121711413E-2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0.16972212048684565</v>
      </c>
      <c r="Z27" s="156">
        <f>Poor!Z27</f>
        <v>0.25</v>
      </c>
      <c r="AA27" s="121">
        <f t="shared" si="16"/>
        <v>4.2430530121711413E-2</v>
      </c>
      <c r="AB27" s="156">
        <f>Poor!AB27</f>
        <v>0.25</v>
      </c>
      <c r="AC27" s="121">
        <f t="shared" si="7"/>
        <v>4.2430530121711413E-2</v>
      </c>
      <c r="AD27" s="156">
        <f>Poor!AD27</f>
        <v>0.25</v>
      </c>
      <c r="AE27" s="121">
        <f t="shared" si="8"/>
        <v>4.2430530121711413E-2</v>
      </c>
      <c r="AF27" s="122">
        <f t="shared" si="10"/>
        <v>0.25</v>
      </c>
      <c r="AG27" s="121">
        <f t="shared" si="11"/>
        <v>4.2430530121711413E-2</v>
      </c>
      <c r="AH27" s="123">
        <f t="shared" si="12"/>
        <v>1</v>
      </c>
      <c r="AI27" s="183">
        <f t="shared" si="13"/>
        <v>4.2430530121711413E-2</v>
      </c>
      <c r="AJ27" s="120">
        <f t="shared" si="14"/>
        <v>4.2430530121711413E-2</v>
      </c>
      <c r="AK27" s="119">
        <f t="shared" si="15"/>
        <v>4.2430530121711413E-2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4.0273560858776524E-3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4.0273560858776524E-3</v>
      </c>
      <c r="N28" s="228"/>
      <c r="O28" s="2"/>
      <c r="P28" s="22"/>
      <c r="V28" s="56"/>
      <c r="W28" s="110"/>
      <c r="X28" s="118"/>
      <c r="Y28" s="183">
        <f t="shared" si="9"/>
        <v>1.610942434351061E-2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8.0547121717553048E-3</v>
      </c>
      <c r="AF28" s="122">
        <f t="shared" si="10"/>
        <v>0.5</v>
      </c>
      <c r="AG28" s="121">
        <f t="shared" si="11"/>
        <v>8.0547121717553048E-3</v>
      </c>
      <c r="AH28" s="123">
        <f t="shared" si="12"/>
        <v>1</v>
      </c>
      <c r="AI28" s="183">
        <f t="shared" si="13"/>
        <v>4.0273560858776524E-3</v>
      </c>
      <c r="AJ28" s="120">
        <f t="shared" si="14"/>
        <v>0</v>
      </c>
      <c r="AK28" s="119">
        <f t="shared" si="15"/>
        <v>8.0547121717553048E-3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0.22366746065926479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0.22366746065926479</v>
      </c>
      <c r="N29" s="228"/>
      <c r="P29" s="22"/>
      <c r="V29" s="56"/>
      <c r="W29" s="110"/>
      <c r="X29" s="118"/>
      <c r="Y29" s="183">
        <f t="shared" si="9"/>
        <v>0.89466984263705918</v>
      </c>
      <c r="Z29" s="156">
        <f>Poor!Z29</f>
        <v>0.25</v>
      </c>
      <c r="AA29" s="121">
        <f t="shared" si="16"/>
        <v>0.22366746065926479</v>
      </c>
      <c r="AB29" s="156">
        <f>Poor!AB29</f>
        <v>0.25</v>
      </c>
      <c r="AC29" s="121">
        <f t="shared" si="7"/>
        <v>0.22366746065926479</v>
      </c>
      <c r="AD29" s="156">
        <f>Poor!AD29</f>
        <v>0.25</v>
      </c>
      <c r="AE29" s="121">
        <f t="shared" si="8"/>
        <v>0.22366746065926479</v>
      </c>
      <c r="AF29" s="122">
        <f t="shared" si="10"/>
        <v>0.25</v>
      </c>
      <c r="AG29" s="121">
        <f t="shared" si="11"/>
        <v>0.22366746065926479</v>
      </c>
      <c r="AH29" s="123">
        <f t="shared" si="12"/>
        <v>1</v>
      </c>
      <c r="AI29" s="183">
        <f t="shared" si="13"/>
        <v>0.22366746065926479</v>
      </c>
      <c r="AJ29" s="120">
        <f t="shared" si="14"/>
        <v>0.22366746065926479</v>
      </c>
      <c r="AK29" s="119">
        <f t="shared" si="15"/>
        <v>0.22366746065926479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6.4783942886255499</v>
      </c>
      <c r="J30" s="230">
        <f>IF(I$32&lt;=1,I30,1-SUM(J6:J29))</f>
        <v>0.473689794001389</v>
      </c>
      <c r="K30" s="22">
        <f t="shared" si="4"/>
        <v>0.57612499925280203</v>
      </c>
      <c r="L30" s="22">
        <f>IF(L124=L119,0,IF(K30="",0,(L119-L124)/(B119-B124)*K30))</f>
        <v>0.20318761526897641</v>
      </c>
      <c r="M30" s="175">
        <f t="shared" si="6"/>
        <v>0.473689794001389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1.894759176005556</v>
      </c>
      <c r="Z30" s="122">
        <f>IF($Y30=0,0,AA30/($Y$30))</f>
        <v>9.3983288377284077E-2</v>
      </c>
      <c r="AA30" s="187">
        <f>IF(AA79*4/$I$83+SUM(AA6:AA29)&lt;1,AA79*4/$I$83,1-SUM(AA6:AA29))</f>
        <v>0.17807569804403534</v>
      </c>
      <c r="AB30" s="122">
        <f>IF($Y30=0,0,AC30/($Y$30))</f>
        <v>0.28760334644211594</v>
      </c>
      <c r="AC30" s="187">
        <f>IF(AC79*4/$I$83+SUM(AC6:AC29)&lt;1,AC79*4/$I$83,1-SUM(AC6:AC29))</f>
        <v>0.544939079721104</v>
      </c>
      <c r="AD30" s="122">
        <f>IF($Y30=0,0,AE30/($Y$30))</f>
        <v>0.32851519820610725</v>
      </c>
      <c r="AE30" s="187">
        <f>IF(AE79*4/$I$83+SUM(AE6:AE29)&lt;1,AE79*4/$I$83,1-SUM(AE6:AE29))</f>
        <v>0.62245718625830571</v>
      </c>
      <c r="AF30" s="122">
        <f>IF($Y30=0,0,AG30/($Y$30))</f>
        <v>0.28989816697449283</v>
      </c>
      <c r="AG30" s="187">
        <f>IF(AG79*4/$I$83+SUM(AG6:AG29)&lt;1,AG79*4/$I$83,1-SUM(AG6:AG29))</f>
        <v>0.54928721198211117</v>
      </c>
      <c r="AH30" s="123">
        <f t="shared" si="12"/>
        <v>1.0000000000000002</v>
      </c>
      <c r="AI30" s="183">
        <f t="shared" si="13"/>
        <v>0.473689794001389</v>
      </c>
      <c r="AJ30" s="120">
        <f t="shared" si="14"/>
        <v>0.36150738888256967</v>
      </c>
      <c r="AK30" s="119">
        <f t="shared" si="15"/>
        <v>0.58587219912020849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0.2917338286121044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7.3199344071464081</v>
      </c>
      <c r="J32" s="17"/>
      <c r="L32" s="22">
        <f>SUM(L6:L30)</f>
        <v>0.7082661713878956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6.3102750067861771E-2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14308.922490160152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6.1963237098291886E-2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14308.922490160152</v>
      </c>
      <c r="AH37" s="123">
        <f>SUM(Z37,AB37,AD37,AF37)</f>
        <v>1</v>
      </c>
      <c r="AI37" s="112">
        <f>SUM(AA37,AC37,AE37,AG37)</f>
        <v>14308.922490160152</v>
      </c>
      <c r="AJ37" s="148">
        <f>(AA37+AC37)</f>
        <v>0</v>
      </c>
      <c r="AK37" s="147">
        <f>(AE37+AG37)</f>
        <v>14308.922490160152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3595.845933810057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1.5571420861271824E-2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3595.845933810057</v>
      </c>
      <c r="AH38" s="123">
        <f t="shared" ref="AH38:AI58" si="35">SUM(Z38,AB38,AD38,AF38)</f>
        <v>1</v>
      </c>
      <c r="AI38" s="112">
        <f t="shared" si="35"/>
        <v>3595.845933810057</v>
      </c>
      <c r="AJ38" s="148">
        <f t="shared" ref="AJ38:AJ64" si="36">(AA38+AC38)</f>
        <v>0</v>
      </c>
      <c r="AK38" s="147">
        <f t="shared" ref="AK38:AK64" si="37">(AE38+AG38)</f>
        <v>3595.845933810057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1928.1345403603407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8.3495775285604076E-3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1928.1345403603407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1928.1345403603407</v>
      </c>
      <c r="AJ40" s="148">
        <f t="shared" si="36"/>
        <v>1928.1345403603407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944.39242793159519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4.0895889935806066E-3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236.0981069828988</v>
      </c>
      <c r="AB43" s="156">
        <f>Poor!AB43</f>
        <v>0.25</v>
      </c>
      <c r="AC43" s="147">
        <f t="shared" si="39"/>
        <v>236.0981069828988</v>
      </c>
      <c r="AD43" s="156">
        <f>Poor!AD43</f>
        <v>0.25</v>
      </c>
      <c r="AE43" s="147">
        <f t="shared" si="40"/>
        <v>236.0981069828988</v>
      </c>
      <c r="AF43" s="122">
        <f t="shared" si="31"/>
        <v>0.25</v>
      </c>
      <c r="AG43" s="147">
        <f t="shared" si="34"/>
        <v>236.0981069828988</v>
      </c>
      <c r="AH43" s="123">
        <f t="shared" si="35"/>
        <v>1</v>
      </c>
      <c r="AI43" s="112">
        <f t="shared" si="35"/>
        <v>944.39242793159519</v>
      </c>
      <c r="AJ43" s="148">
        <f t="shared" si="36"/>
        <v>472.1962139657976</v>
      </c>
      <c r="AK43" s="147">
        <f t="shared" si="37"/>
        <v>472.1962139657976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1023.0917969258948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4.4303880763789903E-3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255.77294923147369</v>
      </c>
      <c r="AB44" s="156">
        <f>Poor!AB44</f>
        <v>0.25</v>
      </c>
      <c r="AC44" s="147">
        <f t="shared" si="39"/>
        <v>255.77294923147369</v>
      </c>
      <c r="AD44" s="156">
        <f>Poor!AD44</f>
        <v>0.25</v>
      </c>
      <c r="AE44" s="147">
        <f t="shared" si="40"/>
        <v>255.77294923147369</v>
      </c>
      <c r="AF44" s="122">
        <f t="shared" si="31"/>
        <v>0.25</v>
      </c>
      <c r="AG44" s="147">
        <f t="shared" si="34"/>
        <v>255.77294923147369</v>
      </c>
      <c r="AH44" s="123">
        <f t="shared" si="35"/>
        <v>1</v>
      </c>
      <c r="AI44" s="112">
        <f t="shared" si="35"/>
        <v>1023.0917969258948</v>
      </c>
      <c r="AJ44" s="148">
        <f t="shared" si="36"/>
        <v>511.54589846294738</v>
      </c>
      <c r="AK44" s="147">
        <f t="shared" si="37"/>
        <v>511.54589846294738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1101.7911659201943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4.7711871591773741E-3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275.44779148004858</v>
      </c>
      <c r="AB46" s="156">
        <f>Poor!AB46</f>
        <v>0.25</v>
      </c>
      <c r="AC46" s="147">
        <f t="shared" si="39"/>
        <v>275.44779148004858</v>
      </c>
      <c r="AD46" s="156">
        <f>Poor!AD46</f>
        <v>0.25</v>
      </c>
      <c r="AE46" s="147">
        <f t="shared" si="40"/>
        <v>275.44779148004858</v>
      </c>
      <c r="AF46" s="122">
        <f t="shared" si="31"/>
        <v>0.25</v>
      </c>
      <c r="AG46" s="147">
        <f t="shared" si="34"/>
        <v>275.44779148004858</v>
      </c>
      <c r="AH46" s="123">
        <f t="shared" si="35"/>
        <v>1</v>
      </c>
      <c r="AI46" s="112">
        <f t="shared" si="35"/>
        <v>1101.7911659201943</v>
      </c>
      <c r="AJ46" s="148">
        <f t="shared" si="36"/>
        <v>550.89558296009716</v>
      </c>
      <c r="AK46" s="147">
        <f t="shared" si="37"/>
        <v>550.89558296009716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157.39873798859918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6.8159816559676769E-4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39.349684497149795</v>
      </c>
      <c r="AB47" s="156">
        <f>Poor!AB47</f>
        <v>0.25</v>
      </c>
      <c r="AC47" s="147">
        <f t="shared" si="39"/>
        <v>39.349684497149795</v>
      </c>
      <c r="AD47" s="156">
        <f>Poor!AD47</f>
        <v>0.25</v>
      </c>
      <c r="AE47" s="147">
        <f t="shared" si="40"/>
        <v>39.349684497149795</v>
      </c>
      <c r="AF47" s="122">
        <f t="shared" si="31"/>
        <v>0.25</v>
      </c>
      <c r="AG47" s="147">
        <f t="shared" si="34"/>
        <v>39.349684497149795</v>
      </c>
      <c r="AH47" s="123">
        <f t="shared" si="35"/>
        <v>1</v>
      </c>
      <c r="AI47" s="112">
        <f t="shared" si="35"/>
        <v>157.39873798859918</v>
      </c>
      <c r="AJ47" s="148">
        <f t="shared" si="36"/>
        <v>78.69936899429959</v>
      </c>
      <c r="AK47" s="147">
        <f t="shared" si="37"/>
        <v>78.69936899429959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0</v>
      </c>
      <c r="F60" s="75">
        <f>Middle!F60</f>
        <v>1.18</v>
      </c>
      <c r="G60" s="22">
        <f t="shared" si="32"/>
        <v>1.65</v>
      </c>
      <c r="H60" s="24">
        <f t="shared" si="41"/>
        <v>0</v>
      </c>
      <c r="I60" s="39">
        <f t="shared" si="42"/>
        <v>0</v>
      </c>
      <c r="J60" s="38">
        <f t="shared" si="33"/>
        <v>0</v>
      </c>
      <c r="K60" s="40">
        <f t="shared" si="43"/>
        <v>3.2218113161792086E-2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142762.28</v>
      </c>
      <c r="J65" s="39">
        <f>SUM(J37:J64)</f>
        <v>144876.85709309683</v>
      </c>
      <c r="K65" s="40">
        <f>SUM(K37:K64)</f>
        <v>1</v>
      </c>
      <c r="L65" s="22">
        <f>SUM(L37:L64)</f>
        <v>0.62799026527978652</v>
      </c>
      <c r="M65" s="24">
        <f>SUM(M37:M64)</f>
        <v>0.62737351832663646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9849.9030725519096</v>
      </c>
      <c r="AB65" s="137"/>
      <c r="AC65" s="153">
        <f>SUM(AC37:AC64)</f>
        <v>7692.7285321915697</v>
      </c>
      <c r="AD65" s="137"/>
      <c r="AE65" s="153">
        <f>SUM(AE37:AE64)</f>
        <v>8084.7285321915697</v>
      </c>
      <c r="AF65" s="137"/>
      <c r="AG65" s="153">
        <f>SUM(AG37:AG64)</f>
        <v>25793.496956161776</v>
      </c>
      <c r="AH65" s="137"/>
      <c r="AI65" s="153">
        <f>SUM(AI37:AI64)</f>
        <v>51420.857093096827</v>
      </c>
      <c r="AJ65" s="153">
        <f>SUM(AJ37:AJ64)</f>
        <v>17542.631604743481</v>
      </c>
      <c r="AK65" s="153">
        <f>SUM(AK37:AK64)</f>
        <v>33878.225488353353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124556.3938631552</v>
      </c>
      <c r="J74" s="51">
        <f>J128*I$83</f>
        <v>9107.3636339463173</v>
      </c>
      <c r="K74" s="40">
        <f>B74/B$76</f>
        <v>2.9070907747959899E-2</v>
      </c>
      <c r="L74" s="22">
        <f>(L128*G$37*F$9/F$7)/B$130</f>
        <v>1.6916988334147572E-2</v>
      </c>
      <c r="M74" s="24">
        <f>J74/B$76</f>
        <v>3.9438450559687158E-2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855.93998276596665</v>
      </c>
      <c r="AB74" s="156"/>
      <c r="AC74" s="147">
        <f>AC30*$I$83/4</f>
        <v>2619.3082583881906</v>
      </c>
      <c r="AD74" s="156"/>
      <c r="AE74" s="147">
        <f>AE30*$I$83/4</f>
        <v>2991.9073693409678</v>
      </c>
      <c r="AF74" s="156"/>
      <c r="AG74" s="147">
        <f>AG30*$I$83/4</f>
        <v>2640.2080234511936</v>
      </c>
      <c r="AH74" s="155"/>
      <c r="AI74" s="147">
        <f>SUM(AA74,AC74,AE74,AG74)</f>
        <v>9107.3636339463192</v>
      </c>
      <c r="AJ74" s="148">
        <f>(AA74+AC74)</f>
        <v>3475.2482411541573</v>
      </c>
      <c r="AK74" s="147">
        <f>(AE74+AG74)</f>
        <v>5632.1153927921614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23944.767322305714</v>
      </c>
      <c r="K75" s="40">
        <f>B75/B$76</f>
        <v>0.57105119031176255</v>
      </c>
      <c r="L75" s="22">
        <f>(L129*G$37*F$9/F$7)/B$130</f>
        <v>0.12682842735380101</v>
      </c>
      <c r="M75" s="24">
        <f>J75/B$76</f>
        <v>0.10369021817511113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4442.4915555747466</v>
      </c>
      <c r="AB75" s="158"/>
      <c r="AC75" s="149">
        <f>AA75+AC65-SUM(AC70,AC74)</f>
        <v>4964.440295166929</v>
      </c>
      <c r="AD75" s="158"/>
      <c r="AE75" s="149">
        <f>AC75+AE65-SUM(AE70,AE74)</f>
        <v>5505.7899238063346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24107.607322305721</v>
      </c>
      <c r="AJ75" s="151">
        <f>AJ76-SUM(AJ70,AJ74)</f>
        <v>4964.4402951669308</v>
      </c>
      <c r="AK75" s="149">
        <f>AJ75+AK76-SUM(AK70,AK74)</f>
        <v>24107.607322305725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142762.27999999997</v>
      </c>
      <c r="J76" s="51">
        <f>J130*I$83</f>
        <v>144876.85709309683</v>
      </c>
      <c r="K76" s="40">
        <f>SUM(K70:K75)</f>
        <v>0.79674008123814566</v>
      </c>
      <c r="L76" s="22">
        <f>SUM(L70:L75)</f>
        <v>0.3881435611407984</v>
      </c>
      <c r="M76" s="24">
        <f>SUM(M70:M75)</f>
        <v>0.38752681418764806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9849.9030725519096</v>
      </c>
      <c r="AB76" s="137"/>
      <c r="AC76" s="153">
        <f>AC65</f>
        <v>7692.7285321915697</v>
      </c>
      <c r="AD76" s="137"/>
      <c r="AE76" s="153">
        <f>AE65</f>
        <v>8084.7285321915697</v>
      </c>
      <c r="AF76" s="137"/>
      <c r="AG76" s="153">
        <f>AG65</f>
        <v>25793.496956161776</v>
      </c>
      <c r="AH76" s="137"/>
      <c r="AI76" s="153">
        <f>SUM(AA76,AC76,AE76,AG76)</f>
        <v>51420.857093096827</v>
      </c>
      <c r="AJ76" s="154">
        <f>SUM(AA76,AC76)</f>
        <v>17542.631604743481</v>
      </c>
      <c r="AK76" s="154">
        <f>SUM(AE76,AG76)</f>
        <v>33878.225488353346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4442.4915555747466</v>
      </c>
      <c r="AD78" s="112"/>
      <c r="AE78" s="112">
        <f>AC75</f>
        <v>4964.440295166929</v>
      </c>
      <c r="AF78" s="112"/>
      <c r="AG78" s="112">
        <f>AE75</f>
        <v>5505.7899238063346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5298.4315383407129</v>
      </c>
      <c r="AB79" s="112"/>
      <c r="AC79" s="112">
        <f>AA79-AA74+AC65-AC70</f>
        <v>7583.7485535551195</v>
      </c>
      <c r="AD79" s="112"/>
      <c r="AE79" s="112">
        <f>AC79-AC74+AE65-AE70</f>
        <v>8497.6972931473028</v>
      </c>
      <c r="AF79" s="112"/>
      <c r="AG79" s="112">
        <f>AE79-AE74+AG65-AG70</f>
        <v>26747.815345756913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0.74423190059984778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0.74423190059984778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0.18702618980737387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0.18702618980737387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0.10028562490092358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0.10028562490092358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4.9119489747391124E-2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4.9119489747391124E-2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5.3212780559673718E-2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5.3212780559673718E-2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5.7306071371956306E-2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5.7306071371956306E-2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8.1865816245651861E-3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8.1865816245651861E-3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</v>
      </c>
      <c r="I114" s="22">
        <f t="shared" si="59"/>
        <v>0</v>
      </c>
      <c r="J114" s="24">
        <f t="shared" si="60"/>
        <v>0</v>
      </c>
      <c r="K114" s="22">
        <f t="shared" si="61"/>
        <v>0.63849607250625862</v>
      </c>
      <c r="L114" s="22">
        <f t="shared" si="62"/>
        <v>0</v>
      </c>
      <c r="M114" s="226">
        <f t="shared" si="6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7.425314034053339</v>
      </c>
      <c r="J119" s="24">
        <f>SUM(J91:J118)</f>
        <v>7.5352968598071701</v>
      </c>
      <c r="K119" s="22">
        <f>SUM(K91:K118)</f>
        <v>19.817922585965089</v>
      </c>
      <c r="L119" s="22">
        <f>SUM(L91:L118)</f>
        <v>7.5427045224572673</v>
      </c>
      <c r="M119" s="57">
        <f t="shared" si="50"/>
        <v>7.5352968598071701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6.4783942886255499</v>
      </c>
      <c r="J128" s="227">
        <f>(J30)</f>
        <v>0.473689794001389</v>
      </c>
      <c r="K128" s="22">
        <f>(B128)</f>
        <v>0.57612499925280203</v>
      </c>
      <c r="L128" s="22">
        <f>IF(L124=L119,0,(L119-L124)/(B119-B124)*K128)</f>
        <v>0.20318761526897641</v>
      </c>
      <c r="M128" s="57">
        <f t="shared" si="90"/>
        <v>0.473689794001389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1.2454089192219291</v>
      </c>
      <c r="K129" s="29">
        <f>(B129)</f>
        <v>11.317048282221727</v>
      </c>
      <c r="L129" s="60">
        <f>IF(SUM(L124:L128)&gt;L130,0,L130-SUM(L124:L128))</f>
        <v>1.5233187606044396</v>
      </c>
      <c r="M129" s="57">
        <f t="shared" si="90"/>
        <v>1.2454089192219291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7.425314034053339</v>
      </c>
      <c r="J130" s="227">
        <f>(J119)</f>
        <v>7.5352968598071701</v>
      </c>
      <c r="K130" s="22">
        <f>(B130)</f>
        <v>19.817922585965089</v>
      </c>
      <c r="L130" s="22">
        <f>(L119)</f>
        <v>7.5427045224572673</v>
      </c>
      <c r="M130" s="57">
        <f t="shared" si="90"/>
        <v>7.5352968598071701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2185.4355579257908</v>
      </c>
      <c r="H72" s="109">
        <f>Middle!T7</f>
        <v>1554.4077929993477</v>
      </c>
      <c r="I72" s="109">
        <f>Rich!T7</f>
        <v>2468.8192737250556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62.999999999999986</v>
      </c>
      <c r="H73" s="109">
        <f>Middle!T8</f>
        <v>2028.4765338115856</v>
      </c>
      <c r="I73" s="109">
        <f>Rich!T8</f>
        <v>9624.0432614458878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15004.469417240325</v>
      </c>
      <c r="I76" s="109">
        <f>Rich!T11</f>
        <v>15944.718599084628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2397.9630963673003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6582.8571428571431</v>
      </c>
      <c r="G81" s="109">
        <f>Poor!T16</f>
        <v>2534.3999999999996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22535.75810047569</v>
      </c>
      <c r="G88" s="109">
        <f>Poor!T23</f>
        <v>18484.095271236347</v>
      </c>
      <c r="H88" s="109">
        <f>Middle!T23</f>
        <v>103446.61241237151</v>
      </c>
      <c r="I88" s="109">
        <f>Rich!T23</f>
        <v>133157.66874388754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6898.3333436322064</v>
      </c>
      <c r="G98" s="238">
        <f t="shared" si="0"/>
        <v>10949.996172871546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23393.16001029887</v>
      </c>
      <c r="G99" s="238">
        <f t="shared" si="0"/>
        <v>27444.822839538214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56131.080010298858</v>
      </c>
      <c r="G100" s="238">
        <f t="shared" si="0"/>
        <v>60182.742839538201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2016-06-04T22:33:46Z</dcterms:modified>
  <cp:category/>
</cp:coreProperties>
</file>