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17700" windowHeight="160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E37" i="7"/>
  <c r="F37" i="7"/>
  <c r="G37" i="7"/>
  <c r="H91" i="7"/>
  <c r="I91" i="7"/>
  <c r="B92" i="7"/>
  <c r="C92" i="7"/>
  <c r="D92" i="7"/>
  <c r="E38" i="7"/>
  <c r="G38" i="1"/>
  <c r="G38" i="7"/>
  <c r="F38" i="7"/>
  <c r="H92" i="7"/>
  <c r="I92" i="7"/>
  <c r="B93" i="7"/>
  <c r="C93" i="7"/>
  <c r="D93" i="7"/>
  <c r="E39" i="7"/>
  <c r="G39" i="1"/>
  <c r="G39" i="7"/>
  <c r="F39" i="7"/>
  <c r="H93" i="7"/>
  <c r="I93" i="7"/>
  <c r="B94" i="7"/>
  <c r="C94" i="7"/>
  <c r="D94" i="7"/>
  <c r="G40" i="1"/>
  <c r="G40" i="7"/>
  <c r="F40" i="7"/>
  <c r="E40" i="7"/>
  <c r="H94" i="7"/>
  <c r="I94" i="7"/>
  <c r="B95" i="7"/>
  <c r="C95" i="7"/>
  <c r="D95" i="7"/>
  <c r="G41" i="1"/>
  <c r="G41" i="7"/>
  <c r="E41" i="7"/>
  <c r="F41" i="7"/>
  <c r="H95" i="7"/>
  <c r="I95" i="7"/>
  <c r="B96" i="7"/>
  <c r="C96" i="7"/>
  <c r="D96" i="7"/>
  <c r="G42" i="1"/>
  <c r="G42" i="7"/>
  <c r="E42" i="7"/>
  <c r="F42" i="7"/>
  <c r="H96" i="7"/>
  <c r="I96" i="7"/>
  <c r="B97" i="7"/>
  <c r="C97" i="7"/>
  <c r="D97" i="7"/>
  <c r="G43" i="1"/>
  <c r="G43" i="7"/>
  <c r="E43" i="7"/>
  <c r="F43" i="7"/>
  <c r="H97" i="7"/>
  <c r="I97" i="7"/>
  <c r="B98" i="7"/>
  <c r="C98" i="7"/>
  <c r="D98" i="7"/>
  <c r="G44" i="1"/>
  <c r="G44" i="7"/>
  <c r="E44" i="7"/>
  <c r="F44" i="7"/>
  <c r="H98" i="7"/>
  <c r="I98" i="7"/>
  <c r="B99" i="7"/>
  <c r="C99" i="7"/>
  <c r="D99" i="7"/>
  <c r="G45" i="1"/>
  <c r="G45" i="7"/>
  <c r="E45" i="7"/>
  <c r="F45" i="7"/>
  <c r="H99" i="7"/>
  <c r="I99" i="7"/>
  <c r="B100" i="7"/>
  <c r="C100" i="7"/>
  <c r="D100" i="7"/>
  <c r="G46" i="1"/>
  <c r="G46" i="7"/>
  <c r="E46" i="7"/>
  <c r="F46" i="7"/>
  <c r="H100" i="7"/>
  <c r="I100" i="7"/>
  <c r="B101" i="7"/>
  <c r="C101" i="7"/>
  <c r="D101" i="7"/>
  <c r="E47" i="7"/>
  <c r="G47" i="1"/>
  <c r="G47" i="7"/>
  <c r="F47" i="7"/>
  <c r="H101" i="7"/>
  <c r="I101" i="7"/>
  <c r="B102" i="7"/>
  <c r="C102" i="7"/>
  <c r="D102" i="7"/>
  <c r="E48" i="7"/>
  <c r="G48" i="1"/>
  <c r="G48" i="7"/>
  <c r="F48" i="7"/>
  <c r="H102" i="7"/>
  <c r="I102" i="7"/>
  <c r="B103" i="7"/>
  <c r="C103" i="7"/>
  <c r="D103" i="7"/>
  <c r="G49" i="1"/>
  <c r="G49" i="7"/>
  <c r="F49" i="7"/>
  <c r="E49" i="7"/>
  <c r="H103" i="7"/>
  <c r="I103" i="7"/>
  <c r="B104" i="7"/>
  <c r="C104" i="7"/>
  <c r="D104" i="7"/>
  <c r="G50" i="1"/>
  <c r="G50" i="7"/>
  <c r="F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F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F70" i="7"/>
  <c r="H124" i="7"/>
  <c r="I124" i="7"/>
  <c r="I30" i="7"/>
  <c r="I32" i="7"/>
  <c r="B125" i="7"/>
  <c r="I128" i="7"/>
  <c r="F71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29" i="8"/>
  <c r="B83" i="8"/>
  <c r="G37" i="8"/>
  <c r="H83" i="8"/>
  <c r="I83" i="8"/>
  <c r="F70" i="8"/>
  <c r="H70" i="8"/>
  <c r="F71" i="8"/>
  <c r="H71" i="8"/>
  <c r="F72" i="8"/>
  <c r="H72" i="8"/>
  <c r="T26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8"/>
  <c r="F37" i="8"/>
  <c r="H91" i="8"/>
  <c r="I91" i="8"/>
  <c r="B92" i="8"/>
  <c r="C92" i="8"/>
  <c r="D92" i="8"/>
  <c r="E38" i="8"/>
  <c r="G38" i="8"/>
  <c r="F38" i="8"/>
  <c r="H92" i="8"/>
  <c r="I92" i="8"/>
  <c r="B93" i="8"/>
  <c r="C93" i="8"/>
  <c r="D93" i="8"/>
  <c r="E39" i="8"/>
  <c r="G39" i="8"/>
  <c r="F39" i="8"/>
  <c r="H93" i="8"/>
  <c r="I93" i="8"/>
  <c r="B94" i="8"/>
  <c r="C94" i="8"/>
  <c r="D94" i="8"/>
  <c r="G40" i="8"/>
  <c r="F40" i="8"/>
  <c r="E40" i="8"/>
  <c r="H94" i="8"/>
  <c r="I94" i="8"/>
  <c r="B95" i="8"/>
  <c r="C95" i="8"/>
  <c r="D95" i="8"/>
  <c r="G41" i="8"/>
  <c r="E41" i="8"/>
  <c r="F41" i="8"/>
  <c r="H95" i="8"/>
  <c r="I95" i="8"/>
  <c r="B96" i="8"/>
  <c r="C96" i="8"/>
  <c r="D96" i="8"/>
  <c r="G42" i="8"/>
  <c r="E42" i="8"/>
  <c r="F42" i="8"/>
  <c r="H96" i="8"/>
  <c r="I96" i="8"/>
  <c r="B97" i="8"/>
  <c r="C97" i="8"/>
  <c r="D97" i="8"/>
  <c r="G43" i="8"/>
  <c r="E43" i="8"/>
  <c r="F43" i="8"/>
  <c r="H97" i="8"/>
  <c r="I97" i="8"/>
  <c r="B98" i="8"/>
  <c r="C98" i="8"/>
  <c r="D98" i="8"/>
  <c r="G44" i="8"/>
  <c r="E44" i="8"/>
  <c r="F44" i="8"/>
  <c r="H98" i="8"/>
  <c r="I98" i="8"/>
  <c r="B99" i="8"/>
  <c r="C99" i="8"/>
  <c r="D99" i="8"/>
  <c r="G45" i="8"/>
  <c r="E45" i="8"/>
  <c r="F45" i="8"/>
  <c r="H99" i="8"/>
  <c r="I99" i="8"/>
  <c r="B100" i="8"/>
  <c r="C100" i="8"/>
  <c r="D100" i="8"/>
  <c r="G46" i="8"/>
  <c r="E46" i="8"/>
  <c r="F46" i="8"/>
  <c r="H100" i="8"/>
  <c r="I100" i="8"/>
  <c r="B101" i="8"/>
  <c r="C101" i="8"/>
  <c r="D101" i="8"/>
  <c r="E47" i="8"/>
  <c r="G47" i="8"/>
  <c r="F47" i="8"/>
  <c r="H101" i="8"/>
  <c r="I101" i="8"/>
  <c r="B102" i="8"/>
  <c r="C102" i="8"/>
  <c r="D102" i="8"/>
  <c r="E48" i="8"/>
  <c r="G48" i="8"/>
  <c r="F48" i="8"/>
  <c r="H102" i="8"/>
  <c r="I102" i="8"/>
  <c r="B103" i="8"/>
  <c r="C103" i="8"/>
  <c r="D103" i="8"/>
  <c r="G49" i="8"/>
  <c r="F49" i="8"/>
  <c r="E49" i="8"/>
  <c r="H103" i="8"/>
  <c r="I103" i="8"/>
  <c r="B104" i="8"/>
  <c r="C104" i="8"/>
  <c r="D104" i="8"/>
  <c r="G50" i="8"/>
  <c r="F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F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F40" i="12"/>
  <c r="E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F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E48" i="12"/>
  <c r="F48" i="12"/>
  <c r="H102" i="12"/>
  <c r="B102" i="12"/>
  <c r="C102" i="12"/>
  <c r="D102" i="12"/>
  <c r="I102" i="12"/>
  <c r="G49" i="12"/>
  <c r="F49" i="12"/>
  <c r="E49" i="12"/>
  <c r="H103" i="12"/>
  <c r="B103" i="12"/>
  <c r="C103" i="12"/>
  <c r="D103" i="12"/>
  <c r="I103" i="12"/>
  <c r="G50" i="12"/>
  <c r="F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F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<sst xmlns="http://schemas.openxmlformats.org/spreadsheetml/2006/main" count="790" uniqueCount="145">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</sst>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603944"/>
        <c:axId val="-2138600648"/>
      </c:barChart>
      <c:catAx>
        <c:axId val="-213860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60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0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60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831480"/>
        <c:axId val="2102834440"/>
      </c:barChart>
      <c:catAx>
        <c:axId val="210283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8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8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83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708664"/>
        <c:axId val="2102703992"/>
      </c:barChart>
      <c:catAx>
        <c:axId val="21027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70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70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70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548792"/>
        <c:axId val="2102544120"/>
      </c:barChart>
      <c:catAx>
        <c:axId val="210254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4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54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4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Non-Affected Area with</a:t>
            </a:r>
            <a:r>
              <a:rPr lang="en-US" sz="1300" b="0" i="0" baseline="0">
                <a:latin typeface="Helvetica Light"/>
                <a:cs typeface="Helvetica Light"/>
              </a:rPr>
              <a:t> Grants</a:t>
            </a:r>
            <a:endParaRPr lang="en-US" sz="1300" b="0" i="0">
              <a:latin typeface="Helvetica Light"/>
              <a:cs typeface="Helvetica Light"/>
            </a:endParaRPr>
          </a:p>
        </c:rich>
      </c:tx>
      <c:layout>
        <c:manualLayout>
          <c:xMode val="edge"/>
          <c:yMode val="edge"/>
          <c:x val="0.3098093373043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97112"/>
        <c:axId val="21024004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97112"/>
        <c:axId val="2102400488"/>
      </c:lineChart>
      <c:catAx>
        <c:axId val="210239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0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40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39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99672"/>
        <c:axId val="20891963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9672"/>
        <c:axId val="2089196312"/>
      </c:lineChart>
      <c:catAx>
        <c:axId val="20891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19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19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19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05384"/>
        <c:axId val="2089108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05384"/>
        <c:axId val="2089108728"/>
      </c:lineChart>
      <c:catAx>
        <c:axId val="208910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0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10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0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533656"/>
        <c:axId val="2086537000"/>
      </c:barChart>
      <c:catAx>
        <c:axId val="208653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53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53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53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468872"/>
        <c:axId val="2086472232"/>
      </c:barChart>
      <c:catAx>
        <c:axId val="20864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4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6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059656"/>
        <c:axId val="2089052920"/>
      </c:barChart>
      <c:catAx>
        <c:axId val="208905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05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05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05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965976"/>
        <c:axId val="2088969320"/>
      </c:barChart>
      <c:catAx>
        <c:axId val="208896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96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96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96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89896"/>
        <c:axId val="-2138792824"/>
      </c:barChart>
      <c:catAx>
        <c:axId val="-213878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8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36296"/>
        <c:axId val="21159396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36296"/>
        <c:axId val="21159396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36296"/>
        <c:axId val="2115939640"/>
      </c:scatterChart>
      <c:catAx>
        <c:axId val="2115936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939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939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936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359432"/>
        <c:axId val="2086353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59432"/>
        <c:axId val="2086353880"/>
      </c:lineChart>
      <c:catAx>
        <c:axId val="208635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353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353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35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55656"/>
        <c:axId val="20861589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62536"/>
        <c:axId val="2086165528"/>
      </c:scatterChart>
      <c:valAx>
        <c:axId val="2086155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158936"/>
        <c:crosses val="autoZero"/>
        <c:crossBetween val="midCat"/>
      </c:valAx>
      <c:valAx>
        <c:axId val="2086158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155656"/>
        <c:crosses val="autoZero"/>
        <c:crossBetween val="midCat"/>
      </c:valAx>
      <c:valAx>
        <c:axId val="2086162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6165528"/>
        <c:crosses val="autoZero"/>
        <c:crossBetween val="midCat"/>
      </c:valAx>
      <c:valAx>
        <c:axId val="20861655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1625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59880"/>
        <c:axId val="20860558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59880"/>
        <c:axId val="2086055880"/>
      </c:lineChart>
      <c:catAx>
        <c:axId val="208605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055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055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0598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861832"/>
        <c:axId val="-2138866488"/>
      </c:barChart>
      <c:catAx>
        <c:axId val="-213886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86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86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86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080872"/>
        <c:axId val="-2139081464"/>
      </c:barChart>
      <c:catAx>
        <c:axId val="-21390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08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08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08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33624"/>
        <c:axId val="2102630056"/>
      </c:barChart>
      <c:catAx>
        <c:axId val="2103133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630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263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13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348136"/>
        <c:axId val="2103351448"/>
      </c:barChart>
      <c:catAx>
        <c:axId val="2103348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351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35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34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248696"/>
        <c:axId val="2103252008"/>
      </c:barChart>
      <c:catAx>
        <c:axId val="210324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52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25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4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90136"/>
        <c:axId val="2103085528"/>
      </c:barChart>
      <c:catAx>
        <c:axId val="210309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85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08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09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09176"/>
        <c:axId val="2086612168"/>
      </c:barChart>
      <c:catAx>
        <c:axId val="208660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1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0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2.0250600426970293E-2</v>
      </c>
      <c r="AH7" s="123">
        <f t="shared" ref="AH7:AH30" si="10">SUM(Z7,AB7,AD7,AF7)</f>
        <v>1</v>
      </c>
      <c r="AI7" s="183">
        <f t="shared" ref="AI7:AI30" si="11">SUM(AA7,AC7,AE7,AG7)/4</f>
        <v>5.0626501067425732E-3</v>
      </c>
      <c r="AJ7" s="120">
        <f t="shared" ref="AJ7:AJ31" si="12">(AA7+AC7)/2</f>
        <v>0</v>
      </c>
      <c r="AK7" s="119">
        <f t="shared" ref="AK7:AK31" si="13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5.0101493776908028E-2</v>
      </c>
      <c r="AJ8" s="120">
        <f t="shared" si="12"/>
        <v>0.10020298755381606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7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1.2625201921366307E-2</v>
      </c>
      <c r="AJ9" s="120">
        <f t="shared" si="12"/>
        <v>2.5250403842732614E-2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2.5026948941469486E-2</v>
      </c>
      <c r="AJ10" s="120">
        <f t="shared" si="12"/>
        <v>5.0053897882938972E-2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7"/>
        <v>0.89854709576798808</v>
      </c>
      <c r="Z29" s="156">
        <f>Poor!Z29</f>
        <v>0.25</v>
      </c>
      <c r="AA29" s="121">
        <f t="shared" si="14"/>
        <v>0.22463677394199702</v>
      </c>
      <c r="AB29" s="156">
        <f>Poor!AB29</f>
        <v>0.25</v>
      </c>
      <c r="AC29" s="121">
        <f t="shared" si="22"/>
        <v>0.22463677394199702</v>
      </c>
      <c r="AD29" s="156">
        <f>Poor!AD29</f>
        <v>0.25</v>
      </c>
      <c r="AE29" s="121">
        <f t="shared" si="23"/>
        <v>0.22463677394199702</v>
      </c>
      <c r="AF29" s="122">
        <f t="shared" si="8"/>
        <v>0.25</v>
      </c>
      <c r="AG29" s="121">
        <f t="shared" si="9"/>
        <v>0.22463677394199702</v>
      </c>
      <c r="AH29" s="123">
        <f t="shared" si="10"/>
        <v>1</v>
      </c>
      <c r="AI29" s="183">
        <f t="shared" si="11"/>
        <v>0.22463677394199702</v>
      </c>
      <c r="AJ29" s="120">
        <f t="shared" si="12"/>
        <v>0.22463677394199702</v>
      </c>
      <c r="AK29" s="119">
        <f t="shared" si="13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0"/>
        <v>1</v>
      </c>
      <c r="AI30" s="183">
        <f t="shared" si="11"/>
        <v>0.5634993122638976</v>
      </c>
      <c r="AJ30" s="120">
        <f t="shared" si="12"/>
        <v>0.48080831773089627</v>
      </c>
      <c r="AK30" s="119">
        <f t="shared" si="13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1062</v>
      </c>
      <c r="K38" s="40">
        <f t="shared" ref="K38:K64" si="30">(B38/B$65)</f>
        <v>4.040222661159993E-2</v>
      </c>
      <c r="L38" s="22">
        <f t="shared" ref="L38:L64" si="31">(K38*H38)</f>
        <v>3.8139701921350334E-2</v>
      </c>
      <c r="M38" s="24">
        <f t="shared" ref="M38:M64" si="32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1062</v>
      </c>
      <c r="AH38" s="123">
        <f t="shared" ref="AH38:AI58" si="34">SUM(Z38,AB38,AD38,AF38)</f>
        <v>1</v>
      </c>
      <c r="AI38" s="112">
        <f t="shared" si="34"/>
        <v>1062</v>
      </c>
      <c r="AJ38" s="148">
        <f t="shared" ref="AJ38:AJ64" si="35">(AA38+AC38)</f>
        <v>0</v>
      </c>
      <c r="AK38" s="147">
        <f t="shared" ref="AK38:AK64" si="36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843.6</v>
      </c>
      <c r="J44" s="38">
        <f t="shared" si="29"/>
        <v>843.60000000000014</v>
      </c>
      <c r="K44" s="40">
        <f t="shared" si="30"/>
        <v>2.7293948644280839E-2</v>
      </c>
      <c r="L44" s="22">
        <f t="shared" si="31"/>
        <v>3.0296282995151733E-2</v>
      </c>
      <c r="M44" s="24">
        <f t="shared" si="32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210.90000000000003</v>
      </c>
      <c r="AB44" s="156">
        <f>Poor!AB44</f>
        <v>0.25</v>
      </c>
      <c r="AC44" s="147">
        <f t="shared" si="38"/>
        <v>210.90000000000003</v>
      </c>
      <c r="AD44" s="156">
        <f>Poor!AD44</f>
        <v>0.25</v>
      </c>
      <c r="AE44" s="147">
        <f t="shared" si="39"/>
        <v>210.90000000000003</v>
      </c>
      <c r="AF44" s="122">
        <f t="shared" si="26"/>
        <v>0.25</v>
      </c>
      <c r="AG44" s="147">
        <f t="shared" si="33"/>
        <v>210.90000000000003</v>
      </c>
      <c r="AH44" s="123">
        <f t="shared" si="34"/>
        <v>1</v>
      </c>
      <c r="AI44" s="112">
        <f t="shared" si="34"/>
        <v>843.60000000000014</v>
      </c>
      <c r="AJ44" s="148">
        <f t="shared" si="35"/>
        <v>421.80000000000007</v>
      </c>
      <c r="AK44" s="147">
        <f t="shared" si="36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1043.4000000000001</v>
      </c>
      <c r="J45" s="38">
        <f t="shared" si="29"/>
        <v>1043.4000000000001</v>
      </c>
      <c r="K45" s="40">
        <f t="shared" si="30"/>
        <v>3.3758304902136826E-2</v>
      </c>
      <c r="L45" s="22">
        <f t="shared" si="31"/>
        <v>3.7471718441371878E-2</v>
      </c>
      <c r="M45" s="24">
        <f t="shared" si="32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260.85000000000002</v>
      </c>
      <c r="AB45" s="156">
        <f>Poor!AB45</f>
        <v>0.25</v>
      </c>
      <c r="AC45" s="147">
        <f t="shared" si="38"/>
        <v>260.85000000000002</v>
      </c>
      <c r="AD45" s="156">
        <f>Poor!AD45</f>
        <v>0.25</v>
      </c>
      <c r="AE45" s="147">
        <f t="shared" si="39"/>
        <v>260.85000000000002</v>
      </c>
      <c r="AF45" s="122">
        <f t="shared" si="26"/>
        <v>0.25</v>
      </c>
      <c r="AG45" s="147">
        <f t="shared" si="33"/>
        <v>260.85000000000002</v>
      </c>
      <c r="AH45" s="123">
        <f t="shared" si="34"/>
        <v>1</v>
      </c>
      <c r="AI45" s="112">
        <f t="shared" si="34"/>
        <v>1043.4000000000001</v>
      </c>
      <c r="AJ45" s="148">
        <f t="shared" si="35"/>
        <v>521.70000000000005</v>
      </c>
      <c r="AK45" s="147">
        <f t="shared" si="36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5328.0000000000009</v>
      </c>
      <c r="J46" s="38">
        <f t="shared" si="29"/>
        <v>5328.0000000000009</v>
      </c>
      <c r="K46" s="40">
        <f t="shared" si="30"/>
        <v>0.17238283354282635</v>
      </c>
      <c r="L46" s="22">
        <f t="shared" si="31"/>
        <v>0.19134494523253726</v>
      </c>
      <c r="M46" s="24">
        <f t="shared" si="32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1332.0000000000002</v>
      </c>
      <c r="AB46" s="156">
        <f>Poor!AB46</f>
        <v>0.25</v>
      </c>
      <c r="AC46" s="147">
        <f t="shared" si="38"/>
        <v>1332.0000000000002</v>
      </c>
      <c r="AD46" s="156">
        <f>Poor!AD46</f>
        <v>0.25</v>
      </c>
      <c r="AE46" s="147">
        <f t="shared" si="39"/>
        <v>1332.0000000000002</v>
      </c>
      <c r="AF46" s="122">
        <f t="shared" si="26"/>
        <v>0.25</v>
      </c>
      <c r="AG46" s="147">
        <f t="shared" si="33"/>
        <v>1332.0000000000002</v>
      </c>
      <c r="AH46" s="123">
        <f t="shared" si="34"/>
        <v>1</v>
      </c>
      <c r="AI46" s="112">
        <f t="shared" si="34"/>
        <v>5328.0000000000009</v>
      </c>
      <c r="AJ46" s="148">
        <f t="shared" si="35"/>
        <v>2664.0000000000005</v>
      </c>
      <c r="AK46" s="147">
        <f t="shared" si="36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23859.599999999999</v>
      </c>
      <c r="J49" s="38">
        <f t="shared" si="29"/>
        <v>23859.600000000002</v>
      </c>
      <c r="K49" s="40">
        <f t="shared" si="30"/>
        <v>0.72616268629915603</v>
      </c>
      <c r="L49" s="22">
        <f t="shared" si="31"/>
        <v>0.85687196983300407</v>
      </c>
      <c r="M49" s="24">
        <f t="shared" si="32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5964.9000000000005</v>
      </c>
      <c r="AB49" s="156">
        <f>Poor!AB49</f>
        <v>0.25</v>
      </c>
      <c r="AC49" s="147">
        <f t="shared" si="38"/>
        <v>5964.9000000000005</v>
      </c>
      <c r="AD49" s="156">
        <f>Poor!AD49</f>
        <v>0.25</v>
      </c>
      <c r="AE49" s="147">
        <f t="shared" si="39"/>
        <v>5964.9000000000005</v>
      </c>
      <c r="AF49" s="122">
        <f t="shared" si="26"/>
        <v>0.25</v>
      </c>
      <c r="AG49" s="147">
        <f t="shared" si="33"/>
        <v>5964.9000000000005</v>
      </c>
      <c r="AH49" s="123">
        <f t="shared" si="34"/>
        <v>1</v>
      </c>
      <c r="AI49" s="112">
        <f t="shared" si="34"/>
        <v>23859.600000000002</v>
      </c>
      <c r="AJ49" s="148">
        <f t="shared" si="35"/>
        <v>11929.800000000001</v>
      </c>
      <c r="AK49" s="147">
        <f t="shared" si="36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0.46934309447911304</v>
      </c>
      <c r="L70" s="22">
        <f t="shared" ref="L70:L75" si="43">(L124*G$37*F$9/F$7)/B$130</f>
        <v>0.65708033227075802</v>
      </c>
      <c r="M70" s="24">
        <f t="shared" ref="M70:M75" si="44"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13840.198147920741</v>
      </c>
      <c r="J71" s="51">
        <f t="shared" si="41"/>
        <v>13840.198147920741</v>
      </c>
      <c r="K71" s="40">
        <f t="shared" si="42"/>
        <v>0.48954330520141259</v>
      </c>
      <c r="L71" s="22">
        <f t="shared" si="43"/>
        <v>0.49704428615265711</v>
      </c>
      <c r="M71" s="24">
        <f t="shared" si="44"/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0.87182618064284434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0.14627401687915245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1"/>
        <v>9576.3301247653417</v>
      </c>
      <c r="K74" s="40">
        <f t="shared" si="42"/>
        <v>0.2550027973234395</v>
      </c>
      <c r="L74" s="22">
        <f t="shared" si="43"/>
        <v>0.2388505304348118</v>
      </c>
      <c r="M74" s="24">
        <f t="shared" si="44"/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1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1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0.1092271866949126</v>
      </c>
      <c r="C92" s="75">
        <f t="shared" si="47"/>
        <v>0</v>
      </c>
      <c r="D92" s="24">
        <f t="shared" si="48"/>
        <v>0.1092271866949126</v>
      </c>
      <c r="H92" s="24">
        <f t="shared" si="49"/>
        <v>0.57212121212121214</v>
      </c>
      <c r="I92" s="22">
        <f t="shared" si="50"/>
        <v>6.2491190448483336E-2</v>
      </c>
      <c r="J92" s="24">
        <f t="shared" si="51"/>
        <v>6.2491190448483336E-2</v>
      </c>
      <c r="K92" s="22">
        <f t="shared" si="52"/>
        <v>0.1092271866949126</v>
      </c>
      <c r="L92" s="22">
        <f t="shared" si="53"/>
        <v>6.2491190448483336E-2</v>
      </c>
      <c r="M92" s="226">
        <f t="shared" si="45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7.3789032789452078E-2</v>
      </c>
      <c r="C98" s="75">
        <f t="shared" si="47"/>
        <v>0</v>
      </c>
      <c r="D98" s="24">
        <f t="shared" si="48"/>
        <v>7.3789032789452078E-2</v>
      </c>
      <c r="H98" s="24">
        <f t="shared" si="49"/>
        <v>0.67272727272727284</v>
      </c>
      <c r="I98" s="22">
        <f t="shared" si="50"/>
        <v>4.9639894785631404E-2</v>
      </c>
      <c r="J98" s="24">
        <f t="shared" si="51"/>
        <v>4.9639894785631404E-2</v>
      </c>
      <c r="K98" s="22">
        <f t="shared" si="52"/>
        <v>7.3789032789452078E-2</v>
      </c>
      <c r="L98" s="22">
        <f t="shared" si="53"/>
        <v>4.9639894785631404E-2</v>
      </c>
      <c r="M98" s="227">
        <f t="shared" si="45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7"/>
        <v>9.1265382660638092E-2</v>
      </c>
      <c r="C99" s="75">
        <f t="shared" si="47"/>
        <v>0</v>
      </c>
      <c r="D99" s="24">
        <f t="shared" si="48"/>
        <v>9.1265382660638092E-2</v>
      </c>
      <c r="H99" s="24">
        <f t="shared" si="49"/>
        <v>0.67272727272727284</v>
      </c>
      <c r="I99" s="22">
        <f t="shared" si="50"/>
        <v>6.1396711971701996E-2</v>
      </c>
      <c r="J99" s="24">
        <f t="shared" si="51"/>
        <v>6.1396711971701996E-2</v>
      </c>
      <c r="K99" s="22">
        <f t="shared" si="52"/>
        <v>9.1265382660638092E-2</v>
      </c>
      <c r="L99" s="22">
        <f t="shared" si="53"/>
        <v>6.1396711971701996E-2</v>
      </c>
      <c r="M99" s="227">
        <f t="shared" si="45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7"/>
        <v>0.46603599656496048</v>
      </c>
      <c r="C100" s="75">
        <f t="shared" si="47"/>
        <v>0</v>
      </c>
      <c r="D100" s="24">
        <f t="shared" si="48"/>
        <v>0.46603599656496048</v>
      </c>
      <c r="H100" s="24">
        <f t="shared" si="49"/>
        <v>0.67272727272727284</v>
      </c>
      <c r="I100" s="22">
        <f t="shared" si="50"/>
        <v>0.31351512496188255</v>
      </c>
      <c r="J100" s="24">
        <f>IF(I$32&lt;=1+I131,I100,L100+J$33*(I100-L100))</f>
        <v>0.31351512496188255</v>
      </c>
      <c r="K100" s="22">
        <f t="shared" si="52"/>
        <v>0.46603599656496048</v>
      </c>
      <c r="L100" s="22">
        <f t="shared" si="53"/>
        <v>0.31351512496188255</v>
      </c>
      <c r="M100" s="227">
        <f t="shared" si="45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0.57212121212121214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7"/>
        <v>1.9631766355298961</v>
      </c>
      <c r="C103" s="75">
        <f t="shared" si="47"/>
        <v>0</v>
      </c>
      <c r="D103" s="24">
        <f t="shared" si="48"/>
        <v>1.9631766355298961</v>
      </c>
      <c r="H103" s="24">
        <f t="shared" si="49"/>
        <v>0.7151515151515152</v>
      </c>
      <c r="I103" s="22">
        <f t="shared" si="50"/>
        <v>1.4039687454092591</v>
      </c>
      <c r="J103" s="24">
        <f>IF(I$32&lt;=1+I131,I103,L103+J$33*(I103-L103))</f>
        <v>1.4039687454092591</v>
      </c>
      <c r="K103" s="22">
        <f t="shared" si="52"/>
        <v>1.9631766355298961</v>
      </c>
      <c r="L103" s="22">
        <f t="shared" si="53"/>
        <v>1.4039687454092591</v>
      </c>
      <c r="M103" s="227">
        <f t="shared" si="45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0.7151515151515152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0.67272727272727284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5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63">(B124)</f>
        <v>1.2688663498045756</v>
      </c>
      <c r="L124" s="29">
        <f>IF(SUMPRODUCT($B$124:$B124,$H$124:$H124)&lt;L$119,($B124*$H124),L$119)</f>
        <v>1.076613872561458</v>
      </c>
      <c r="M124" s="239">
        <f t="shared" si="62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 t="shared" si="63"/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2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 t="shared" si="63"/>
        <v>0.68939859227895406</v>
      </c>
      <c r="L128" s="29">
        <f>IF(L124=L119,0,(L119-L124)/(B119-B124)*K128)</f>
        <v>0.39135214053069445</v>
      </c>
      <c r="M128" s="239">
        <f t="shared" si="62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 t="shared" si="63"/>
        <v>2.7034942342398596</v>
      </c>
      <c r="L130" s="29">
        <f>(L119)</f>
        <v>1.8910116675769584</v>
      </c>
      <c r="M130" s="239">
        <f t="shared" si="62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P18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>$M6*AB6*4</f>
        <v>7.9786737235367361E-3</v>
      </c>
      <c r="AD6" s="116">
        <v>0.33</v>
      </c>
      <c r="AE6" s="121">
        <f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7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4.9988723536737237E-2</v>
      </c>
      <c r="AH7" s="123">
        <f t="shared" ref="AH7:AH30" si="10">SUM(Z7,AB7,AD7,AF7)</f>
        <v>1</v>
      </c>
      <c r="AI7" s="183">
        <f t="shared" ref="AI7:AI30" si="11">SUM(AA7,AC7,AE7,AG7)/4</f>
        <v>1.2497180884184309E-2</v>
      </c>
      <c r="AJ7" s="120">
        <f t="shared" ref="AJ7:AJ31" si="12">(AA7+AC7)/2</f>
        <v>0</v>
      </c>
      <c r="AK7" s="119">
        <f t="shared" ref="AK7:AK31" si="13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7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0.21016839852739727</v>
      </c>
      <c r="AJ8" s="120">
        <f t="shared" si="12"/>
        <v>0.42033679705479454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7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2.761762920298879E-2</v>
      </c>
      <c r="AJ9" s="120">
        <f t="shared" si="12"/>
        <v>5.523525840597758E-2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1.3663543040216646E-2</v>
      </c>
      <c r="AJ10" s="120">
        <f t="shared" si="12"/>
        <v>2.7327086080433292E-2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14"/>
        <v>9.7342070821537525E-3</v>
      </c>
      <c r="AD27" s="116">
        <v>0.25</v>
      </c>
      <c r="AE27" s="121">
        <f t="shared" si="15"/>
        <v>9.7342070821537525E-3</v>
      </c>
      <c r="AF27" s="122">
        <f t="shared" si="8"/>
        <v>0.25</v>
      </c>
      <c r="AG27" s="121">
        <f t="shared" si="9"/>
        <v>9.7342070821537525E-3</v>
      </c>
      <c r="AH27" s="123">
        <f t="shared" si="10"/>
        <v>1</v>
      </c>
      <c r="AI27" s="183">
        <f t="shared" si="11"/>
        <v>9.7342070821537525E-3</v>
      </c>
      <c r="AJ27" s="120">
        <f t="shared" si="12"/>
        <v>9.7342070821537525E-3</v>
      </c>
      <c r="AK27" s="119">
        <f t="shared" si="13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7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14"/>
        <v>0.20192986581609679</v>
      </c>
      <c r="AD29" s="116">
        <v>0.25</v>
      </c>
      <c r="AE29" s="121">
        <f t="shared" si="15"/>
        <v>0.20192986581609679</v>
      </c>
      <c r="AF29" s="122">
        <f t="shared" si="8"/>
        <v>0.25</v>
      </c>
      <c r="AG29" s="121">
        <f t="shared" si="9"/>
        <v>0.20192986581609679</v>
      </c>
      <c r="AH29" s="123">
        <f t="shared" si="10"/>
        <v>1</v>
      </c>
      <c r="AI29" s="183">
        <f t="shared" si="11"/>
        <v>0.20192986581609679</v>
      </c>
      <c r="AJ29" s="120">
        <f t="shared" si="12"/>
        <v>0.20192986581609679</v>
      </c>
      <c r="AK29" s="119">
        <f t="shared" si="13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0</v>
      </c>
      <c r="T30" s="233">
        <f t="shared" si="32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0"/>
        <v>1.0000000000000002</v>
      </c>
      <c r="AI30" s="183">
        <f t="shared" si="11"/>
        <v>0.39360821268825996</v>
      </c>
      <c r="AJ30" s="120">
        <f t="shared" si="12"/>
        <v>0.15841049278938824</v>
      </c>
      <c r="AK30" s="119">
        <f t="shared" si="13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32"/>
        <v>0</v>
      </c>
      <c r="S31" s="233">
        <f t="shared" si="32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32"/>
        <v>417.28373872459633</v>
      </c>
      <c r="S32" s="233">
        <f t="shared" si="32"/>
        <v>18890.221883721082</v>
      </c>
      <c r="T32" s="233">
        <f t="shared" si="32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6372</v>
      </c>
      <c r="J37" s="38">
        <f t="shared" ref="J37:J49" si="35">J91*I$83</f>
        <v>6371.9999999999991</v>
      </c>
      <c r="K37" s="40">
        <f t="shared" ref="K37:K49" si="36">(B37/B$65)</f>
        <v>0.12662739654072713</v>
      </c>
      <c r="L37" s="22">
        <f t="shared" ref="L37:L49" si="37">(K37*H37)</f>
        <v>0.11953626233444641</v>
      </c>
      <c r="M37" s="24">
        <f t="shared" ref="M37:M49" si="38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40">SUM(B38,C38)</f>
        <v>500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472</v>
      </c>
      <c r="J38" s="38">
        <f t="shared" si="35"/>
        <v>2362.4862069534997</v>
      </c>
      <c r="K38" s="40">
        <f t="shared" si="36"/>
        <v>5.6278842906989833E-2</v>
      </c>
      <c r="L38" s="22">
        <f t="shared" si="37"/>
        <v>5.31272277041984E-2</v>
      </c>
      <c r="M38" s="24">
        <f t="shared" si="38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2362.4862069534997</v>
      </c>
      <c r="AH38" s="123">
        <f t="shared" ref="AH38:AI58" si="43">SUM(Z38,AB38,AD38,AF38)</f>
        <v>1</v>
      </c>
      <c r="AI38" s="112">
        <f t="shared" si="43"/>
        <v>2362.4862069534997</v>
      </c>
      <c r="AJ38" s="148">
        <f t="shared" ref="AJ38:AJ64" si="44">(AA38+AC38)</f>
        <v>0</v>
      </c>
      <c r="AK38" s="147">
        <f t="shared" ref="AK38:AK64" si="45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46">$J39*Z39</f>
        <v>0</v>
      </c>
      <c r="AB39" s="122">
        <f>AB8</f>
        <v>0.34250272101885387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46"/>
        <v>0</v>
      </c>
      <c r="AB40" s="122">
        <f>AB9</f>
        <v>0.34250272101885393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E8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40"/>
        <v>1500</v>
      </c>
      <c r="E42" s="75">
        <f>E9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2100</v>
      </c>
      <c r="J42" s="38">
        <f t="shared" si="35"/>
        <v>2099.9999999999995</v>
      </c>
      <c r="K42" s="40">
        <f t="shared" si="36"/>
        <v>2.8139421453494916E-2</v>
      </c>
      <c r="L42" s="22">
        <f t="shared" si="37"/>
        <v>3.9395190034892884E-2</v>
      </c>
      <c r="M42" s="24">
        <f t="shared" si="38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524.99999999999989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1049.9999999999998</v>
      </c>
      <c r="AF42" s="122">
        <f t="shared" si="39"/>
        <v>0.25</v>
      </c>
      <c r="AG42" s="147">
        <f t="shared" si="42"/>
        <v>524.99999999999989</v>
      </c>
      <c r="AH42" s="123">
        <f t="shared" si="43"/>
        <v>1</v>
      </c>
      <c r="AI42" s="112">
        <f t="shared" si="43"/>
        <v>2099.9999999999995</v>
      </c>
      <c r="AJ42" s="148">
        <f t="shared" si="44"/>
        <v>524.99999999999989</v>
      </c>
      <c r="AK42" s="147">
        <f t="shared" si="45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40"/>
        <v>0</v>
      </c>
      <c r="E43" s="75">
        <f>E10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179.43597896507794</v>
      </c>
      <c r="K43" s="40">
        <f t="shared" si="36"/>
        <v>3.0015382883727911E-3</v>
      </c>
      <c r="L43" s="22">
        <f t="shared" si="37"/>
        <v>4.2021536037219077E-3</v>
      </c>
      <c r="M43" s="24">
        <f t="shared" si="38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44.858994741269484</v>
      </c>
      <c r="AB43" s="116">
        <v>0.25</v>
      </c>
      <c r="AC43" s="147">
        <f t="shared" si="47"/>
        <v>44.858994741269484</v>
      </c>
      <c r="AD43" s="116">
        <v>0.25</v>
      </c>
      <c r="AE43" s="147">
        <f t="shared" si="48"/>
        <v>44.858994741269484</v>
      </c>
      <c r="AF43" s="122">
        <f t="shared" si="39"/>
        <v>0.25</v>
      </c>
      <c r="AG43" s="147">
        <f t="shared" si="42"/>
        <v>44.858994741269484</v>
      </c>
      <c r="AH43" s="123">
        <f t="shared" si="43"/>
        <v>1</v>
      </c>
      <c r="AI43" s="112">
        <f t="shared" si="43"/>
        <v>179.43597896507794</v>
      </c>
      <c r="AJ43" s="148">
        <f t="shared" si="44"/>
        <v>89.717989482538968</v>
      </c>
      <c r="AK43" s="147">
        <f t="shared" si="45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40"/>
        <v>2760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3063.6000000000004</v>
      </c>
      <c r="J44" s="38">
        <f t="shared" si="35"/>
        <v>3063.6000000000004</v>
      </c>
      <c r="K44" s="40">
        <f t="shared" si="36"/>
        <v>5.1776535474430646E-2</v>
      </c>
      <c r="L44" s="22">
        <f t="shared" si="37"/>
        <v>5.747195437661802E-2</v>
      </c>
      <c r="M44" s="24">
        <f t="shared" si="38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765.90000000000009</v>
      </c>
      <c r="AB44" s="116">
        <v>0.25</v>
      </c>
      <c r="AC44" s="147">
        <f t="shared" si="47"/>
        <v>765.90000000000009</v>
      </c>
      <c r="AD44" s="116">
        <v>0.25</v>
      </c>
      <c r="AE44" s="147">
        <f t="shared" si="48"/>
        <v>765.90000000000009</v>
      </c>
      <c r="AF44" s="122">
        <f t="shared" si="39"/>
        <v>0.25</v>
      </c>
      <c r="AG44" s="147">
        <f t="shared" si="42"/>
        <v>765.90000000000009</v>
      </c>
      <c r="AH44" s="123">
        <f t="shared" si="43"/>
        <v>1</v>
      </c>
      <c r="AI44" s="112">
        <f t="shared" si="43"/>
        <v>3063.6000000000004</v>
      </c>
      <c r="AJ44" s="148">
        <f t="shared" si="44"/>
        <v>1531.8000000000002</v>
      </c>
      <c r="AK44" s="147">
        <f t="shared" si="45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1.1100000000000001</v>
      </c>
      <c r="G45" s="22">
        <f t="shared" si="41"/>
        <v>1.65</v>
      </c>
      <c r="H45" s="24">
        <f t="shared" si="33"/>
        <v>1.1100000000000001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40"/>
        <v>2200</v>
      </c>
      <c r="E46" s="26">
        <v>1</v>
      </c>
      <c r="F46" s="26">
        <v>1.1100000000000001</v>
      </c>
      <c r="G46" s="22">
        <f t="shared" si="41"/>
        <v>1.65</v>
      </c>
      <c r="H46" s="24">
        <f t="shared" si="33"/>
        <v>1.1100000000000001</v>
      </c>
      <c r="I46" s="39">
        <f t="shared" si="34"/>
        <v>2442</v>
      </c>
      <c r="J46" s="38">
        <f t="shared" si="35"/>
        <v>2442</v>
      </c>
      <c r="K46" s="40">
        <f t="shared" si="36"/>
        <v>4.1271151465125874E-2</v>
      </c>
      <c r="L46" s="22">
        <f t="shared" si="37"/>
        <v>4.5810978126289724E-2</v>
      </c>
      <c r="M46" s="24">
        <f t="shared" si="38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610.5</v>
      </c>
      <c r="AB46" s="116">
        <v>0.25</v>
      </c>
      <c r="AC46" s="147">
        <f t="shared" si="47"/>
        <v>610.5</v>
      </c>
      <c r="AD46" s="116">
        <v>0.25</v>
      </c>
      <c r="AE46" s="147">
        <f t="shared" si="48"/>
        <v>610.5</v>
      </c>
      <c r="AF46" s="122">
        <f t="shared" si="39"/>
        <v>0.25</v>
      </c>
      <c r="AG46" s="147">
        <f t="shared" si="42"/>
        <v>610.5</v>
      </c>
      <c r="AH46" s="123">
        <f t="shared" si="43"/>
        <v>1</v>
      </c>
      <c r="AI46" s="112">
        <f t="shared" si="43"/>
        <v>2442</v>
      </c>
      <c r="AJ46" s="148">
        <f t="shared" si="44"/>
        <v>1221</v>
      </c>
      <c r="AK46" s="147">
        <f t="shared" si="45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41"/>
        <v>1.65</v>
      </c>
      <c r="H48" s="24">
        <f t="shared" si="33"/>
        <v>0.94399999999999995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49">SUM(B49,C49)</f>
        <v>22020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25983.599999999999</v>
      </c>
      <c r="J49" s="38">
        <f t="shared" si="35"/>
        <v>25983.599999999999</v>
      </c>
      <c r="K49" s="40">
        <f t="shared" si="36"/>
        <v>0.41308670693730537</v>
      </c>
      <c r="L49" s="22">
        <f t="shared" si="37"/>
        <v>0.4874423141860203</v>
      </c>
      <c r="M49" s="24">
        <f t="shared" si="38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6495.9</v>
      </c>
      <c r="AB49" s="116">
        <v>0.25</v>
      </c>
      <c r="AC49" s="147">
        <f t="shared" si="47"/>
        <v>6495.9</v>
      </c>
      <c r="AD49" s="116">
        <v>0.25</v>
      </c>
      <c r="AE49" s="147">
        <f t="shared" si="48"/>
        <v>6495.9</v>
      </c>
      <c r="AF49" s="122">
        <f t="shared" si="39"/>
        <v>0.25</v>
      </c>
      <c r="AG49" s="147">
        <f t="shared" si="42"/>
        <v>6495.9</v>
      </c>
      <c r="AH49" s="123">
        <f t="shared" si="43"/>
        <v>1</v>
      </c>
      <c r="AI49" s="112">
        <f t="shared" si="43"/>
        <v>25983.599999999999</v>
      </c>
      <c r="AJ49" s="148">
        <f t="shared" si="44"/>
        <v>12991.8</v>
      </c>
      <c r="AK49" s="147">
        <f t="shared" si="45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49"/>
        <v>14916</v>
      </c>
      <c r="E50" s="26">
        <v>1</v>
      </c>
      <c r="F50" s="26">
        <v>1.18</v>
      </c>
      <c r="G50" s="22">
        <f t="shared" si="41"/>
        <v>1.65</v>
      </c>
      <c r="H50" s="24">
        <f t="shared" ref="H50:H64" si="50">(E50*F50)</f>
        <v>1.18</v>
      </c>
      <c r="I50" s="39">
        <f t="shared" ref="I50:I64" si="51">D50*H50</f>
        <v>17600.879999999997</v>
      </c>
      <c r="J50" s="38">
        <f t="shared" ref="J50:J64" si="52">J104*I$83</f>
        <v>17600.879999999997</v>
      </c>
      <c r="K50" s="40">
        <f t="shared" ref="K50:K64" si="53">(B50/B$65)</f>
        <v>0.27981840693355342</v>
      </c>
      <c r="L50" s="22">
        <f t="shared" ref="L50:L64" si="54">(K50*H50)</f>
        <v>0.33018572018159303</v>
      </c>
      <c r="M50" s="24">
        <f t="shared" ref="M50:M64" si="55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1.1100000000000001</v>
      </c>
      <c r="G52" s="22">
        <f t="shared" si="41"/>
        <v>1.65</v>
      </c>
      <c r="H52" s="24">
        <f t="shared" si="50"/>
        <v>1.1100000000000001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57">J124*I$83</f>
        <v>20910.17354523344</v>
      </c>
      <c r="K70" s="40">
        <f t="shared" ref="K70:K75" si="58">B70/B$76</f>
        <v>0.2801905647881161</v>
      </c>
      <c r="L70" s="22">
        <f t="shared" ref="L70:L75" si="59">(L124*G$37*F$9/F$7)/B$130</f>
        <v>0.39226679070336246</v>
      </c>
      <c r="M70" s="24">
        <f t="shared" ref="M70:M75" si="60"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57"/>
        <v>18382.826666666671</v>
      </c>
      <c r="K71" s="40">
        <f t="shared" si="58"/>
        <v>0.29224977801123075</v>
      </c>
      <c r="L71" s="22">
        <f t="shared" si="59"/>
        <v>0.34485473805325234</v>
      </c>
      <c r="M71" s="24">
        <f t="shared" si="60"/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13166.277857136129</v>
      </c>
      <c r="K72" s="40">
        <f t="shared" si="58"/>
        <v>0.52046673920384201</v>
      </c>
      <c r="L72" s="22">
        <f t="shared" si="59"/>
        <v>0.2653195192458877</v>
      </c>
      <c r="M72" s="24">
        <f t="shared" si="60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8.7344764191648216E-2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57"/>
        <v>7644.7241168823402</v>
      </c>
      <c r="K74" s="40">
        <f t="shared" si="58"/>
        <v>0.1301917232581698</v>
      </c>
      <c r="L74" s="22">
        <f t="shared" si="59"/>
        <v>0.13473075254527811</v>
      </c>
      <c r="M74" s="24">
        <f t="shared" si="60"/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57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57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0.57344273014829117</v>
      </c>
      <c r="C91" s="60">
        <f t="shared" si="61"/>
        <v>0</v>
      </c>
      <c r="D91" s="24">
        <f>SUM(B91,C91)</f>
        <v>0.57344273014829117</v>
      </c>
      <c r="H91" s="24">
        <f>(E37*F37/G37*F$7/F$9)</f>
        <v>0.57212121212121214</v>
      </c>
      <c r="I91" s="22">
        <f>(D91*H91)</f>
        <v>0.3280787498545375</v>
      </c>
      <c r="J91" s="24">
        <f>IF(I$32&lt;=1+I$131,I91,L91+J$33*(I91-L91))</f>
        <v>0.3280787498545375</v>
      </c>
      <c r="K91" s="22">
        <f>IF(B91="",0,B91)</f>
        <v>0.57344273014829117</v>
      </c>
      <c r="L91" s="22">
        <f>(K91*H91)</f>
        <v>0.3280787498545375</v>
      </c>
      <c r="M91" s="226">
        <f>(J91)</f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0.25486343562146274</v>
      </c>
      <c r="C92" s="60">
        <f t="shared" si="61"/>
        <v>-0.21238619635121897</v>
      </c>
      <c r="D92" s="24">
        <f t="shared" ref="D92:D118" si="63">SUM(B92,C92)</f>
        <v>4.2477239270243772E-2</v>
      </c>
      <c r="H92" s="24">
        <f t="shared" ref="H92:H118" si="64">(E38*F38/G38*F$7/F$9)</f>
        <v>0.57212121212121214</v>
      </c>
      <c r="I92" s="22">
        <f t="shared" ref="I92:I118" si="65">(D92*H92)</f>
        <v>2.4302129618854619E-2</v>
      </c>
      <c r="J92" s="24">
        <f t="shared" ref="J92:J118" si="66">IF(I$32&lt;=1+I$131,I92,L92+J$33*(I92-L92))</f>
        <v>0.12163865683080546</v>
      </c>
      <c r="K92" s="22">
        <f t="shared" ref="K92:K118" si="67">IF(B92="",0,B92)</f>
        <v>0.25486343562146274</v>
      </c>
      <c r="L92" s="22">
        <f t="shared" ref="L92:L118" si="68">(K92*H92)</f>
        <v>0.14581277771312778</v>
      </c>
      <c r="M92" s="226">
        <f t="shared" ref="M92:M118" si="69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0.12743171781073137</v>
      </c>
      <c r="C96" s="60">
        <f t="shared" si="61"/>
        <v>0</v>
      </c>
      <c r="D96" s="24">
        <f t="shared" si="63"/>
        <v>0.12743171781073137</v>
      </c>
      <c r="H96" s="24">
        <f t="shared" si="64"/>
        <v>0.84848484848484851</v>
      </c>
      <c r="I96" s="22">
        <f t="shared" si="65"/>
        <v>0.10812388177880237</v>
      </c>
      <c r="J96" s="24">
        <f t="shared" si="66"/>
        <v>0.10812388177880237</v>
      </c>
      <c r="K96" s="22">
        <f t="shared" si="67"/>
        <v>0.12743171781073137</v>
      </c>
      <c r="L96" s="22">
        <f t="shared" si="68"/>
        <v>0.10812388177880237</v>
      </c>
      <c r="M96" s="226">
        <f t="shared" si="69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potatoes: kg produced</v>
      </c>
      <c r="B97" s="60">
        <f t="shared" si="61"/>
        <v>1.3592716566478013E-2</v>
      </c>
      <c r="C97" s="60">
        <f t="shared" si="61"/>
        <v>-1.3592716566478013E-2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9.238721226897029E-3</v>
      </c>
      <c r="K97" s="22">
        <f t="shared" si="67"/>
        <v>1.3592716566478013E-2</v>
      </c>
      <c r="L97" s="22">
        <f t="shared" si="68"/>
        <v>1.1533214056405587E-2</v>
      </c>
      <c r="M97" s="226">
        <f t="shared" si="69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0.23447436077174574</v>
      </c>
      <c r="C98" s="60">
        <f t="shared" si="61"/>
        <v>0</v>
      </c>
      <c r="D98" s="24">
        <f t="shared" si="63"/>
        <v>0.23447436077174574</v>
      </c>
      <c r="H98" s="24">
        <f t="shared" si="64"/>
        <v>0.67272727272727284</v>
      </c>
      <c r="I98" s="22">
        <f t="shared" si="65"/>
        <v>0.15773729724644717</v>
      </c>
      <c r="J98" s="24">
        <f t="shared" si="66"/>
        <v>0.15773729724644717</v>
      </c>
      <c r="K98" s="22">
        <f t="shared" si="67"/>
        <v>0.23447436077174574</v>
      </c>
      <c r="L98" s="22">
        <f t="shared" si="68"/>
        <v>0.15773729724644717</v>
      </c>
      <c r="M98" s="226">
        <f t="shared" si="69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Construction cash income -- see Data2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0.67272727272727284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Domestic work cash income -- see Data2</v>
      </c>
      <c r="B100" s="60">
        <f t="shared" si="61"/>
        <v>0.1868998527890727</v>
      </c>
      <c r="C100" s="60">
        <f t="shared" si="61"/>
        <v>0</v>
      </c>
      <c r="D100" s="24">
        <f t="shared" si="63"/>
        <v>0.1868998527890727</v>
      </c>
      <c r="H100" s="24">
        <f t="shared" si="64"/>
        <v>0.67272727272727284</v>
      </c>
      <c r="I100" s="22">
        <f t="shared" si="65"/>
        <v>0.12573262823992165</v>
      </c>
      <c r="J100" s="24">
        <f t="shared" si="66"/>
        <v>0.12573262823992165</v>
      </c>
      <c r="K100" s="22">
        <f t="shared" si="67"/>
        <v>0.1868998527890727</v>
      </c>
      <c r="L100" s="22">
        <f t="shared" si="68"/>
        <v>0.12573262823992165</v>
      </c>
      <c r="M100" s="226">
        <f t="shared" si="69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Labour migration(formal employment): no. people per HH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Small business -- see Data2</v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0.57212121212121214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6">
        <f t="shared" si="6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Social development -- see Data2</v>
      </c>
      <c r="B103" s="60">
        <f t="shared" si="61"/>
        <v>1.8706976174615366</v>
      </c>
      <c r="C103" s="60">
        <f t="shared" si="61"/>
        <v>0</v>
      </c>
      <c r="D103" s="24">
        <f t="shared" si="63"/>
        <v>1.8706976174615366</v>
      </c>
      <c r="H103" s="24">
        <f t="shared" si="64"/>
        <v>0.7151515151515152</v>
      </c>
      <c r="I103" s="22">
        <f t="shared" si="65"/>
        <v>1.3378322355179475</v>
      </c>
      <c r="J103" s="24">
        <f t="shared" si="66"/>
        <v>1.3378322355179475</v>
      </c>
      <c r="K103" s="22">
        <f t="shared" si="67"/>
        <v>1.8706976174615366</v>
      </c>
      <c r="L103" s="22">
        <f t="shared" si="68"/>
        <v>1.3378322355179475</v>
      </c>
      <c r="M103" s="226">
        <f t="shared" si="69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Public works -- see Data2</v>
      </c>
      <c r="B104" s="60">
        <f t="shared" si="61"/>
        <v>1.2671810019099128</v>
      </c>
      <c r="C104" s="60">
        <f t="shared" si="61"/>
        <v>0</v>
      </c>
      <c r="D104" s="24">
        <f t="shared" si="63"/>
        <v>1.2671810019099128</v>
      </c>
      <c r="H104" s="24">
        <f t="shared" si="64"/>
        <v>0.7151515151515152</v>
      </c>
      <c r="I104" s="22">
        <f t="shared" si="65"/>
        <v>0.90622641348708921</v>
      </c>
      <c r="J104" s="24">
        <f t="shared" si="66"/>
        <v>0.90622641348708921</v>
      </c>
      <c r="K104" s="22">
        <f t="shared" si="67"/>
        <v>1.2671810019099128</v>
      </c>
      <c r="L104" s="22">
        <f t="shared" si="68"/>
        <v>0.90622641348708921</v>
      </c>
      <c r="M104" s="226">
        <f t="shared" si="69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Gifts/social support: type (Child support, Pension and Foster Care)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>Remittances: no. times per year</v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0.67272727272727284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>(J119)</f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71">(B124)</f>
        <v>1.2688663498045756</v>
      </c>
      <c r="L124" s="29">
        <f>IF(SUMPRODUCT($B$124:$B124,$H$124:$H124)&lt;L$119,($B124*$H124),L$119)</f>
        <v>1.076613872561458</v>
      </c>
      <c r="M124" s="239">
        <f t="shared" si="70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 t="shared" si="71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70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si="7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70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 t="shared" si="71"/>
        <v>0.58958408107098381</v>
      </c>
      <c r="L128" s="29">
        <f>IF(L124=L119,0,(L119-L124)/(B119-B124)*K128)</f>
        <v>0.36978148721384485</v>
      </c>
      <c r="M128" s="239">
        <f t="shared" si="70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 t="shared" si="71"/>
        <v>4.5285834330792314</v>
      </c>
      <c r="L130" s="29">
        <f>(L119)</f>
        <v>3.1210771978942788</v>
      </c>
      <c r="M130" s="239">
        <f t="shared" si="70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>$M6*AB6*4</f>
        <v>2.7355452766411673E-2</v>
      </c>
      <c r="AD6" s="156">
        <f>Poor!AD6</f>
        <v>0.33</v>
      </c>
      <c r="AE6" s="121">
        <f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0.12051667674790961</v>
      </c>
      <c r="AH7" s="123">
        <f t="shared" ref="AH7:AH30" si="10">SUM(Z7,AB7,AD7,AF7)</f>
        <v>1</v>
      </c>
      <c r="AI7" s="183">
        <f t="shared" ref="AI7:AI30" si="11">SUM(AA7,AC7,AE7,AG7)/4</f>
        <v>3.0129169186977403E-2</v>
      </c>
      <c r="AJ7" s="120">
        <f t="shared" ref="AJ7:AJ31" si="12">(AA7+AC7)/2</f>
        <v>0</v>
      </c>
      <c r="AK7" s="119">
        <f t="shared" ref="AK7:AK31" si="13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7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6.327115119778072E-2</v>
      </c>
      <c r="AJ8" s="120">
        <f t="shared" si="12"/>
        <v>0.12654230239556144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7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3.1563004803415763E-2</v>
      </c>
      <c r="AJ9" s="120">
        <f t="shared" si="12"/>
        <v>6.3126009606831526E-2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0.10820227787337594</v>
      </c>
      <c r="AJ10" s="120">
        <f t="shared" si="12"/>
        <v>0.21640455574675188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>$M27*AB27*4</f>
        <v>1.5364247792944888E-2</v>
      </c>
      <c r="AD27" s="156">
        <f>Poor!AD27</f>
        <v>0.25</v>
      </c>
      <c r="AE27" s="121">
        <f>$M27*AD27*4</f>
        <v>1.5364247792944888E-2</v>
      </c>
      <c r="AF27" s="122">
        <f t="shared" si="8"/>
        <v>0.25</v>
      </c>
      <c r="AG27" s="121">
        <f t="shared" si="9"/>
        <v>1.5364247792944888E-2</v>
      </c>
      <c r="AH27" s="123">
        <f t="shared" si="10"/>
        <v>1</v>
      </c>
      <c r="AI27" s="183">
        <f t="shared" si="11"/>
        <v>1.5364247792944888E-2</v>
      </c>
      <c r="AJ27" s="120">
        <f t="shared" si="12"/>
        <v>1.5364247792944888E-2</v>
      </c>
      <c r="AK27" s="119">
        <f t="shared" si="13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7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>$M29*AB29*4</f>
        <v>0.27830080829522713</v>
      </c>
      <c r="AD29" s="156">
        <f>Poor!AD29</f>
        <v>0.25</v>
      </c>
      <c r="AE29" s="121">
        <f>$M29*AD29*4</f>
        <v>0.27830080829522713</v>
      </c>
      <c r="AF29" s="122">
        <f t="shared" si="8"/>
        <v>0.25</v>
      </c>
      <c r="AG29" s="121">
        <f t="shared" si="9"/>
        <v>0.27830080829522713</v>
      </c>
      <c r="AH29" s="123">
        <f t="shared" si="10"/>
        <v>1</v>
      </c>
      <c r="AI29" s="183">
        <f t="shared" si="11"/>
        <v>0.27830080829522713</v>
      </c>
      <c r="AJ29" s="120">
        <f t="shared" si="12"/>
        <v>0.27830080829522713</v>
      </c>
      <c r="AK29" s="119">
        <f t="shared" si="13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0"/>
        <v>0.99999999999999978</v>
      </c>
      <c r="AI30" s="183">
        <f t="shared" si="11"/>
        <v>0.31389311479323018</v>
      </c>
      <c r="AJ30" s="120">
        <f t="shared" si="12"/>
        <v>0.15385900434865241</v>
      </c>
      <c r="AK30" s="119">
        <f t="shared" si="13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15104</v>
      </c>
      <c r="J37" s="38">
        <f>J91*I$83</f>
        <v>15104</v>
      </c>
      <c r="K37" s="40">
        <f>(B37/B$65)</f>
        <v>0.186328170490276</v>
      </c>
      <c r="L37" s="22">
        <f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9440</v>
      </c>
      <c r="J38" s="38">
        <f t="shared" ref="J38:J64" si="29">J92*I$83</f>
        <v>5610.6619276601214</v>
      </c>
      <c r="K38" s="40">
        <f t="shared" ref="K38:K64" si="30">(B38/B$65)</f>
        <v>6.9873063933853494E-2</v>
      </c>
      <c r="L38" s="22">
        <f t="shared" ref="L38:L64" si="31">(K38*H38)</f>
        <v>6.5960172353557694E-2</v>
      </c>
      <c r="M38" s="24">
        <f t="shared" ref="M38:M64" si="32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5610.6619276601214</v>
      </c>
      <c r="AH38" s="123">
        <f t="shared" ref="AH38:AI58" si="34">SUM(Z38,AB38,AD38,AF38)</f>
        <v>1</v>
      </c>
      <c r="AI38" s="112">
        <f t="shared" si="34"/>
        <v>5610.6619276601214</v>
      </c>
      <c r="AJ38" s="148">
        <f t="shared" ref="AJ38:AJ64" si="35">(AA38+AC38)</f>
        <v>0</v>
      </c>
      <c r="AK38" s="147">
        <f t="shared" ref="AK38:AK64" si="36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1510.3999999999999</v>
      </c>
      <c r="J39" s="38">
        <f t="shared" si="29"/>
        <v>1510.3999999999999</v>
      </c>
      <c r="K39" s="40">
        <f t="shared" si="30"/>
        <v>1.8632817049027601E-2</v>
      </c>
      <c r="L39" s="22">
        <f t="shared" si="31"/>
        <v>1.7589379294282056E-2</v>
      </c>
      <c r="M39" s="24">
        <f t="shared" si="32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37">$J39*Z39</f>
        <v>1041.3415507225723</v>
      </c>
      <c r="AB39" s="122">
        <f>AB8</f>
        <v>0.31055246906609357</v>
      </c>
      <c r="AC39" s="147">
        <f t="shared" ref="AC39:AC64" si="38">$J39*AB39</f>
        <v>469.05844927742771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1510.4</v>
      </c>
      <c r="AJ39" s="148">
        <f t="shared" si="35"/>
        <v>1510.4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1534</v>
      </c>
      <c r="J40" s="38">
        <f t="shared" si="29"/>
        <v>1534.0000000000002</v>
      </c>
      <c r="K40" s="40">
        <f t="shared" si="30"/>
        <v>1.5139163852334925E-2</v>
      </c>
      <c r="L40" s="22">
        <f t="shared" si="31"/>
        <v>1.7864213345755209E-2</v>
      </c>
      <c r="M40" s="24">
        <f t="shared" si="32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37"/>
        <v>1057.6125124526127</v>
      </c>
      <c r="AB40" s="122">
        <f>AB9</f>
        <v>0.31055246906609357</v>
      </c>
      <c r="AC40" s="147">
        <f t="shared" si="38"/>
        <v>476.38748754738759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1534.0000000000002</v>
      </c>
      <c r="AJ40" s="148">
        <f t="shared" si="35"/>
        <v>1534.0000000000002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3714.1334099940605</v>
      </c>
      <c r="K41" s="40">
        <f t="shared" si="30"/>
        <v>2.79492255735414E-2</v>
      </c>
      <c r="L41" s="22">
        <f t="shared" si="31"/>
        <v>4.2650518225224178E-2</v>
      </c>
      <c r="M41" s="24">
        <f t="shared" si="32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3714.1334099940605</v>
      </c>
      <c r="AH41" s="123">
        <f t="shared" si="34"/>
        <v>1</v>
      </c>
      <c r="AI41" s="112">
        <f t="shared" si="34"/>
        <v>3714.1334099940605</v>
      </c>
      <c r="AJ41" s="148">
        <f t="shared" si="35"/>
        <v>0</v>
      </c>
      <c r="AK41" s="147">
        <f t="shared" si="36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24150</v>
      </c>
      <c r="J42" s="38">
        <f t="shared" si="29"/>
        <v>24149.999999999996</v>
      </c>
      <c r="K42" s="40">
        <f t="shared" si="30"/>
        <v>0.20088505880982882</v>
      </c>
      <c r="L42" s="22">
        <f t="shared" si="31"/>
        <v>0.28123908233376033</v>
      </c>
      <c r="M42" s="24">
        <f t="shared" si="32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6037.4999999999991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12074.999999999998</v>
      </c>
      <c r="AF42" s="122">
        <f t="shared" si="26"/>
        <v>0.25</v>
      </c>
      <c r="AG42" s="147">
        <f t="shared" si="33"/>
        <v>6037.4999999999991</v>
      </c>
      <c r="AH42" s="123">
        <f t="shared" si="34"/>
        <v>1</v>
      </c>
      <c r="AI42" s="112">
        <f t="shared" si="34"/>
        <v>24149.999999999996</v>
      </c>
      <c r="AJ42" s="148">
        <f t="shared" si="35"/>
        <v>6037.4999999999991</v>
      </c>
      <c r="AK42" s="147">
        <f t="shared" si="36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3549.4394208658832</v>
      </c>
      <c r="K43" s="40">
        <f t="shared" si="30"/>
        <v>2.9113776639105624E-2</v>
      </c>
      <c r="L43" s="22">
        <f t="shared" si="31"/>
        <v>4.075928729474787E-2</v>
      </c>
      <c r="M43" s="24">
        <f t="shared" si="32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887.35985521647081</v>
      </c>
      <c r="AB43" s="156">
        <f>Poor!AB43</f>
        <v>0.25</v>
      </c>
      <c r="AC43" s="147">
        <f t="shared" si="38"/>
        <v>887.35985521647081</v>
      </c>
      <c r="AD43" s="156">
        <f>Poor!AD43</f>
        <v>0.25</v>
      </c>
      <c r="AE43" s="147">
        <f t="shared" si="39"/>
        <v>887.35985521647081</v>
      </c>
      <c r="AF43" s="122">
        <f t="shared" si="26"/>
        <v>0.25</v>
      </c>
      <c r="AG43" s="147">
        <f t="shared" si="33"/>
        <v>887.35985521647081</v>
      </c>
      <c r="AH43" s="123">
        <f t="shared" si="34"/>
        <v>1</v>
      </c>
      <c r="AI43" s="112">
        <f t="shared" si="34"/>
        <v>3549.4394208658832</v>
      </c>
      <c r="AJ43" s="148">
        <f t="shared" si="35"/>
        <v>1774.7197104329416</v>
      </c>
      <c r="AK43" s="147">
        <f t="shared" si="36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18124.8</v>
      </c>
      <c r="J47" s="38">
        <f t="shared" si="29"/>
        <v>18124.8</v>
      </c>
      <c r="K47" s="40">
        <f t="shared" si="30"/>
        <v>0.2235938045883312</v>
      </c>
      <c r="L47" s="22">
        <f t="shared" si="31"/>
        <v>0.21107255153138463</v>
      </c>
      <c r="M47" s="24">
        <f t="shared" si="32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4531.2</v>
      </c>
      <c r="AB47" s="156">
        <f>Poor!AB47</f>
        <v>0.25</v>
      </c>
      <c r="AC47" s="147">
        <f t="shared" si="38"/>
        <v>4531.2</v>
      </c>
      <c r="AD47" s="156">
        <f>Poor!AD47</f>
        <v>0.25</v>
      </c>
      <c r="AE47" s="147">
        <f t="shared" si="39"/>
        <v>4531.2</v>
      </c>
      <c r="AF47" s="122">
        <f t="shared" si="26"/>
        <v>0.25</v>
      </c>
      <c r="AG47" s="147">
        <f t="shared" si="33"/>
        <v>4531.2</v>
      </c>
      <c r="AH47" s="123">
        <f t="shared" si="34"/>
        <v>1</v>
      </c>
      <c r="AI47" s="112">
        <f t="shared" si="34"/>
        <v>18124.8</v>
      </c>
      <c r="AJ47" s="148">
        <f t="shared" si="35"/>
        <v>9062.4</v>
      </c>
      <c r="AK47" s="147">
        <f t="shared" si="36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8991.6</v>
      </c>
      <c r="J49" s="38">
        <f t="shared" si="29"/>
        <v>8991.6</v>
      </c>
      <c r="K49" s="40">
        <f t="shared" si="30"/>
        <v>8.8738791195993941E-2</v>
      </c>
      <c r="L49" s="22">
        <f t="shared" si="31"/>
        <v>0.10471177361127285</v>
      </c>
      <c r="M49" s="24">
        <f t="shared" si="32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2247.9</v>
      </c>
      <c r="AB49" s="156">
        <f>Poor!AB49</f>
        <v>0.25</v>
      </c>
      <c r="AC49" s="147">
        <f t="shared" si="38"/>
        <v>2247.9</v>
      </c>
      <c r="AD49" s="156">
        <f>Poor!AD49</f>
        <v>0.25</v>
      </c>
      <c r="AE49" s="147">
        <f t="shared" si="39"/>
        <v>2247.9</v>
      </c>
      <c r="AF49" s="122">
        <f t="shared" si="26"/>
        <v>0.25</v>
      </c>
      <c r="AG49" s="147">
        <f t="shared" si="33"/>
        <v>2247.9</v>
      </c>
      <c r="AH49" s="123">
        <f t="shared" si="34"/>
        <v>1</v>
      </c>
      <c r="AI49" s="112">
        <f t="shared" si="34"/>
        <v>8991.6</v>
      </c>
      <c r="AJ49" s="148">
        <f t="shared" si="35"/>
        <v>4495.8</v>
      </c>
      <c r="AK49" s="147">
        <f t="shared" si="36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13320.000000000002</v>
      </c>
      <c r="J52" s="38">
        <f t="shared" si="29"/>
        <v>13320</v>
      </c>
      <c r="K52" s="40">
        <f t="shared" si="30"/>
        <v>0.13974612786770699</v>
      </c>
      <c r="L52" s="22">
        <f t="shared" si="31"/>
        <v>0.15511820193315476</v>
      </c>
      <c r="M52" s="24">
        <f t="shared" si="32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3330</v>
      </c>
      <c r="AB52" s="156">
        <f>Poor!AB57</f>
        <v>0.25</v>
      </c>
      <c r="AC52" s="147">
        <f t="shared" si="38"/>
        <v>3330</v>
      </c>
      <c r="AD52" s="156">
        <f>Poor!AD57</f>
        <v>0.25</v>
      </c>
      <c r="AE52" s="147">
        <f t="shared" si="39"/>
        <v>3330</v>
      </c>
      <c r="AF52" s="122">
        <f t="shared" si="26"/>
        <v>0.25</v>
      </c>
      <c r="AG52" s="147">
        <f t="shared" si="33"/>
        <v>3330</v>
      </c>
      <c r="AH52" s="123">
        <f t="shared" si="34"/>
        <v>1</v>
      </c>
      <c r="AI52" s="112">
        <f t="shared" si="34"/>
        <v>13320</v>
      </c>
      <c r="AJ52" s="148">
        <f t="shared" si="35"/>
        <v>6660</v>
      </c>
      <c r="AK52" s="147">
        <f t="shared" si="36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0.15219353052021545</v>
      </c>
      <c r="L70" s="22">
        <f t="shared" ref="L70:L75" si="43">(L124*G$37*F$9/F$7)/B$130</f>
        <v>0.21307094272830165</v>
      </c>
      <c r="M70" s="24">
        <f t="shared" ref="M70:M75" si="44"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16084.973333333333</v>
      </c>
      <c r="J71" s="51">
        <f t="shared" si="41"/>
        <v>16084.973333333333</v>
      </c>
      <c r="K71" s="40">
        <f t="shared" si="42"/>
        <v>0.15874383758394472</v>
      </c>
      <c r="L71" s="22">
        <f t="shared" si="43"/>
        <v>0.18731772834905477</v>
      </c>
      <c r="M71" s="24">
        <f t="shared" si="44"/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28645.68</v>
      </c>
      <c r="K72" s="40">
        <f t="shared" si="42"/>
        <v>0.28270641667637125</v>
      </c>
      <c r="L72" s="22">
        <f t="shared" si="43"/>
        <v>0.33359357167811815</v>
      </c>
      <c r="M72" s="24">
        <f t="shared" si="44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25251.999999999996</v>
      </c>
      <c r="K73" s="40">
        <f t="shared" si="42"/>
        <v>0.24921392803074416</v>
      </c>
      <c r="L73" s="22">
        <f t="shared" si="43"/>
        <v>0.29407243507627806</v>
      </c>
      <c r="M73" s="24">
        <f t="shared" si="44"/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1"/>
        <v>5334.423708654137</v>
      </c>
      <c r="K74" s="40">
        <f t="shared" si="42"/>
        <v>6.514985729326056E-2</v>
      </c>
      <c r="L74" s="22">
        <f t="shared" si="43"/>
        <v>6.9144390692869442E-2</v>
      </c>
      <c r="M74" s="24">
        <f t="shared" si="44"/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1"/>
        <v>1995.555864453348</v>
      </c>
      <c r="K75" s="40">
        <f t="shared" si="42"/>
        <v>9.1992429895463829E-2</v>
      </c>
      <c r="L75" s="22">
        <f t="shared" si="43"/>
        <v>1.5659904341338206E-2</v>
      </c>
      <c r="M75" s="24">
        <f t="shared" si="44"/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1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1.5534533218832016</v>
      </c>
      <c r="C91" s="75">
        <f t="shared" si="45"/>
        <v>0</v>
      </c>
      <c r="D91" s="24">
        <f>(B91+C91)</f>
        <v>1.5534533218832016</v>
      </c>
      <c r="H91" s="24">
        <f>(E37*F37/G37*F$7/F$9)</f>
        <v>0.57212121212121214</v>
      </c>
      <c r="I91" s="22">
        <f>(D91*H91)</f>
        <v>0.88876359748954081</v>
      </c>
      <c r="J91" s="24">
        <f>IF(I$32&lt;=1+I$131,I91,L91+J$33*(I91-L91))</f>
        <v>0.88876359748954081</v>
      </c>
      <c r="K91" s="22">
        <f>(B91)</f>
        <v>1.5534533218832016</v>
      </c>
      <c r="L91" s="22">
        <f>(K91*H91)</f>
        <v>0.88876359748954081</v>
      </c>
      <c r="M91" s="226">
        <f>(J91)</f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0.58254499570620055</v>
      </c>
      <c r="C92" s="75">
        <f t="shared" si="45"/>
        <v>0.38836333047080041</v>
      </c>
      <c r="D92" s="24">
        <f t="shared" ref="D92:D118" si="47">(B92+C92)</f>
        <v>0.97090832617700096</v>
      </c>
      <c r="H92" s="24">
        <f t="shared" ref="H92:H118" si="48">(E38*F38/G38*F$7/F$9)</f>
        <v>0.57212121212121214</v>
      </c>
      <c r="I92" s="22">
        <f t="shared" ref="I92:I118" si="49">(D92*H92)</f>
        <v>0.55547724843096302</v>
      </c>
      <c r="J92" s="24">
        <f t="shared" ref="J92:J118" si="50">IF(I$32&lt;=1+I$131,I92,L92+J$33*(I92-L92))</f>
        <v>0.33014778066239481</v>
      </c>
      <c r="K92" s="22">
        <f t="shared" ref="K92:K118" si="51">(B92)</f>
        <v>0.58254499570620055</v>
      </c>
      <c r="L92" s="22">
        <f t="shared" ref="L92:L118" si="52">(K92*H92)</f>
        <v>0.33328634905857779</v>
      </c>
      <c r="M92" s="226">
        <f t="shared" ref="M92:M118" si="53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0.15534533218832017</v>
      </c>
      <c r="C93" s="75">
        <f t="shared" si="45"/>
        <v>0</v>
      </c>
      <c r="D93" s="24">
        <f t="shared" si="47"/>
        <v>0.15534533218832017</v>
      </c>
      <c r="H93" s="24">
        <f t="shared" si="48"/>
        <v>0.57212121212121214</v>
      </c>
      <c r="I93" s="22">
        <f t="shared" si="49"/>
        <v>8.8876359748954081E-2</v>
      </c>
      <c r="J93" s="24">
        <f t="shared" si="50"/>
        <v>8.8876359748954081E-2</v>
      </c>
      <c r="K93" s="22">
        <f t="shared" si="51"/>
        <v>0.15534533218832017</v>
      </c>
      <c r="L93" s="22">
        <f t="shared" si="52"/>
        <v>8.8876359748954081E-2</v>
      </c>
      <c r="M93" s="226">
        <f t="shared" si="53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0.12621808240301013</v>
      </c>
      <c r="C94" s="75">
        <f t="shared" si="45"/>
        <v>0</v>
      </c>
      <c r="D94" s="24">
        <f t="shared" si="47"/>
        <v>0.12621808240301013</v>
      </c>
      <c r="H94" s="24">
        <f t="shared" si="48"/>
        <v>0.7151515151515152</v>
      </c>
      <c r="I94" s="22">
        <f t="shared" si="49"/>
        <v>9.0265052870031504E-2</v>
      </c>
      <c r="J94" s="24">
        <f t="shared" si="50"/>
        <v>9.0265052870031504E-2</v>
      </c>
      <c r="K94" s="22">
        <f t="shared" si="51"/>
        <v>0.12621808240301013</v>
      </c>
      <c r="L94" s="22">
        <f t="shared" si="52"/>
        <v>9.0265052870031504E-2</v>
      </c>
      <c r="M94" s="226">
        <f t="shared" si="53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0.23301799828248024</v>
      </c>
      <c r="C95" s="75">
        <f t="shared" si="45"/>
        <v>-0.23301799828248024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0.21855048801790367</v>
      </c>
      <c r="K95" s="22">
        <f t="shared" si="51"/>
        <v>0.23301799828248024</v>
      </c>
      <c r="L95" s="22">
        <f t="shared" si="52"/>
        <v>0.21550634265397872</v>
      </c>
      <c r="M95" s="226">
        <f t="shared" si="53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1.6748168626553266</v>
      </c>
      <c r="C96" s="75">
        <f t="shared" si="45"/>
        <v>0</v>
      </c>
      <c r="D96" s="24">
        <f t="shared" si="47"/>
        <v>1.6748168626553266</v>
      </c>
      <c r="H96" s="24">
        <f t="shared" si="48"/>
        <v>0.84848484848484851</v>
      </c>
      <c r="I96" s="22">
        <f t="shared" si="49"/>
        <v>1.4210567319499741</v>
      </c>
      <c r="J96" s="24">
        <f t="shared" si="50"/>
        <v>1.4210567319499741</v>
      </c>
      <c r="K96" s="22">
        <f t="shared" si="51"/>
        <v>1.6748168626553266</v>
      </c>
      <c r="L96" s="22">
        <f t="shared" si="52"/>
        <v>1.4210567319499741</v>
      </c>
      <c r="M96" s="226">
        <f t="shared" si="53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5"/>
        <v>0.24272708154425024</v>
      </c>
      <c r="C97" s="75">
        <f t="shared" si="45"/>
        <v>-0.24272708154425024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0.20885941133209446</v>
      </c>
      <c r="K97" s="22">
        <f t="shared" si="51"/>
        <v>0.24272708154425024</v>
      </c>
      <c r="L97" s="22">
        <f t="shared" si="52"/>
        <v>0.20595025100724262</v>
      </c>
      <c r="M97" s="226">
        <f t="shared" si="53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0.67272727272727284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0.67272727272727284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5"/>
        <v>1.8641439862598419</v>
      </c>
      <c r="C101" s="75">
        <f t="shared" si="45"/>
        <v>0</v>
      </c>
      <c r="D101" s="24">
        <f t="shared" si="47"/>
        <v>1.8641439862598419</v>
      </c>
      <c r="H101" s="24">
        <f t="shared" si="48"/>
        <v>0.57212121212121214</v>
      </c>
      <c r="I101" s="22">
        <f t="shared" si="49"/>
        <v>1.066516316987449</v>
      </c>
      <c r="J101" s="24">
        <f t="shared" si="50"/>
        <v>1.066516316987449</v>
      </c>
      <c r="K101" s="22">
        <f t="shared" si="51"/>
        <v>1.8641439862598419</v>
      </c>
      <c r="L101" s="22">
        <f t="shared" si="52"/>
        <v>1.066516316987449</v>
      </c>
      <c r="M101" s="226">
        <f t="shared" si="53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0.57212121212121214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6">
        <f t="shared" si="53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5"/>
        <v>0.73983214454687474</v>
      </c>
      <c r="C103" s="75">
        <f t="shared" si="45"/>
        <v>0</v>
      </c>
      <c r="D103" s="24">
        <f t="shared" si="47"/>
        <v>0.73983214454687474</v>
      </c>
      <c r="H103" s="24">
        <f t="shared" si="48"/>
        <v>0.7151515151515152</v>
      </c>
      <c r="I103" s="22">
        <f t="shared" si="49"/>
        <v>0.52909207913049228</v>
      </c>
      <c r="J103" s="24">
        <f t="shared" si="50"/>
        <v>0.52909207913049228</v>
      </c>
      <c r="K103" s="22">
        <f t="shared" si="51"/>
        <v>0.73983214454687474</v>
      </c>
      <c r="L103" s="22">
        <f t="shared" si="52"/>
        <v>0.52909207913049228</v>
      </c>
      <c r="M103" s="226">
        <f t="shared" si="53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0.7151515151515152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5"/>
        <v>1.1650899914124011</v>
      </c>
      <c r="C106" s="75">
        <f t="shared" si="45"/>
        <v>0</v>
      </c>
      <c r="D106" s="24">
        <f t="shared" si="47"/>
        <v>1.1650899914124011</v>
      </c>
      <c r="H106" s="24">
        <f t="shared" si="48"/>
        <v>0.67272727272727284</v>
      </c>
      <c r="I106" s="22">
        <f t="shared" si="49"/>
        <v>0.7837878124047063</v>
      </c>
      <c r="J106" s="24">
        <f t="shared" si="50"/>
        <v>0.7837878124047063</v>
      </c>
      <c r="K106" s="22">
        <f t="shared" si="51"/>
        <v>1.1650899914124011</v>
      </c>
      <c r="L106" s="22">
        <f t="shared" si="52"/>
        <v>0.7837878124047063</v>
      </c>
      <c r="M106" s="226">
        <f t="shared" si="53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>(J119)</f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 t="shared" ref="K124:K130" si="55">(B124)</f>
        <v>1.2688663498045756</v>
      </c>
      <c r="L124" s="29">
        <f>IF(SUMPRODUCT($B$124:$B124,$H$124:$H124)&lt;L$119,($B124*$H124),L$119)</f>
        <v>1.076613872561458</v>
      </c>
      <c r="M124" s="57">
        <f t="shared" si="5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si="55"/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5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 t="shared" si="55"/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54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 t="shared" si="55"/>
        <v>0.54316672549368428</v>
      </c>
      <c r="L128" s="22">
        <f>IF(L124=L119,0,(L119-L124)/(B119-B124)*K128)</f>
        <v>0.34937570217951963</v>
      </c>
      <c r="M128" s="57">
        <f t="shared" si="54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 t="shared" si="55"/>
        <v>0.76695834791483519</v>
      </c>
      <c r="L129" s="60">
        <f>IF(SUM(L124:L128)&gt;L130,0,L130-SUM(L124:L128))</f>
        <v>7.912702708772823E-2</v>
      </c>
      <c r="M129" s="57">
        <f t="shared" si="54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 t="shared" si="55"/>
        <v>8.3371897968819066</v>
      </c>
      <c r="L130" s="22">
        <f>(L119)</f>
        <v>5.6231008933009479</v>
      </c>
      <c r="M130" s="57">
        <f t="shared" si="54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>$M6*AB6*4</f>
        <v>2.8723225404732256E-2</v>
      </c>
      <c r="AD6" s="156">
        <f>Poor!AD6</f>
        <v>0.33</v>
      </c>
      <c r="AE6" s="121">
        <f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0.17632919364881694</v>
      </c>
      <c r="AH7" s="123">
        <f t="shared" ref="AH7:AH30" si="10">SUM(Z7,AB7,AD7,AF7)</f>
        <v>1</v>
      </c>
      <c r="AI7" s="183">
        <f t="shared" ref="AI7:AI30" si="11">SUM(AA7,AC7,AE7,AG7)/4</f>
        <v>4.4082298412204235E-2</v>
      </c>
      <c r="AJ7" s="120">
        <f t="shared" ref="AJ7:AJ31" si="12">(AA7+AC7)/2</f>
        <v>0</v>
      </c>
      <c r="AK7" s="119">
        <f t="shared" ref="AK7:AK31" si="13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7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6.0957271673590024E-2</v>
      </c>
      <c r="AJ8" s="120">
        <f t="shared" si="12"/>
        <v>0.12191454334718005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7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5.523525840597758E-2</v>
      </c>
      <c r="AJ9" s="120">
        <f t="shared" si="12"/>
        <v>0.11047051681195516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3.3728096053335807E-2</v>
      </c>
      <c r="AJ10" s="120">
        <f t="shared" si="12"/>
        <v>6.7456192106671614E-2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>$M27*AB27*4</f>
        <v>3.3261499734480088E-2</v>
      </c>
      <c r="AD27" s="156">
        <f>Poor!AD27</f>
        <v>0.25</v>
      </c>
      <c r="AE27" s="121">
        <f>$M27*AD27*4</f>
        <v>3.3261499734480088E-2</v>
      </c>
      <c r="AF27" s="122">
        <f t="shared" si="8"/>
        <v>0.25</v>
      </c>
      <c r="AG27" s="121">
        <f t="shared" si="9"/>
        <v>3.3261499734480088E-2</v>
      </c>
      <c r="AH27" s="123">
        <f t="shared" si="10"/>
        <v>1</v>
      </c>
      <c r="AI27" s="183">
        <f t="shared" si="11"/>
        <v>3.3261499734480088E-2</v>
      </c>
      <c r="AJ27" s="120">
        <f t="shared" si="12"/>
        <v>3.3261499734480088E-2</v>
      </c>
      <c r="AK27" s="119">
        <f t="shared" si="13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7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>$M29*AB29*4</f>
        <v>0.46839382550433351</v>
      </c>
      <c r="AD29" s="156">
        <f>Poor!AD29</f>
        <v>0.25</v>
      </c>
      <c r="AE29" s="121">
        <f>$M29*AD29*4</f>
        <v>0.46839382550433351</v>
      </c>
      <c r="AF29" s="122">
        <f t="shared" si="8"/>
        <v>0.25</v>
      </c>
      <c r="AG29" s="121">
        <f t="shared" si="9"/>
        <v>0.46839382550433351</v>
      </c>
      <c r="AH29" s="123">
        <f t="shared" si="10"/>
        <v>1</v>
      </c>
      <c r="AI29" s="183">
        <f t="shared" si="11"/>
        <v>0.46839382550433351</v>
      </c>
      <c r="AJ29" s="120">
        <f t="shared" si="12"/>
        <v>0.46839382550433351</v>
      </c>
      <c r="AK29" s="119">
        <f t="shared" si="13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0"/>
        <v>1.0000000000000002</v>
      </c>
      <c r="AI30" s="183">
        <f t="shared" si="11"/>
        <v>0.26210171285617845</v>
      </c>
      <c r="AJ30" s="120">
        <f t="shared" si="12"/>
        <v>0.16978019709064734</v>
      </c>
      <c r="AK30" s="119">
        <f t="shared" si="13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 t="shared" ref="J70:J77" si="47"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47"/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 t="shared" si="47"/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 t="shared" si="47"/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 t="shared" si="47"/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1.8987325953798975</v>
      </c>
      <c r="C91" s="75">
        <f t="shared" si="48"/>
        <v>0</v>
      </c>
      <c r="D91" s="24">
        <f>(B91+C91)</f>
        <v>1.8987325953798975</v>
      </c>
      <c r="H91" s="24">
        <f>(E37*F37/G37*F$7/F$9)</f>
        <v>0.57212121212121214</v>
      </c>
      <c r="I91" s="22">
        <f>(D91*H91)</f>
        <v>1.0863051939628019</v>
      </c>
      <c r="J91" s="24">
        <f>IF(I$32&lt;=1+I$131,I91,L91+J$33*(I91-L91))</f>
        <v>1.0863051939628019</v>
      </c>
      <c r="K91" s="22">
        <f>(B91)</f>
        <v>1.8987325953798975</v>
      </c>
      <c r="L91" s="22">
        <f>(K91*H91)</f>
        <v>1.0863051939628019</v>
      </c>
      <c r="M91" s="226">
        <f>(J91)</f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0.67963582832390068</v>
      </c>
      <c r="C92" s="75">
        <f t="shared" si="48"/>
        <v>0.21238619635121897</v>
      </c>
      <c r="D92" s="24">
        <f t="shared" ref="D92:D118" si="50">(B92+C92)</f>
        <v>0.8920220246751196</v>
      </c>
      <c r="H92" s="24">
        <f t="shared" ref="H92:H118" si="51">(E38*F38/G38*F$7/F$9)</f>
        <v>0.57212121212121214</v>
      </c>
      <c r="I92" s="22">
        <f t="shared" ref="I92:I118" si="52">(D92*H92)</f>
        <v>0.51034472199594727</v>
      </c>
      <c r="J92" s="24">
        <f t="shared" ref="J92:J118" si="53">IF(I$32&lt;=1+I$131,I92,L92+J$33*(I92-L92))</f>
        <v>0.38839283516494494</v>
      </c>
      <c r="K92" s="22">
        <f t="shared" ref="K92:K118" si="54">(B92)</f>
        <v>0.67963582832390068</v>
      </c>
      <c r="L92" s="22">
        <f t="shared" ref="L92:L118" si="55">(K92*H92)</f>
        <v>0.38883407390167413</v>
      </c>
      <c r="M92" s="226">
        <f t="shared" ref="M92:M118" si="56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0.2038907484971702</v>
      </c>
      <c r="C93" s="75">
        <f t="shared" si="48"/>
        <v>0</v>
      </c>
      <c r="D93" s="24">
        <f t="shared" si="50"/>
        <v>0.2038907484971702</v>
      </c>
      <c r="H93" s="24">
        <f t="shared" si="51"/>
        <v>0.57212121212121214</v>
      </c>
      <c r="I93" s="22">
        <f t="shared" si="52"/>
        <v>0.11665022217050224</v>
      </c>
      <c r="J93" s="24">
        <f t="shared" si="53"/>
        <v>0.11665022217050224</v>
      </c>
      <c r="K93" s="22">
        <f t="shared" si="54"/>
        <v>0.2038907484971702</v>
      </c>
      <c r="L93" s="22">
        <f t="shared" si="55"/>
        <v>0.11665022217050224</v>
      </c>
      <c r="M93" s="226">
        <f t="shared" si="56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6">
        <f t="shared" si="56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0.30583612274575533</v>
      </c>
      <c r="C95" s="75">
        <f t="shared" si="48"/>
        <v>-0.30583612274575533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0.28387918876898077</v>
      </c>
      <c r="K95" s="22">
        <f t="shared" si="54"/>
        <v>0.30583612274575533</v>
      </c>
      <c r="L95" s="22">
        <f t="shared" si="55"/>
        <v>0.28285207473334706</v>
      </c>
      <c r="M95" s="226">
        <f t="shared" si="56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0.50972687124292548</v>
      </c>
      <c r="C96" s="75">
        <f t="shared" si="48"/>
        <v>0</v>
      </c>
      <c r="D96" s="24">
        <f t="shared" si="50"/>
        <v>0.50972687124292548</v>
      </c>
      <c r="H96" s="24">
        <f t="shared" si="51"/>
        <v>0.84848484848484851</v>
      </c>
      <c r="I96" s="22">
        <f t="shared" si="52"/>
        <v>0.4324955271152095</v>
      </c>
      <c r="J96" s="24">
        <f t="shared" si="53"/>
        <v>0.4324955271152095</v>
      </c>
      <c r="K96" s="22">
        <f t="shared" si="54"/>
        <v>0.50972687124292548</v>
      </c>
      <c r="L96" s="22">
        <f t="shared" si="55"/>
        <v>0.4324955271152095</v>
      </c>
      <c r="M96" s="226">
        <f t="shared" si="56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potatoes: kg produced</v>
      </c>
      <c r="B97" s="75">
        <f t="shared" si="48"/>
        <v>3.6700334729490636E-2</v>
      </c>
      <c r="C97" s="75">
        <f t="shared" si="48"/>
        <v>-3.6700334729490636E-2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3.125275472686026E-2</v>
      </c>
      <c r="K97" s="22">
        <f t="shared" si="54"/>
        <v>3.6700334729490636E-2</v>
      </c>
      <c r="L97" s="22">
        <f t="shared" si="55"/>
        <v>3.1139677952295084E-2</v>
      </c>
      <c r="M97" s="226">
        <f t="shared" si="56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Construction cash income -- see Data2</v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0.67272727272727284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6">
        <f t="shared" si="56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Domestic work cash income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0.67272727272727284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6">
        <f t="shared" si="56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Labour migration(formal employment): no. people per HH</v>
      </c>
      <c r="B101" s="75">
        <f t="shared" si="48"/>
        <v>6.4225585776608618</v>
      </c>
      <c r="C101" s="75">
        <f t="shared" si="48"/>
        <v>0</v>
      </c>
      <c r="D101" s="24">
        <f t="shared" si="50"/>
        <v>6.4225585776608618</v>
      </c>
      <c r="H101" s="24">
        <f t="shared" si="51"/>
        <v>0.57212121212121214</v>
      </c>
      <c r="I101" s="22">
        <f t="shared" si="52"/>
        <v>3.6744819983708203</v>
      </c>
      <c r="J101" s="24">
        <f t="shared" si="53"/>
        <v>3.6744819983708203</v>
      </c>
      <c r="K101" s="22">
        <f t="shared" si="54"/>
        <v>6.4225585776608618</v>
      </c>
      <c r="L101" s="22">
        <f t="shared" si="55"/>
        <v>3.6744819983708203</v>
      </c>
      <c r="M101" s="226">
        <f t="shared" si="56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Small business -- see Data2</v>
      </c>
      <c r="B102" s="75">
        <f t="shared" si="48"/>
        <v>5.3266458044885718</v>
      </c>
      <c r="C102" s="75">
        <f t="shared" si="48"/>
        <v>0</v>
      </c>
      <c r="D102" s="24">
        <f t="shared" si="50"/>
        <v>5.3266458044885718</v>
      </c>
      <c r="H102" s="24">
        <f t="shared" si="51"/>
        <v>0.57212121212121214</v>
      </c>
      <c r="I102" s="22">
        <f t="shared" si="52"/>
        <v>3.047487054204371</v>
      </c>
      <c r="J102" s="24">
        <f t="shared" si="53"/>
        <v>3.047487054204371</v>
      </c>
      <c r="K102" s="22">
        <f t="shared" si="54"/>
        <v>5.3266458044885718</v>
      </c>
      <c r="L102" s="22">
        <f t="shared" si="55"/>
        <v>3.047487054204371</v>
      </c>
      <c r="M102" s="226">
        <f t="shared" si="56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Social development -- see Data2</v>
      </c>
      <c r="B103" s="75">
        <f t="shared" si="48"/>
        <v>0.64735312647851539</v>
      </c>
      <c r="C103" s="75">
        <f t="shared" si="48"/>
        <v>0</v>
      </c>
      <c r="D103" s="24">
        <f t="shared" si="50"/>
        <v>0.64735312647851539</v>
      </c>
      <c r="H103" s="24">
        <f t="shared" si="51"/>
        <v>0.7151515151515152</v>
      </c>
      <c r="I103" s="22">
        <f t="shared" si="52"/>
        <v>0.46295556923918074</v>
      </c>
      <c r="J103" s="24">
        <f t="shared" si="53"/>
        <v>0.46295556923918074</v>
      </c>
      <c r="K103" s="22">
        <f t="shared" si="54"/>
        <v>0.64735312647851539</v>
      </c>
      <c r="L103" s="22">
        <f t="shared" si="55"/>
        <v>0.46295556923918074</v>
      </c>
      <c r="M103" s="226">
        <f t="shared" si="56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Public works -- see Data2</v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0.7151515151515152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Gifts/social support: type (Child support, Pension and Foster Care)</v>
      </c>
      <c r="B105" s="75">
        <f t="shared" si="48"/>
        <v>1.4476243143299086</v>
      </c>
      <c r="C105" s="75">
        <f t="shared" si="48"/>
        <v>0</v>
      </c>
      <c r="D105" s="24">
        <f t="shared" si="50"/>
        <v>1.4476243143299086</v>
      </c>
      <c r="H105" s="24">
        <f t="shared" si="51"/>
        <v>0.60606060606060608</v>
      </c>
      <c r="I105" s="22">
        <f t="shared" si="52"/>
        <v>0.87734806929085374</v>
      </c>
      <c r="J105" s="24">
        <f t="shared" si="53"/>
        <v>0.87734806929085374</v>
      </c>
      <c r="K105" s="22">
        <f t="shared" si="54"/>
        <v>1.4476243143299086</v>
      </c>
      <c r="L105" s="22">
        <f t="shared" si="55"/>
        <v>0.87734806929085374</v>
      </c>
      <c r="M105" s="226">
        <f t="shared" si="56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>Remittances: no. times per year</v>
      </c>
      <c r="B106" s="75">
        <f t="shared" si="48"/>
        <v>0.76459030686438834</v>
      </c>
      <c r="C106" s="75">
        <f t="shared" si="48"/>
        <v>0</v>
      </c>
      <c r="D106" s="24">
        <f t="shared" si="50"/>
        <v>0.76459030686438834</v>
      </c>
      <c r="H106" s="24">
        <f t="shared" si="51"/>
        <v>0.67272727272727284</v>
      </c>
      <c r="I106" s="22">
        <f t="shared" si="52"/>
        <v>0.51436075189058861</v>
      </c>
      <c r="J106" s="24">
        <f t="shared" si="53"/>
        <v>0.51436075189058861</v>
      </c>
      <c r="K106" s="22">
        <f t="shared" si="54"/>
        <v>0.76459030686438834</v>
      </c>
      <c r="L106" s="22">
        <f t="shared" si="55"/>
        <v>0.51436075189058861</v>
      </c>
      <c r="M106" s="226">
        <f t="shared" si="56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>(J119)</f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 t="shared" ref="K124:K130" si="58">(B124)</f>
        <v>1.268866349804576</v>
      </c>
      <c r="L124" s="29">
        <f>IF(SUMPRODUCT($B$124:$B124,$H$124:$H124)&lt;L$119,($B124*$H124),L$119)</f>
        <v>1.0766138725614585</v>
      </c>
      <c r="M124" s="57">
        <f t="shared" si="57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si="58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8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 t="shared" si="58"/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57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 t="shared" si="58"/>
        <v>0.5065454465753424</v>
      </c>
      <c r="L128" s="22">
        <f>IF(L124=L119,0,(L119-L124)/(B119-B124)*K128)</f>
        <v>0.29359128512266336</v>
      </c>
      <c r="M128" s="57">
        <f t="shared" si="57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 t="shared" si="58"/>
        <v>11.835938119057971</v>
      </c>
      <c r="L129" s="60">
        <f>IF(SUM(L124:L128)&gt;L130,0,L130-SUM(L124:L128))</f>
        <v>6.2321627739001775</v>
      </c>
      <c r="M129" s="57">
        <f t="shared" si="57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 t="shared" si="58"/>
        <v>18.243294630741381</v>
      </c>
      <c r="L130" s="22">
        <f>(L119)</f>
        <v>10.914910212831645</v>
      </c>
      <c r="M130" s="57">
        <f t="shared" si="57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4" workbookViewId="0">
      <selection activeCell="U63" sqref="U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2016-08-08T15:31:43Z</dcterms:modified>
  <cp:category/>
</cp:coreProperties>
</file>