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<sst xmlns="http://schemas.openxmlformats.org/spreadsheetml/2006/main" count="790" uniqueCount="145">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</sst>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54984"/>
        <c:axId val="2083658328"/>
      </c:barChart>
      <c:catAx>
        <c:axId val="20836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5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5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017976"/>
        <c:axId val="2119020968"/>
      </c:barChart>
      <c:catAx>
        <c:axId val="211901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0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1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0.00386977674810702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0.0108886132272569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90648"/>
        <c:axId val="2118883384"/>
      </c:barChart>
      <c:catAx>
        <c:axId val="21188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8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8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9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697784"/>
        <c:axId val="2118697000"/>
      </c:barChart>
      <c:catAx>
        <c:axId val="211869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9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9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9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 with Grants</a:t>
            </a:r>
          </a:p>
        </c:rich>
      </c:tx>
      <c:layout>
        <c:manualLayout>
          <c:xMode val="edge"/>
          <c:yMode val="edge"/>
          <c:x val="0.33398895733888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1915.746706354649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3900.757752792267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6930.902990902269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79944"/>
        <c:axId val="21185627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79944"/>
        <c:axId val="2118562728"/>
      </c:lineChart>
      <c:catAx>
        <c:axId val="211857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56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56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57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7496"/>
        <c:axId val="21184374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7496"/>
        <c:axId val="2118437464"/>
      </c:lineChart>
      <c:catAx>
        <c:axId val="211844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3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43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4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48776"/>
        <c:axId val="21183521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48776"/>
        <c:axId val="2118352120"/>
      </c:lineChart>
      <c:catAx>
        <c:axId val="2118348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5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5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4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81016"/>
        <c:axId val="2118284360"/>
      </c:barChart>
      <c:catAx>
        <c:axId val="211828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8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8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8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13176"/>
        <c:axId val="2118216536"/>
      </c:barChart>
      <c:catAx>
        <c:axId val="211821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1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1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1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0.335147547187788</c:v>
                </c:pt>
                <c:pt idx="2">
                  <c:v>0.327165924922891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56472"/>
        <c:axId val="2118159992"/>
      </c:barChart>
      <c:catAx>
        <c:axId val="211815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5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5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5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574584"/>
        <c:axId val="2084627352"/>
      </c:barChart>
      <c:catAx>
        <c:axId val="20855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2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2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57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865912"/>
        <c:axId val="2084543496"/>
      </c:barChart>
      <c:catAx>
        <c:axId val="-21368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4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4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72248"/>
        <c:axId val="20854657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72248"/>
        <c:axId val="20854657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72248"/>
        <c:axId val="2085465768"/>
      </c:scatterChart>
      <c:catAx>
        <c:axId val="2085472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6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46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722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340280"/>
        <c:axId val="20853298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40280"/>
        <c:axId val="2085329848"/>
      </c:lineChart>
      <c:catAx>
        <c:axId val="2085340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329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329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340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82376"/>
        <c:axId val="20850686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32936"/>
        <c:axId val="2085028328"/>
      </c:scatterChart>
      <c:valAx>
        <c:axId val="2085082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68648"/>
        <c:crosses val="autoZero"/>
        <c:crossBetween val="midCat"/>
      </c:valAx>
      <c:valAx>
        <c:axId val="2085068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82376"/>
        <c:crosses val="autoZero"/>
        <c:crossBetween val="midCat"/>
      </c:valAx>
      <c:valAx>
        <c:axId val="20850329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5028328"/>
        <c:crosses val="autoZero"/>
        <c:crossBetween val="midCat"/>
      </c:valAx>
      <c:valAx>
        <c:axId val="20850283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329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22648"/>
        <c:axId val="20849169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22648"/>
        <c:axId val="2084916936"/>
      </c:lineChart>
      <c:catAx>
        <c:axId val="208492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916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4916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922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0.171509568709157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0.0129919984714281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0.0202828437695568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0.293123035103021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0.239758861375507</c:v>
                </c:pt>
                <c:pt idx="2">
                  <c:v>0.479015621443724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353768"/>
        <c:axId val="2082351416"/>
      </c:barChart>
      <c:catAx>
        <c:axId val="-21353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35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5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5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643864"/>
        <c:axId val="2084501224"/>
      </c:barChart>
      <c:catAx>
        <c:axId val="-213364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0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0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64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348312"/>
        <c:axId val="2084451752"/>
      </c:barChart>
      <c:catAx>
        <c:axId val="-213334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51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45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4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84424"/>
        <c:axId val="2088732504"/>
      </c:barChart>
      <c:catAx>
        <c:axId val="-2137684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73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73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68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33304"/>
        <c:axId val="-2133769720"/>
      </c:barChart>
      <c:catAx>
        <c:axId val="2084533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6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76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3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0.654703188858419</c:v>
                </c:pt>
                <c:pt idx="1">
                  <c:v>0.0313350859782083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0.033735913477468</c:v>
                </c:pt>
                <c:pt idx="1">
                  <c:v>0.00161465190235763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0.0405656875391135</c:v>
                </c:pt>
                <c:pt idx="3">
                  <c:v>0.0405656875391135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0.293123035103021</c:v>
                </c:pt>
                <c:pt idx="1">
                  <c:v>0.293123035103021</c:v>
                </c:pt>
                <c:pt idx="2">
                  <c:v>0.293123035103021</c:v>
                </c:pt>
                <c:pt idx="3">
                  <c:v>0.293123035103021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0.655489364455321</c:v>
                </c:pt>
                <c:pt idx="2">
                  <c:v>0.642747895653561</c:v>
                </c:pt>
                <c:pt idx="3">
                  <c:v>0.617825225666014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998712"/>
        <c:axId val="-2133291720"/>
      </c:barChart>
      <c:catAx>
        <c:axId val="-213299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291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29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99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84920"/>
        <c:axId val="2118677560"/>
      </c:barChart>
      <c:catAx>
        <c:axId val="211888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7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7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8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0" sqref="T3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1915.7467063546487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0.17150956870915696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0.17150956870915696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3900.7577527922667</v>
      </c>
      <c r="U8" s="222">
        <v>2</v>
      </c>
      <c r="V8" s="56"/>
      <c r="W8" s="115"/>
      <c r="X8" s="118">
        <f>Poor!X8</f>
        <v>1</v>
      </c>
      <c r="Y8" s="183">
        <f t="shared" si="9"/>
        <v>0.68603827483662783</v>
      </c>
      <c r="Z8" s="125">
        <f>IF($Y8=0,0,AA8/$Y8)</f>
        <v>0.95432458052625357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0.65470318885841949</v>
      </c>
      <c r="AB8" s="125">
        <f>IF($Y8=0,0,AC8/$Y8)</f>
        <v>4.5675419473746454E-2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3.1335085978208332E-2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0.17150956870915696</v>
      </c>
      <c r="AJ8" s="120">
        <f t="shared" si="14"/>
        <v>0.34301913741831391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0.95432458052625357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3.3735913477468016E-2</v>
      </c>
      <c r="AB9" s="125">
        <f>IF($Y9=0,0,AC9/$Y9)</f>
        <v>4.5675419473746426E-2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1.6146519023576347E-3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6930.9029909022693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256077.62754400953</v>
      </c>
      <c r="T23" s="179">
        <f>SUM(T7:T22)</f>
        <v>256139.14498893137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1.2991998471428059E-2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1.2991998471428059E-2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5.1967993885712237E-2</v>
      </c>
      <c r="Z27" s="156">
        <f>Poor!Z27</f>
        <v>0.25</v>
      </c>
      <c r="AA27" s="121">
        <f t="shared" si="16"/>
        <v>1.2991998471428059E-2</v>
      </c>
      <c r="AB27" s="156">
        <f>Poor!AB27</f>
        <v>0.25</v>
      </c>
      <c r="AC27" s="121">
        <f t="shared" si="7"/>
        <v>1.2991998471428059E-2</v>
      </c>
      <c r="AD27" s="156">
        <f>Poor!AD27</f>
        <v>0.25</v>
      </c>
      <c r="AE27" s="121">
        <f t="shared" si="8"/>
        <v>1.2991998471428059E-2</v>
      </c>
      <c r="AF27" s="122">
        <f t="shared" si="10"/>
        <v>0.25</v>
      </c>
      <c r="AG27" s="121">
        <f t="shared" si="11"/>
        <v>1.2991998471428059E-2</v>
      </c>
      <c r="AH27" s="123">
        <f t="shared" si="12"/>
        <v>1</v>
      </c>
      <c r="AI27" s="183">
        <f t="shared" si="13"/>
        <v>1.2991998471428059E-2</v>
      </c>
      <c r="AJ27" s="120">
        <f t="shared" si="14"/>
        <v>1.2991998471428059E-2</v>
      </c>
      <c r="AK27" s="119">
        <f t="shared" si="15"/>
        <v>1.2991998471428059E-2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2.0282843769556778E-2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2.0282843769556778E-2</v>
      </c>
      <c r="N28" s="228"/>
      <c r="O28" s="2"/>
      <c r="P28" s="22"/>
      <c r="V28" s="56"/>
      <c r="W28" s="110"/>
      <c r="X28" s="118"/>
      <c r="Y28" s="183">
        <f t="shared" si="9"/>
        <v>8.1131375078227111E-2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4.0565687539113555E-2</v>
      </c>
      <c r="AF28" s="122">
        <f t="shared" si="10"/>
        <v>0.5</v>
      </c>
      <c r="AG28" s="121">
        <f t="shared" si="11"/>
        <v>4.0565687539113555E-2</v>
      </c>
      <c r="AH28" s="123">
        <f t="shared" si="12"/>
        <v>1</v>
      </c>
      <c r="AI28" s="183">
        <f t="shared" si="13"/>
        <v>2.0282843769556778E-2</v>
      </c>
      <c r="AJ28" s="120">
        <f t="shared" si="14"/>
        <v>0</v>
      </c>
      <c r="AK28" s="119">
        <f t="shared" si="15"/>
        <v>4.0565687539113555E-2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0.29312303510302073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0.29312303510302073</v>
      </c>
      <c r="N29" s="228"/>
      <c r="P29" s="22"/>
      <c r="V29" s="56"/>
      <c r="W29" s="110"/>
      <c r="X29" s="118"/>
      <c r="Y29" s="183">
        <f t="shared" si="9"/>
        <v>1.1724921404120829</v>
      </c>
      <c r="Z29" s="156">
        <f>Poor!Z29</f>
        <v>0.25</v>
      </c>
      <c r="AA29" s="121">
        <f t="shared" si="16"/>
        <v>0.29312303510302073</v>
      </c>
      <c r="AB29" s="156">
        <f>Poor!AB29</f>
        <v>0.25</v>
      </c>
      <c r="AC29" s="121">
        <f t="shared" si="7"/>
        <v>0.29312303510302073</v>
      </c>
      <c r="AD29" s="156">
        <f>Poor!AD29</f>
        <v>0.25</v>
      </c>
      <c r="AE29" s="121">
        <f t="shared" si="8"/>
        <v>0.29312303510302073</v>
      </c>
      <c r="AF29" s="122">
        <f t="shared" si="10"/>
        <v>0.25</v>
      </c>
      <c r="AG29" s="121">
        <f t="shared" si="11"/>
        <v>0.29312303510302073</v>
      </c>
      <c r="AH29" s="123">
        <f t="shared" si="12"/>
        <v>1</v>
      </c>
      <c r="AI29" s="183">
        <f t="shared" si="13"/>
        <v>0.29312303510302073</v>
      </c>
      <c r="AJ29" s="120">
        <f t="shared" si="14"/>
        <v>0.29312303510302073</v>
      </c>
      <c r="AK29" s="119">
        <f t="shared" si="15"/>
        <v>0.29312303510302073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21.402843912159955</v>
      </c>
      <c r="J30" s="230">
        <f>IF(I$32&lt;=1,I30,1-SUM(J6:J29))</f>
        <v>0.47901562144372412</v>
      </c>
      <c r="K30" s="22">
        <f t="shared" si="4"/>
        <v>0.53191651606475721</v>
      </c>
      <c r="L30" s="22">
        <f>IF(L124=L119,0,IF(K30="",0,(L119-L124)/(B119-B124)*K30))</f>
        <v>0.23975886137550698</v>
      </c>
      <c r="M30" s="23">
        <f t="shared" si="6"/>
        <v>0.47901562144372412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1.9160624857748965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0.3421022901506407</v>
      </c>
      <c r="AC30" s="187">
        <f>IF(AC79*4/$I$83+SUM(AC6:AC29)&lt;1,AC79*4/$I$83,1-SUM(AC6:AC29))</f>
        <v>0.65548936445532147</v>
      </c>
      <c r="AD30" s="122">
        <f>IF($Y30=0,0,AE30/($Y$30))</f>
        <v>0.33545247110958387</v>
      </c>
      <c r="AE30" s="187">
        <f>IF(AE79*4/$I$83+SUM(AE6:AE29)&lt;1,AE79*4/$I$83,1-SUM(AE6:AE29))</f>
        <v>0.64274789565356094</v>
      </c>
      <c r="AF30" s="122">
        <f>IF($Y30=0,0,AG30/($Y$30))</f>
        <v>0.32244523873977549</v>
      </c>
      <c r="AG30" s="187">
        <f>IF(AG79*4/$I$83+SUM(AG6:AG29)&lt;1,AG79*4/$I$83,1-SUM(AG6:AG29))</f>
        <v>0.61782522566601417</v>
      </c>
      <c r="AH30" s="123">
        <f t="shared" si="12"/>
        <v>1</v>
      </c>
      <c r="AI30" s="183">
        <f t="shared" si="13"/>
        <v>0.47901562144372412</v>
      </c>
      <c r="AJ30" s="120">
        <f t="shared" si="14"/>
        <v>0.32774468222766073</v>
      </c>
      <c r="AK30" s="119">
        <f t="shared" si="15"/>
        <v>0.63028656065978761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0.24995445817617423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22.519289941892737</v>
      </c>
      <c r="J32" s="17"/>
      <c r="L32" s="22">
        <f>SUM(L6:L30)</f>
        <v>0.75004554182382577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1.7648326501249392E-2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1055.7524924185575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3.8697767481070209E-3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1055.7524924185575</v>
      </c>
      <c r="AH38" s="123">
        <f t="shared" ref="AH38:AI58" si="35">SUM(Z38,AB38,AD38,AF38)</f>
        <v>1</v>
      </c>
      <c r="AI38" s="112">
        <f t="shared" si="35"/>
        <v>1055.7524924185575</v>
      </c>
      <c r="AJ38" s="148">
        <f t="shared" ref="AJ38:AJ64" si="36">(AA38+AC38)</f>
        <v>0</v>
      </c>
      <c r="AK38" s="147">
        <f t="shared" ref="AK38:AK64" si="37">(AE38+AG38)</f>
        <v>1055.7524924185575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0.95432458052625357</v>
      </c>
      <c r="AA39" s="147">
        <f>$J39*Z39</f>
        <v>0</v>
      </c>
      <c r="AB39" s="122">
        <f>AB8</f>
        <v>4.5675419473746454E-2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2970.6314606602218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1.088861322725688E-2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0.95432458052625357</v>
      </c>
      <c r="AA40" s="147">
        <f>$J40*Z40</f>
        <v>2834.9466225926581</v>
      </c>
      <c r="AB40" s="122">
        <f>AB9</f>
        <v>4.5675419473746426E-2</v>
      </c>
      <c r="AC40" s="147">
        <f>$J40*AB40</f>
        <v>135.68483806756367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2970.6314606602218</v>
      </c>
      <c r="AJ40" s="148">
        <f t="shared" si="36"/>
        <v>2970.6314606602218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208408.4</v>
      </c>
      <c r="J65" s="39">
        <f>SUM(J37:J64)</f>
        <v>211726.78395307876</v>
      </c>
      <c r="K65" s="40">
        <f>SUM(K37:K64)</f>
        <v>1</v>
      </c>
      <c r="L65" s="22">
        <f>SUM(L37:L64)</f>
        <v>0.77628619602668414</v>
      </c>
      <c r="M65" s="24">
        <f>SUM(M37:M64)</f>
        <v>0.77606767815071742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53510.04662259265</v>
      </c>
      <c r="AB65" s="137"/>
      <c r="AC65" s="153">
        <f>SUM(AC37:AC64)</f>
        <v>50810.78483806755</v>
      </c>
      <c r="AD65" s="137"/>
      <c r="AE65" s="153">
        <f>SUM(AE37:AE64)</f>
        <v>50675.099999999991</v>
      </c>
      <c r="AF65" s="137"/>
      <c r="AG65" s="153">
        <f>SUM(AG37:AG64)</f>
        <v>56730.852492418548</v>
      </c>
      <c r="AH65" s="137"/>
      <c r="AI65" s="153">
        <f>SUM(AI37:AI64)</f>
        <v>211726.78395307876</v>
      </c>
      <c r="AJ65" s="153">
        <f>SUM(AJ37:AJ64)</f>
        <v>104320.83146066021</v>
      </c>
      <c r="AK65" s="153">
        <f>SUM(AK37:AK64)</f>
        <v>107405.95249241854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189460.59529208622</v>
      </c>
      <c r="J74" s="51">
        <f>J128*I$83</f>
        <v>4240.3049410351805</v>
      </c>
      <c r="K74" s="40">
        <f>B74/B$76</f>
        <v>1.0459977248708494E-2</v>
      </c>
      <c r="L74" s="22">
        <f>(L128*G$37*F$9/F$7)/B$130</f>
        <v>7.7793959447518286E-3</v>
      </c>
      <c r="M74" s="24">
        <f>J74/B$76</f>
        <v>1.5542500333682209E-2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1450.6180312652127</v>
      </c>
      <c r="AD74" s="156"/>
      <c r="AE74" s="147">
        <f>AE30*$I$83/4</f>
        <v>1422.4207707284297</v>
      </c>
      <c r="AF74" s="156"/>
      <c r="AG74" s="147">
        <f>AG30*$I$83/4</f>
        <v>1367.2661390415383</v>
      </c>
      <c r="AH74" s="155"/>
      <c r="AI74" s="147">
        <f>SUM(AA74,AC74,AE74,AG74)</f>
        <v>4240.3049410351814</v>
      </c>
      <c r="AJ74" s="148">
        <f>(AA74+AC74)</f>
        <v>1450.6180312652127</v>
      </c>
      <c r="AK74" s="147">
        <f>(AE74+AG74)</f>
        <v>2789.6869097699682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89257.407637463155</v>
      </c>
      <c r="K75" s="40">
        <f>B75/B$76</f>
        <v>0.63153543039514071</v>
      </c>
      <c r="L75" s="22">
        <f>(L129*G$37*F$9/F$7)/B$130</f>
        <v>0.33514754718778822</v>
      </c>
      <c r="M75" s="24">
        <f>J75/B$76</f>
        <v>0.32716592492289109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48773.095445614206</v>
      </c>
      <c r="AB75" s="158"/>
      <c r="AC75" s="149">
        <f>AA75+AC65-SUM(AC70,AC74)</f>
        <v>93396.311075438105</v>
      </c>
      <c r="AD75" s="158"/>
      <c r="AE75" s="149">
        <f>AC75+AE65-SUM(AE70,AE74)</f>
        <v>137912.0391277312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188538.67430412979</v>
      </c>
      <c r="AJ75" s="151">
        <f>AJ76-SUM(AJ70,AJ74)</f>
        <v>93396.311075438105</v>
      </c>
      <c r="AK75" s="149">
        <f>AJ75+AK76-SUM(AK70,AK74)</f>
        <v>188538.67430412979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208408.4</v>
      </c>
      <c r="J76" s="51">
        <f>J130*I$83</f>
        <v>211726.78395307876</v>
      </c>
      <c r="K76" s="40">
        <f>SUM(K70:K75)</f>
        <v>0.90075263299367103</v>
      </c>
      <c r="L76" s="22">
        <f>SUM(L70:L75)</f>
        <v>0.6591743029592162</v>
      </c>
      <c r="M76" s="24">
        <f>SUM(M70:M75)</f>
        <v>0.65895578508324937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53510.04662259265</v>
      </c>
      <c r="AB76" s="137"/>
      <c r="AC76" s="153">
        <f>AC65</f>
        <v>50810.78483806755</v>
      </c>
      <c r="AD76" s="137"/>
      <c r="AE76" s="153">
        <f>AE65</f>
        <v>50675.099999999991</v>
      </c>
      <c r="AF76" s="137"/>
      <c r="AG76" s="153">
        <f>AG65</f>
        <v>56730.852492418548</v>
      </c>
      <c r="AH76" s="137"/>
      <c r="AI76" s="153">
        <f>SUM(AA76,AC76,AE76,AG76)</f>
        <v>211726.78395307873</v>
      </c>
      <c r="AJ76" s="154">
        <f>SUM(AA76,AC76)</f>
        <v>104320.83146066021</v>
      </c>
      <c r="AK76" s="154">
        <f>SUM(AE76,AG76)</f>
        <v>107405.95249241854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48773.095445614206</v>
      </c>
      <c r="AD78" s="112"/>
      <c r="AE78" s="112">
        <f>AC75</f>
        <v>93396.311075438105</v>
      </c>
      <c r="AF78" s="112"/>
      <c r="AG78" s="112">
        <f>AE75</f>
        <v>137912.0391277312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48773.095445614206</v>
      </c>
      <c r="AB79" s="112"/>
      <c r="AC79" s="112">
        <f>AA79-AA74+AC65-AC70</f>
        <v>94846.929106703319</v>
      </c>
      <c r="AD79" s="112"/>
      <c r="AE79" s="112">
        <f>AC79-AC74+AE65-AE70</f>
        <v>139334.45989845964</v>
      </c>
      <c r="AF79" s="112"/>
      <c r="AG79" s="112">
        <f>AE79-AE74+AG65-AG70</f>
        <v>189905.9404431713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0.11926546398881745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0.11926546398881745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0.33558409005863715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0.33558409005863715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23.54332545142865</v>
      </c>
      <c r="J119" s="24">
        <f>SUM(J91:J118)</f>
        <v>23.918194186950501</v>
      </c>
      <c r="K119" s="22">
        <f>SUM(K91:K118)</f>
        <v>50.852550002480513</v>
      </c>
      <c r="L119" s="22">
        <f>SUM(L91:L118)</f>
        <v>23.924928848292335</v>
      </c>
      <c r="M119" s="57">
        <f t="shared" si="50"/>
        <v>23.918194186950501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21.402843912159955</v>
      </c>
      <c r="J128" s="227">
        <f>(J30)</f>
        <v>0.47901562144372412</v>
      </c>
      <c r="K128" s="22">
        <f>(B128)</f>
        <v>0.53191651606475721</v>
      </c>
      <c r="L128" s="22">
        <f>IF(L124=L119,0,(L119-L124)/(B119-B124)*K128)</f>
        <v>0.23975886137550698</v>
      </c>
      <c r="M128" s="57">
        <f t="shared" si="90"/>
        <v>0.47901562144372412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10.083164579544915</v>
      </c>
      <c r="K129" s="29">
        <f>(B129)</f>
        <v>32.115187052506947</v>
      </c>
      <c r="L129" s="60">
        <f>IF(SUM(L124:L128)&gt;L130,0,L130-SUM(L124:L128))</f>
        <v>10.329156000954967</v>
      </c>
      <c r="M129" s="57">
        <f t="shared" si="90"/>
        <v>10.083164579544915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23.54332545142865</v>
      </c>
      <c r="J130" s="227">
        <f>(J119)</f>
        <v>23.918194186950501</v>
      </c>
      <c r="K130" s="22">
        <f>(B130)</f>
        <v>50.852550002480513</v>
      </c>
      <c r="L130" s="22">
        <f>(L119)</f>
        <v>23.924928848292335</v>
      </c>
      <c r="M130" s="57">
        <f t="shared" si="90"/>
        <v>23.918194186950501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0" workbookViewId="0">
      <selection activeCell="U65" sqref="U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1915.7467063546487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3900.7577527922667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6930.9029909022693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256139.14498893137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2016-08-08T15:32:34Z</dcterms:modified>
  <cp:category/>
</cp:coreProperties>
</file>