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0" yWindow="1760" windowWidth="23840" windowHeight="143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E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E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G57" i="8"/>
  <c r="F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E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E55" i="12"/>
  <c r="E56" i="12"/>
  <c r="E57" i="12"/>
  <c r="F59" i="12"/>
  <c r="E62" i="12"/>
  <c r="E63" i="12"/>
  <c r="F63" i="12"/>
  <c r="E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E55" i="7"/>
  <c r="E56" i="7"/>
  <c r="E57" i="7"/>
  <c r="F59" i="7"/>
  <c r="E62" i="7"/>
  <c r="E63" i="7"/>
  <c r="F63" i="7"/>
  <c r="E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E55" i="8"/>
  <c r="E56" i="8"/>
  <c r="E57" i="8"/>
  <c r="F59" i="8"/>
  <c r="E62" i="8"/>
  <c r="E63" i="8"/>
  <c r="F63" i="8"/>
  <c r="E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<sst xmlns="http://schemas.openxmlformats.org/spreadsheetml/2006/main" count="849" uniqueCount="195">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</sst>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0.0159547795765878</c:v>
                </c:pt>
                <c:pt idx="2" formatCode="0.0%">
                  <c:v>0.0159547795765878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0.00509477174879914</c:v>
                </c:pt>
                <c:pt idx="2" formatCode="0.0%">
                  <c:v>0.00509477174879914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0.00901288040940224</c:v>
                </c:pt>
                <c:pt idx="2" formatCode="0.0%">
                  <c:v>0.00901288040940224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0.0246428571428571</c:v>
                </c:pt>
                <c:pt idx="2" formatCode="0.0%">
                  <c:v>0.0246428571428571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0.118407758270548</c:v>
                </c:pt>
                <c:pt idx="2" formatCode="0.0%">
                  <c:v>0.118407758270548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0.0438512454011742</c:v>
                </c:pt>
                <c:pt idx="2" formatCode="0.0%">
                  <c:v>0.0438512454011742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0.00833539779398683</c:v>
                </c:pt>
                <c:pt idx="2" formatCode="0.0%">
                  <c:v>0.0089408209170966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0.00271924908824053</c:v>
                </c:pt>
                <c:pt idx="2" formatCode="0.0%">
                  <c:v>0.00296638482921188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0.00569823609677993</c:v>
                </c:pt>
                <c:pt idx="2" formatCode="0.0%">
                  <c:v>0.00629176927592955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0.00840020187689023</c:v>
                </c:pt>
                <c:pt idx="2" formatCode="0.0%">
                  <c:v>0.00840020187689023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0.0043612474648639</c:v>
                </c:pt>
                <c:pt idx="2" formatCode="0.0%">
                  <c:v>0.00442102330546166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0.0244789210104963</c:v>
                </c:pt>
                <c:pt idx="2" formatCode="0.0%">
                  <c:v>0.058223767345668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0.00770298701298701</c:v>
                </c:pt>
                <c:pt idx="2" formatCode="0.0%">
                  <c:v>0.00770298701298701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0.00491300302437289</c:v>
                </c:pt>
                <c:pt idx="2" formatCode="0.0%">
                  <c:v>0.00506497776196406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0.00576409891478385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0.00811141291585127</c:v>
                </c:pt>
                <c:pt idx="2" formatCode="0.0%">
                  <c:v>0.00811141291585127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0.0135190215264188</c:v>
                </c:pt>
                <c:pt idx="2" formatCode="0.0%">
                  <c:v>0.0135190215264188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192360"/>
        <c:axId val="-2014716952"/>
      </c:barChart>
      <c:catAx>
        <c:axId val="-203719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71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71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19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0.00366559334156694</c:v>
                </c:pt>
                <c:pt idx="2">
                  <c:v>0.00404548052063116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0.00141583542818023</c:v>
                </c:pt>
                <c:pt idx="2">
                  <c:v>0.00141583542818023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0.0865080028609797</c:v>
                </c:pt>
                <c:pt idx="2">
                  <c:v>0.0817974018405833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0.00256591533909686</c:v>
                </c:pt>
                <c:pt idx="2">
                  <c:v>0.00279384764653539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0.0206299593263387</c:v>
                </c:pt>
                <c:pt idx="2">
                  <c:v>0.0200965977269326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0.00234597973860284</c:v>
                </c:pt>
                <c:pt idx="2">
                  <c:v>0.00234597973860284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0.0209099920190242</c:v>
                </c:pt>
                <c:pt idx="2">
                  <c:v>0.0165759390337758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0.00118273475600692</c:v>
                </c:pt>
                <c:pt idx="2">
                  <c:v>0.000937587120591034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0.00582767212608438</c:v>
                </c:pt>
                <c:pt idx="2">
                  <c:v>0.00670092973050109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0.000869801809863341</c:v>
                </c:pt>
                <c:pt idx="2">
                  <c:v>0.000869801809863341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0.00132644776004159</c:v>
                </c:pt>
                <c:pt idx="2">
                  <c:v>0.00111911950299298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0.0171829347538503</c:v>
                </c:pt>
                <c:pt idx="2">
                  <c:v>0.013621395868637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0.00306822588429293</c:v>
                </c:pt>
                <c:pt idx="2">
                  <c:v>0.00279644558211834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0.0032943743548574</c:v>
                </c:pt>
                <c:pt idx="2">
                  <c:v>0.00261154324740383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0.00200054416268568</c:v>
                </c:pt>
                <c:pt idx="2">
                  <c:v>0.00196538850170788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0.0043490090493167</c:v>
                </c:pt>
                <c:pt idx="2">
                  <c:v>0.00344758184475753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0.00427914532537447</c:v>
                </c:pt>
                <c:pt idx="2">
                  <c:v>0.00427914532537447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0.00413777146692132</c:v>
                </c:pt>
                <c:pt idx="2">
                  <c:v>0.00413777146692132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0.319346491917312</c:v>
                </c:pt>
                <c:pt idx="2">
                  <c:v>0.319346491917312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0.071108629412448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761144"/>
        <c:axId val="-2007758120"/>
      </c:barChart>
      <c:catAx>
        <c:axId val="-200776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75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75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76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0.0040570501643866</c:v>
                </c:pt>
                <c:pt idx="2">
                  <c:v>0.00401426983412142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2.63708260685129E-5</c:v>
                </c:pt>
                <c:pt idx="2">
                  <c:v>2.63708260685129E-5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0.0800050292417037</c:v>
                </c:pt>
                <c:pt idx="2">
                  <c:v>0.0798510200527491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0.00743251590115625</c:v>
                </c:pt>
                <c:pt idx="2">
                  <c:v>0.00738117950483804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0.0127196636753849</c:v>
                </c:pt>
                <c:pt idx="2">
                  <c:v>0.0126351753751332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0.000389476815781113</c:v>
                </c:pt>
                <c:pt idx="2">
                  <c:v>0.000389476815781113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0.0458188176031186</c:v>
                </c:pt>
                <c:pt idx="2">
                  <c:v>0.0474293014686519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0.000103883863819414</c:v>
                </c:pt>
                <c:pt idx="2">
                  <c:v>0.000107535273771098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0.0120047426728578</c:v>
                </c:pt>
                <c:pt idx="2">
                  <c:v>0.0119580468547379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0.0129289249475927</c:v>
                </c:pt>
                <c:pt idx="2">
                  <c:v>0.0129326470780225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0.013383314566004</c:v>
                </c:pt>
                <c:pt idx="2">
                  <c:v>0.0138384972800254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0.0154848665511562</c:v>
                </c:pt>
                <c:pt idx="2">
                  <c:v>0.0160291435326486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0.0149987081670509</c:v>
                </c:pt>
                <c:pt idx="2">
                  <c:v>0.0150463175990037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0.00320094381613892</c:v>
                </c:pt>
                <c:pt idx="2">
                  <c:v>0.00331345366776851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0.000962689869515464</c:v>
                </c:pt>
                <c:pt idx="2">
                  <c:v>0.000938157646227808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0.00138627341210227</c:v>
                </c:pt>
                <c:pt idx="2">
                  <c:v>0.00143499948318396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0.513148687352143</c:v>
                </c:pt>
                <c:pt idx="2">
                  <c:v>0.513148687352143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0.00327744809020459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175048"/>
        <c:axId val="-2009828264"/>
      </c:barChart>
      <c:catAx>
        <c:axId val="-201017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82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82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17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0.0059155302733343</c:v>
                </c:pt>
                <c:pt idx="2">
                  <c:v>0.0059155302733343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0.00209770577068592</c:v>
                </c:pt>
                <c:pt idx="2">
                  <c:v>0.00209770577068592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0.000373320518511901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0.00181060451478272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0.00118218164195435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0.00435540604930552</c:v>
                </c:pt>
                <c:pt idx="2">
                  <c:v>0.00149328207404761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0.0169127527761552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0.0551774392798421</c:v>
                </c:pt>
                <c:pt idx="2">
                  <c:v>0.0551774392798421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0.0331508620438569</c:v>
                </c:pt>
                <c:pt idx="2">
                  <c:v>0.0331508620438569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0.0811998793514708</c:v>
                </c:pt>
                <c:pt idx="2">
                  <c:v>0.0811998793514708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0.0624618558973056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160280"/>
        <c:axId val="2084212024"/>
      </c:barChart>
      <c:catAx>
        <c:axId val="-201416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1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21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16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ZA2XX - Non-Affected Area without Grants</a:t>
            </a:r>
          </a:p>
        </c:rich>
      </c:tx>
      <c:layout>
        <c:manualLayout>
          <c:xMode val="edge"/>
          <c:yMode val="edge"/>
          <c:x val="0.301173758720574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3890.903285641136</c:v>
                </c:pt>
                <c:pt idx="5">
                  <c:v>5916.344305544532</c:v>
                </c:pt>
                <c:pt idx="6">
                  <c:v>7126.790135228613</c:v>
                </c:pt>
                <c:pt idx="7">
                  <c:v>8878.808821308687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54.85714285714288</c:v>
                </c:pt>
                <c:pt idx="5">
                  <c:v>28.99999999999998</c:v>
                </c:pt>
                <c:pt idx="6">
                  <c:v>5323.588540933714</c:v>
                </c:pt>
                <c:pt idx="7">
                  <c:v>29210.55828610446</c:v>
                </c:pt>
              </c:numCache>
            </c:numRef>
          </c:val>
        </c:ser>
        <c:ser>
          <c:idx val="5"/>
          <c:order val="3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246.4830109797429</c:v>
                </c:pt>
                <c:pt idx="5">
                  <c:v>615.6151109022524</c:v>
                </c:pt>
                <c:pt idx="6">
                  <c:v>1291.471751084037</c:v>
                </c:pt>
                <c:pt idx="7">
                  <c:v>1971.302693713038</c:v>
                </c:pt>
              </c:numCache>
            </c:numRef>
          </c:val>
        </c:ser>
        <c:ser>
          <c:idx val="16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2.136096697059095</c:v>
                </c:pt>
                <c:pt idx="2">
                  <c:v>1353.674992593449</c:v>
                </c:pt>
                <c:pt idx="3">
                  <c:v>2457.121514959976</c:v>
                </c:pt>
                <c:pt idx="4">
                  <c:v>0.0</c:v>
                </c:pt>
                <c:pt idx="5">
                  <c:v>0.842857142857143</c:v>
                </c:pt>
                <c:pt idx="6">
                  <c:v>574.0621710115197</c:v>
                </c:pt>
                <c:pt idx="7">
                  <c:v>959.36919800378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385.884081632653</c:v>
                </c:pt>
                <c:pt idx="5">
                  <c:v>2730.284000000001</c:v>
                </c:pt>
                <c:pt idx="6">
                  <c:v>11379.28084090267</c:v>
                </c:pt>
                <c:pt idx="7">
                  <c:v>24195.64515689642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645.1176202432353</c:v>
                </c:pt>
                <c:pt idx="5">
                  <c:v>379.3222864426438</c:v>
                </c:pt>
                <c:pt idx="6">
                  <c:v>45.72347596482711</c:v>
                </c:pt>
                <c:pt idx="7">
                  <c:v>33.94425772625227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6573.830853162562</c:v>
                </c:pt>
                <c:pt idx="5">
                  <c:v>7579.294185925629</c:v>
                </c:pt>
                <c:pt idx="6">
                  <c:v>6498.358945110913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33567.8693877551</c:v>
                </c:pt>
                <c:pt idx="7">
                  <c:v>121836.8783673469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2294.595918367347</c:v>
                </c:pt>
                <c:pt idx="5">
                  <c:v>1615.542857142857</c:v>
                </c:pt>
                <c:pt idx="6">
                  <c:v>7474.530783564684</c:v>
                </c:pt>
                <c:pt idx="7">
                  <c:v>778.1644076340111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7966488"/>
        <c:axId val="-2007004552"/>
      </c:barChart>
      <c:lineChart>
        <c:grouping val="standard"/>
        <c:varyColors val="0"/>
        <c:ser>
          <c:idx val="13"/>
          <c:order val="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6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966488"/>
        <c:axId val="-2007004552"/>
      </c:lineChart>
      <c:catAx>
        <c:axId val="-200796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00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00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966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146728"/>
        <c:axId val="-20335116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146728"/>
        <c:axId val="-2033511656"/>
      </c:lineChart>
      <c:catAx>
        <c:axId val="-203414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5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5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14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644168"/>
        <c:axId val="-20335988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644168"/>
        <c:axId val="-2033598888"/>
      </c:lineChart>
      <c:catAx>
        <c:axId val="-2033644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9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59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4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0.476165263700187</c:v>
                </c:pt>
                <c:pt idx="2">
                  <c:v>0.4636915582336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-0.522277626258403</c:v>
                </c:pt>
                <c:pt idx="2">
                  <c:v>-0.522277626258402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218440"/>
        <c:axId val="-2133817752"/>
      </c:barChart>
      <c:catAx>
        <c:axId val="-21332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81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81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2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0.0514025580777736</c:v>
                </c:pt>
                <c:pt idx="2">
                  <c:v>0.0375584389082727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0.0710269574730686</c:v>
                </c:pt>
                <c:pt idx="2">
                  <c:v>0.073699358987785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0.32416308156813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0.0514025580777736</c:v>
                </c:pt>
                <c:pt idx="2">
                  <c:v>0.0375584389082727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032632"/>
        <c:axId val="-2144043336"/>
      </c:barChart>
      <c:catAx>
        <c:axId val="-21440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4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04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0.0275845342521042</c:v>
                </c:pt>
                <c:pt idx="2">
                  <c:v>0.00619479986749028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0.455625209312971</c:v>
                </c:pt>
                <c:pt idx="2">
                  <c:v>0.479414061005489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0.0275845342521042</c:v>
                </c:pt>
                <c:pt idx="2">
                  <c:v>0.00619479986749028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101176"/>
        <c:axId val="-2070995416"/>
      </c:barChart>
      <c:catAx>
        <c:axId val="-207110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99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99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10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0.416504325047847</c:v>
                </c:pt>
                <c:pt idx="2">
                  <c:v>0.430729170090716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-0.666816507336557</c:v>
                </c:pt>
                <c:pt idx="2">
                  <c:v>-0.666816507336557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640840"/>
        <c:axId val="-2144064728"/>
      </c:barChart>
      <c:catAx>
        <c:axId val="-207164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6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06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64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0.03071498950873</c:v>
                </c:pt>
                <c:pt idx="2" formatCode="0.0%">
                  <c:v>0.0304679713033332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0.0232135706025872</c:v>
                </c:pt>
                <c:pt idx="2" formatCode="0.0%">
                  <c:v>0.0232135706025872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0.0239285714285714</c:v>
                </c:pt>
                <c:pt idx="2" formatCode="0.0%">
                  <c:v>0.0239285714285714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0.142953864763</c:v>
                </c:pt>
                <c:pt idx="2" formatCode="0.0%">
                  <c:v>0.15046690452646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0.00995043788598876</c:v>
                </c:pt>
                <c:pt idx="2" formatCode="0.0%">
                  <c:v>0.0120840024971118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0.0476991041686787</c:v>
                </c:pt>
                <c:pt idx="2" formatCode="0.0%">
                  <c:v>0.0462712933659202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0.0196458435204717</c:v>
                </c:pt>
                <c:pt idx="2" formatCode="0.0%">
                  <c:v>0.0210709591277154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0.00825938522377817</c:v>
                </c:pt>
                <c:pt idx="2" formatCode="0.0%">
                  <c:v>0.00864143746269235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0.0150034349850193</c:v>
                </c:pt>
                <c:pt idx="2" formatCode="0.0%">
                  <c:v>0.0160248568099058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0.00543288459094721</c:v>
                </c:pt>
                <c:pt idx="2" formatCode="0.0%">
                  <c:v>0.00568101431126201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0.00443721259562355</c:v>
                </c:pt>
                <c:pt idx="2" formatCode="0.0%">
                  <c:v>0.00466843053444213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0.0299220665743259</c:v>
                </c:pt>
                <c:pt idx="2" formatCode="0.0%">
                  <c:v>0.0393625629022451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0.0198378295676926</c:v>
                </c:pt>
                <c:pt idx="2" formatCode="0.0%">
                  <c:v>0.0198378295676926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-1.78793808930795E-5</c:v>
                </c:pt>
                <c:pt idx="2" formatCode="0.0%">
                  <c:v>-1.41734883196369E-5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0.00223282185659043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0.010815217221135</c:v>
                </c:pt>
                <c:pt idx="2" formatCode="0.0%">
                  <c:v>0.010815217221135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0.0270380430528376</c:v>
                </c:pt>
                <c:pt idx="2" formatCode="0.0%">
                  <c:v>0.0243719935139968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0.0165787541590803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0.0148638355589695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0.230409164821672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0.26385248905605</c:v>
                </c:pt>
                <c:pt idx="2" formatCode="0.0%">
                  <c:v>0.19278977470369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407320"/>
        <c:axId val="-2031167784"/>
      </c:barChart>
      <c:catAx>
        <c:axId val="-203640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16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16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40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976888"/>
        <c:axId val="-20710430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76888"/>
        <c:axId val="-20710430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976888"/>
        <c:axId val="-2071043064"/>
      </c:scatterChart>
      <c:catAx>
        <c:axId val="-20719768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0430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1043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9768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54520"/>
        <c:axId val="-20710627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54520"/>
        <c:axId val="-2071062728"/>
      </c:lineChart>
      <c:catAx>
        <c:axId val="-2071054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062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1062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0545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64504"/>
        <c:axId val="-20718683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96824"/>
        <c:axId val="-2071922216"/>
      </c:scatterChart>
      <c:valAx>
        <c:axId val="-20718645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868392"/>
        <c:crosses val="autoZero"/>
        <c:crossBetween val="midCat"/>
      </c:valAx>
      <c:valAx>
        <c:axId val="-2071868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864504"/>
        <c:crosses val="autoZero"/>
        <c:crossBetween val="midCat"/>
      </c:valAx>
      <c:valAx>
        <c:axId val="-2071896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1922216"/>
        <c:crosses val="autoZero"/>
        <c:crossBetween val="midCat"/>
      </c:valAx>
      <c:valAx>
        <c:axId val="-20719222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896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472552"/>
        <c:axId val="-21474302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472552"/>
        <c:axId val="-2147430200"/>
      </c:lineChart>
      <c:catAx>
        <c:axId val="-204347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430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7430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4725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0.0447721135899108</c:v>
                </c:pt>
                <c:pt idx="2" formatCode="0.0%">
                  <c:v>0.0448506556675951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0.00777623056395659</c:v>
                </c:pt>
                <c:pt idx="2" formatCode="0.0%">
                  <c:v>0.00777623056395659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0.043638055302289</c:v>
                </c:pt>
                <c:pt idx="2" formatCode="0.0%">
                  <c:v>0.043638055302289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0.046699016307893</c:v>
                </c:pt>
                <c:pt idx="2" formatCode="0.0%">
                  <c:v>0.0421372924359901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0.166527150433642</c:v>
                </c:pt>
                <c:pt idx="2" formatCode="0.0%">
                  <c:v>0.14824294675007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0.0280878776285358</c:v>
                </c:pt>
                <c:pt idx="2" formatCode="0.0%">
                  <c:v>0.0280878776285358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0.0624827428927237</c:v>
                </c:pt>
                <c:pt idx="2" formatCode="0.0%">
                  <c:v>0.0626677901747672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0.0404506316491727</c:v>
                </c:pt>
                <c:pt idx="2" formatCode="0.0%">
                  <c:v>0.0391216775929926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0.0194019792296744</c:v>
                </c:pt>
                <c:pt idx="2" formatCode="0.0%">
                  <c:v>0.0186292628702662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0.00942215699065014</c:v>
                </c:pt>
                <c:pt idx="2" formatCode="0.0%">
                  <c:v>0.00914177785920079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0.00644702081480163</c:v>
                </c:pt>
                <c:pt idx="2" formatCode="0.0%">
                  <c:v>0.00628677072035302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0.00959276618929016</c:v>
                </c:pt>
                <c:pt idx="2" formatCode="0.0%">
                  <c:v>0.00954211259441752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0.0438853061021171</c:v>
                </c:pt>
                <c:pt idx="2" formatCode="0.0%">
                  <c:v>0.0434280900215052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0.0231164095356698</c:v>
                </c:pt>
                <c:pt idx="2" formatCode="0.0%">
                  <c:v>0.0231564659952888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0.00312841531755915</c:v>
                </c:pt>
                <c:pt idx="2" formatCode="0.0%">
                  <c:v>0.00313823471872182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0.00165760539761276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0.0323126617090775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0.0261337421973413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0.276919829680232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0.319827668789568</c:v>
                </c:pt>
                <c:pt idx="2" formatCode="0.0%">
                  <c:v>0.0718253345200563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265992"/>
        <c:axId val="-2056199144"/>
      </c:barChart>
      <c:catAx>
        <c:axId val="213426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19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9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26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0.00618986888454011</c:v>
                </c:pt>
                <c:pt idx="2" formatCode="0.0%">
                  <c:v>0.00618986888454011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0.0012402027219356</c:v>
                </c:pt>
                <c:pt idx="2" formatCode="0.0%">
                  <c:v>0.0012402027219356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0.00460647291645487</c:v>
                </c:pt>
                <c:pt idx="2" formatCode="0.0%">
                  <c:v>0.00460647291645487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0.0258333333333333</c:v>
                </c:pt>
                <c:pt idx="2" formatCode="0.0%">
                  <c:v>0.0258333333333333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0.0737312949384959</c:v>
                </c:pt>
                <c:pt idx="2" formatCode="0.0%">
                  <c:v>0.0737312949384959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0.0231623749345566</c:v>
                </c:pt>
                <c:pt idx="2" formatCode="0.0%">
                  <c:v>0.0231623749345566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0.00712262497776196</c:v>
                </c:pt>
                <c:pt idx="2" formatCode="0.0%">
                  <c:v>0.00890328122220245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0.0118200425064173</c:v>
                </c:pt>
                <c:pt idx="2" formatCode="0.0%">
                  <c:v>0.0127103706286375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0.00327853505985208</c:v>
                </c:pt>
                <c:pt idx="2" formatCode="0.0%">
                  <c:v>0.0033373769029405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0.005456216229954</c:v>
                </c:pt>
                <c:pt idx="2" formatCode="0.0%">
                  <c:v>0.00638579948916055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0.00253339626909294</c:v>
                </c:pt>
                <c:pt idx="2" formatCode="0.0%">
                  <c:v>0.00253339626909294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0.00369858701298701</c:v>
                </c:pt>
                <c:pt idx="2" formatCode="0.0%">
                  <c:v>0.00371726696317381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0.0178723298885557</c:v>
                </c:pt>
                <c:pt idx="2" formatCode="0.0%">
                  <c:v>0.0178723298885557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0.0029545703611457</c:v>
                </c:pt>
                <c:pt idx="2" formatCode="0.0%">
                  <c:v>0.0029545703611457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0.00868491727450631</c:v>
                </c:pt>
                <c:pt idx="2" formatCode="0.0%">
                  <c:v>0.00886371108343711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0.00116279070195949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0.0168987769080235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77800"/>
        <c:axId val="-2008153608"/>
      </c:barChart>
      <c:catAx>
        <c:axId val="-204167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815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15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7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0.0108492501120797</c:v>
                </c:pt>
                <c:pt idx="1">
                  <c:v>0.0108492501120797</c:v>
                </c:pt>
                <c:pt idx="2">
                  <c:v>0.0210603090410959</c:v>
                </c:pt>
                <c:pt idx="3">
                  <c:v>0.0210603090410959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0.0985714285714285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0.473631033082192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0.117521337675147</c:v>
                </c:pt>
                <c:pt idx="3">
                  <c:v>0.0578836439295499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0.0357632836683864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0.00296638482921188</c:v>
                </c:pt>
                <c:pt idx="1">
                  <c:v>0.00296638482921188</c:v>
                </c:pt>
                <c:pt idx="2">
                  <c:v>0.00296638482921188</c:v>
                </c:pt>
                <c:pt idx="3">
                  <c:v>0.00296638482921188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0.0251670771037182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0.00988199748797367</c:v>
                </c:pt>
                <c:pt idx="1">
                  <c:v>0.0059305425250845</c:v>
                </c:pt>
                <c:pt idx="2">
                  <c:v>0.00790627000652909</c:v>
                </c:pt>
                <c:pt idx="3">
                  <c:v>0.00988199748797367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-0.853734214516446</c:v>
                </c:pt>
                <c:pt idx="1">
                  <c:v>-0.836807149372877</c:v>
                </c:pt>
                <c:pt idx="2">
                  <c:v>-0.955121436714631</c:v>
                </c:pt>
                <c:pt idx="3">
                  <c:v>2.588960524686725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338712"/>
        <c:axId val="2136858536"/>
      </c:barChart>
      <c:catAx>
        <c:axId val="-203733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858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85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33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0.00420911084148728</c:v>
                </c:pt>
                <c:pt idx="1">
                  <c:v>0.00420911084148728</c:v>
                </c:pt>
                <c:pt idx="2">
                  <c:v>0.00817062692759295</c:v>
                </c:pt>
                <c:pt idx="3">
                  <c:v>0.00817062692759295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0.0184258916658195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0.103333333333333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0.294925179753984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0.0620751648246118</c:v>
                </c:pt>
                <c:pt idx="3">
                  <c:v>0.0305743349136147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0.0356131248888098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0.05084148251455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0.0033373769029405</c:v>
                </c:pt>
                <c:pt idx="1">
                  <c:v>0.0033373769029405</c:v>
                </c:pt>
                <c:pt idx="2">
                  <c:v>0.0033373769029405</c:v>
                </c:pt>
                <c:pt idx="3">
                  <c:v>0.0033373769029405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0.0675951076320939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-0.345074568130481</c:v>
                </c:pt>
                <c:pt idx="1">
                  <c:v>-0.348837711301591</c:v>
                </c:pt>
                <c:pt idx="2">
                  <c:v>-0.341311424959372</c:v>
                </c:pt>
                <c:pt idx="3">
                  <c:v>-0.302626313160364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072184"/>
        <c:axId val="-2009089944"/>
      </c:barChart>
      <c:catAx>
        <c:axId val="-2010072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089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908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07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0.0207182204862665</c:v>
                </c:pt>
                <c:pt idx="1">
                  <c:v>0.0207182204862665</c:v>
                </c:pt>
                <c:pt idx="2">
                  <c:v>0.0402177221203998</c:v>
                </c:pt>
                <c:pt idx="3">
                  <c:v>0.0402177221203998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0.0689288787609502</c:v>
                </c:pt>
                <c:pt idx="1">
                  <c:v>0.0239254036493987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0.071051956080333</c:v>
                </c:pt>
                <c:pt idx="1">
                  <c:v>0.0246623296339527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0.446786717872859</c:v>
                </c:pt>
                <c:pt idx="1">
                  <c:v>0.155080900232981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0.035881457330722</c:v>
                </c:pt>
                <c:pt idx="1">
                  <c:v>0.012454552657725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0.124007066220666</c:v>
                </c:pt>
                <c:pt idx="3">
                  <c:v>0.0610781072430147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0.0842838365108616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0.00864143746269235</c:v>
                </c:pt>
                <c:pt idx="1">
                  <c:v>0.00864143746269235</c:v>
                </c:pt>
                <c:pt idx="2">
                  <c:v>0.00864143746269235</c:v>
                </c:pt>
                <c:pt idx="3">
                  <c:v>0.00864143746269235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0.0640994272396234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0.00668314523576863</c:v>
                </c:pt>
                <c:pt idx="1">
                  <c:v>0.00401079610375098</c:v>
                </c:pt>
                <c:pt idx="2">
                  <c:v>0.00534697066975981</c:v>
                </c:pt>
                <c:pt idx="3">
                  <c:v>0.00668314523576863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0.029727671117939</c:v>
                </c:pt>
                <c:pt idx="3">
                  <c:v>0.029727671117939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0.230409164821672</c:v>
                </c:pt>
                <c:pt idx="1">
                  <c:v>0.230409164821672</c:v>
                </c:pt>
                <c:pt idx="2">
                  <c:v>0.230409164821672</c:v>
                </c:pt>
                <c:pt idx="3">
                  <c:v>0.230409164821672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0.324914336491963</c:v>
                </c:pt>
                <c:pt idx="2">
                  <c:v>0.450750945638135</c:v>
                </c:pt>
                <c:pt idx="3">
                  <c:v>0.41070387939795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727560"/>
        <c:axId val="-2009587720"/>
      </c:barChart>
      <c:catAx>
        <c:axId val="-200972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587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958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72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0.0304984458539647</c:v>
                </c:pt>
                <c:pt idx="1">
                  <c:v>0.0304984458539647</c:v>
                </c:pt>
                <c:pt idx="2">
                  <c:v>0.0592028654812255</c:v>
                </c:pt>
                <c:pt idx="3">
                  <c:v>0.0592028654812255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0.0966604503319995</c:v>
                </c:pt>
                <c:pt idx="1">
                  <c:v>0.0710993390484944</c:v>
                </c:pt>
                <c:pt idx="2">
                  <c:v>0.00679243182866217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0.0933361863726386</c:v>
                </c:pt>
                <c:pt idx="1">
                  <c:v>0.0686541510784251</c:v>
                </c:pt>
                <c:pt idx="2">
                  <c:v>0.00655883229289668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0.328365457446329</c:v>
                </c:pt>
                <c:pt idx="1">
                  <c:v>0.241531742409663</c:v>
                </c:pt>
                <c:pt idx="2">
                  <c:v>0.023074587144286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0.0622160378513007</c:v>
                </c:pt>
                <c:pt idx="1">
                  <c:v>0.0457634860405692</c:v>
                </c:pt>
                <c:pt idx="2">
                  <c:v>0.00437198662227341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0.167949677668376</c:v>
                </c:pt>
                <c:pt idx="3">
                  <c:v>0.0827214830306927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0.15648671037197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0.0186292628702662</c:v>
                </c:pt>
                <c:pt idx="1">
                  <c:v>0.0186292628702662</c:v>
                </c:pt>
                <c:pt idx="2">
                  <c:v>0.0186292628702662</c:v>
                </c:pt>
                <c:pt idx="3">
                  <c:v>0.0186292628702662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0.0365671114368031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0.00739575707542329</c:v>
                </c:pt>
                <c:pt idx="1">
                  <c:v>0.00443846012856923</c:v>
                </c:pt>
                <c:pt idx="2">
                  <c:v>0.00591710860199626</c:v>
                </c:pt>
                <c:pt idx="3">
                  <c:v>0.00739575707542329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0.0522674843946826</c:v>
                </c:pt>
                <c:pt idx="3">
                  <c:v>0.0522674843946826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0.276919829680232</c:v>
                </c:pt>
                <c:pt idx="1">
                  <c:v>0.276919829680232</c:v>
                </c:pt>
                <c:pt idx="2">
                  <c:v>0.276919829680232</c:v>
                </c:pt>
                <c:pt idx="3">
                  <c:v>0.276919829680232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0.292337360897257</c:v>
                </c:pt>
                <c:pt idx="3">
                  <c:v>0.349212711257002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856552"/>
        <c:axId val="-2007853240"/>
      </c:barChart>
      <c:catAx>
        <c:axId val="-2007856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853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785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856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2.06112047230019E-5</c:v>
                </c:pt>
                <c:pt idx="2">
                  <c:v>2.06112047230019E-5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0.0478179949573644</c:v>
                </c:pt>
                <c:pt idx="2">
                  <c:v>0.0478179949573644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0.00247334456676023</c:v>
                </c:pt>
                <c:pt idx="2">
                  <c:v>0.00247334456676023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0.010356718149214</c:v>
                </c:pt>
                <c:pt idx="2">
                  <c:v>0.00600033391896031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0.00857426116476878</c:v>
                </c:pt>
                <c:pt idx="2">
                  <c:v>0.00857426116476878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0.00123248017394493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0.000860779804025028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0.00300783851974655</c:v>
                </c:pt>
                <c:pt idx="2">
                  <c:v>-0.0011248826984418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0.00599122306778784</c:v>
                </c:pt>
                <c:pt idx="2">
                  <c:v>0.00183404787789423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0.00806981066273464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0.10378279565409</c:v>
                </c:pt>
                <c:pt idx="2">
                  <c:v>0.10378279565409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0.0707292703904721</c:v>
                </c:pt>
                <c:pt idx="2">
                  <c:v>0.0707292703904721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188504"/>
        <c:axId val="2082537960"/>
      </c:barChart>
      <c:catAx>
        <c:axId val="208318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3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53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88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7" sqref="Q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6.1898688845401168E-3</v>
      </c>
      <c r="J6" s="24">
        <f t="shared" ref="J6:J13" si="3">IF(I$32&lt;=1+I$131,I6,B6*H6+J$33*(I6-B6*H6))</f>
        <v>6.1898688845401168E-3</v>
      </c>
      <c r="K6" s="22">
        <f t="shared" ref="K6:K31" si="4">B6</f>
        <v>1.2379737769080234E-2</v>
      </c>
      <c r="L6" s="22">
        <f t="shared" ref="L6:L29" si="5">IF(K6="","",K6*H6)</f>
        <v>6.1898688845401168E-3</v>
      </c>
      <c r="M6" s="177">
        <f t="shared" ref="M6:M31" si="6">J6</f>
        <v>6.1898688845401168E-3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2.4759475538160467E-2</v>
      </c>
      <c r="Z6" s="156">
        <f>Poor!Z6</f>
        <v>0.17</v>
      </c>
      <c r="AA6" s="121">
        <f>$M6*Z6*4</f>
        <v>4.2091108414872794E-3</v>
      </c>
      <c r="AB6" s="156">
        <f>Poor!AB6</f>
        <v>0.17</v>
      </c>
      <c r="AC6" s="121">
        <f t="shared" ref="AC6:AC29" si="7">$M6*AB6*4</f>
        <v>4.2091108414872794E-3</v>
      </c>
      <c r="AD6" s="156">
        <f>Poor!AD6</f>
        <v>0.33</v>
      </c>
      <c r="AE6" s="121">
        <f t="shared" ref="AE6:AE29" si="8">$M6*AD6*4</f>
        <v>8.1706269275929541E-3</v>
      </c>
      <c r="AF6" s="122">
        <f>1-SUM(Z6,AB6,AD6)</f>
        <v>0.32999999999999996</v>
      </c>
      <c r="AG6" s="121">
        <f>$M6*AF6*4</f>
        <v>8.1706269275929524E-3</v>
      </c>
      <c r="AH6" s="123">
        <f>SUM(Z6,AB6,AD6,AF6)</f>
        <v>1</v>
      </c>
      <c r="AI6" s="183">
        <f>SUM(AA6,AC6,AE6,AG6)/4</f>
        <v>6.1898688845401159E-3</v>
      </c>
      <c r="AJ6" s="120">
        <f>(AA6+AC6)/2</f>
        <v>4.2091108414872794E-3</v>
      </c>
      <c r="AK6" s="119">
        <f>(AE6+AG6)/2</f>
        <v>8.1706269275929541E-3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1.2402027219355987E-3</v>
      </c>
      <c r="J7" s="24">
        <f t="shared" si="3"/>
        <v>1.2402027219355987E-3</v>
      </c>
      <c r="K7" s="22">
        <f t="shared" si="4"/>
        <v>2.4804054438711974E-3</v>
      </c>
      <c r="L7" s="22">
        <f t="shared" si="5"/>
        <v>1.2402027219355987E-3</v>
      </c>
      <c r="M7" s="177">
        <f t="shared" si="6"/>
        <v>1.2402027219355987E-3</v>
      </c>
      <c r="N7" s="228">
        <v>3</v>
      </c>
      <c r="O7" s="2"/>
      <c r="P7" s="22"/>
      <c r="Q7" s="59" t="s">
        <v>194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3811.9224627611393</v>
      </c>
      <c r="T7" s="221">
        <f>IF($B$81=0,0,(SUMIF($N$6:$N$28,$U7,M$6:M$28)+SUMIF($N$91:$N$118,$U7,M$91:M$118))*$I$83*Poor!$B$81/$B$81)</f>
        <v>3890.9032856411359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4.9608108877423947E-3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4.9608108877423947E-3</v>
      </c>
      <c r="AH7" s="123">
        <f t="shared" ref="AH7:AH30" si="12">SUM(Z7,AB7,AD7,AF7)</f>
        <v>1</v>
      </c>
      <c r="AI7" s="183">
        <f t="shared" ref="AI7:AI30" si="13">SUM(AA7,AC7,AE7,AG7)/4</f>
        <v>1.2402027219355987E-3</v>
      </c>
      <c r="AJ7" s="120">
        <f t="shared" ref="AJ7:AJ31" si="14">(AA7+AC7)/2</f>
        <v>0</v>
      </c>
      <c r="AK7" s="119">
        <f t="shared" ref="AK7:AK31" si="15">(AE7+AG7)/2</f>
        <v>2.4804054438711974E-3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4.6064729164548759E-3</v>
      </c>
      <c r="J8" s="24">
        <f t="shared" si="3"/>
        <v>4.6064729164548759E-3</v>
      </c>
      <c r="K8" s="22">
        <f t="shared" si="4"/>
        <v>9.2129458329097517E-3</v>
      </c>
      <c r="L8" s="22">
        <f t="shared" si="5"/>
        <v>4.6064729164548759E-3</v>
      </c>
      <c r="M8" s="223">
        <f t="shared" si="6"/>
        <v>4.6064729164548759E-3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283.65714285714284</v>
      </c>
      <c r="T8" s="221">
        <f>IF($B$81=0,0,(SUMIF($N$6:$N$28,$U8,M$6:M$28)+SUMIF($N$91:$N$118,$U8,M$91:M$118))*$I$83*Poor!$B$81/$B$81)</f>
        <v>54.857142857142883</v>
      </c>
      <c r="U8" s="222">
        <v>2</v>
      </c>
      <c r="V8" s="56"/>
      <c r="W8" s="115"/>
      <c r="X8" s="118">
        <f>Poor!X8</f>
        <v>1</v>
      </c>
      <c r="Y8" s="183">
        <f t="shared" si="9"/>
        <v>1.8425891665819503E-2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1.8425891665819503E-2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4.6064729164548759E-3</v>
      </c>
      <c r="AJ8" s="120">
        <f t="shared" si="14"/>
        <v>9.2129458329097517E-3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2.5833333333333337E-2</v>
      </c>
      <c r="J9" s="24">
        <f t="shared" si="3"/>
        <v>2.5833333333333337E-2</v>
      </c>
      <c r="K9" s="22">
        <f t="shared" si="4"/>
        <v>2.5833333333333337E-2</v>
      </c>
      <c r="L9" s="22">
        <f t="shared" si="5"/>
        <v>2.5833333333333337E-2</v>
      </c>
      <c r="M9" s="223">
        <f t="shared" si="6"/>
        <v>2.5833333333333337E-2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246.48301097974294</v>
      </c>
      <c r="T9" s="221">
        <f>IF($B$81=0,0,(SUMIF($N$6:$N$28,$U9,M$6:M$28)+SUMIF($N$91:$N$118,$U9,M$91:M$118))*$I$83*Poor!$B$81/$B$81)</f>
        <v>246.48301097974294</v>
      </c>
      <c r="U9" s="222">
        <v>3</v>
      </c>
      <c r="V9" s="56"/>
      <c r="W9" s="115"/>
      <c r="X9" s="118">
        <f>Poor!X9</f>
        <v>1</v>
      </c>
      <c r="Y9" s="183">
        <f t="shared" si="9"/>
        <v>0.10333333333333335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0.10333333333333335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2.5833333333333337E-2</v>
      </c>
      <c r="AJ9" s="120">
        <f t="shared" si="14"/>
        <v>5.1666666666666673E-2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7.373129493849595E-2</v>
      </c>
      <c r="J10" s="24">
        <f t="shared" si="3"/>
        <v>7.373129493849595E-2</v>
      </c>
      <c r="K10" s="22">
        <f t="shared" si="4"/>
        <v>6.7643389851831145E-2</v>
      </c>
      <c r="L10" s="22">
        <f t="shared" si="5"/>
        <v>7.373129493849595E-2</v>
      </c>
      <c r="M10" s="223">
        <f t="shared" si="6"/>
        <v>7.373129493849595E-2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0.2949251797539838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0.2949251797539838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7.373129493849595E-2</v>
      </c>
      <c r="AJ10" s="120">
        <f t="shared" si="14"/>
        <v>0.1474625898769919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385.88408163265302</v>
      </c>
      <c r="T11" s="221">
        <f>IF($B$81=0,0,(SUMIF($N$6:$N$28,$U11,M$6:M$28)+SUMIF($N$91:$N$118,$U11,M$91:M$118))*$I$83*Poor!$B$81/$B$81)</f>
        <v>385.88408163265302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1</v>
      </c>
      <c r="H12" s="24">
        <f t="shared" si="1"/>
        <v>1</v>
      </c>
      <c r="I12" s="22">
        <f t="shared" si="2"/>
        <v>2.3162374934556636E-2</v>
      </c>
      <c r="J12" s="24">
        <f t="shared" si="3"/>
        <v>2.3162374934556636E-2</v>
      </c>
      <c r="K12" s="22">
        <f t="shared" si="4"/>
        <v>2.3162374934556636E-2</v>
      </c>
      <c r="L12" s="22">
        <f t="shared" si="5"/>
        <v>2.3162374934556636E-2</v>
      </c>
      <c r="M12" s="223">
        <f t="shared" si="6"/>
        <v>2.3162374934556636E-2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645.11762024323525</v>
      </c>
      <c r="U12" s="222">
        <v>6</v>
      </c>
      <c r="V12" s="56"/>
      <c r="W12" s="117"/>
      <c r="X12" s="118">
        <v>1</v>
      </c>
      <c r="Y12" s="183">
        <f t="shared" si="9"/>
        <v>9.2649499738226546E-2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6.2075164824611791E-2</v>
      </c>
      <c r="AF12" s="122">
        <f>1-SUM(Z12,AB12,AD12)</f>
        <v>0.32999999999999996</v>
      </c>
      <c r="AG12" s="121">
        <f>$M12*AF12*4</f>
        <v>3.0574334913614755E-2</v>
      </c>
      <c r="AH12" s="123">
        <f t="shared" si="12"/>
        <v>1</v>
      </c>
      <c r="AI12" s="183">
        <f t="shared" si="13"/>
        <v>2.3162374934556636E-2</v>
      </c>
      <c r="AJ12" s="120">
        <f t="shared" si="14"/>
        <v>0</v>
      </c>
      <c r="AK12" s="119">
        <f t="shared" si="15"/>
        <v>4.6324749869113273E-2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1</v>
      </c>
      <c r="H13" s="24">
        <f t="shared" si="1"/>
        <v>1</v>
      </c>
      <c r="I13" s="22">
        <f t="shared" si="2"/>
        <v>8.9032812222024551E-3</v>
      </c>
      <c r="J13" s="24">
        <f t="shared" si="3"/>
        <v>8.9032812222024551E-3</v>
      </c>
      <c r="K13" s="22">
        <f t="shared" si="4"/>
        <v>7.1226249777619644E-3</v>
      </c>
      <c r="L13" s="22">
        <f t="shared" si="5"/>
        <v>7.1226249777619644E-3</v>
      </c>
      <c r="M13" s="224">
        <f t="shared" si="6"/>
        <v>8.9032812222024551E-3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6573.8308531625617</v>
      </c>
      <c r="T13" s="221">
        <f>IF($B$81=0,0,(SUMIF($N$6:$N$28,$U13,M$6:M$28)+SUMIF($N$91:$N$118,$U13,M$91:M$118))*$I$83*Poor!$B$81/$B$81)</f>
        <v>6573.8308531625617</v>
      </c>
      <c r="U13" s="222">
        <v>7</v>
      </c>
      <c r="V13" s="56"/>
      <c r="W13" s="110"/>
      <c r="X13" s="118"/>
      <c r="Y13" s="183">
        <f t="shared" si="9"/>
        <v>3.561312488880982E-2</v>
      </c>
      <c r="Z13" s="156">
        <f>Poor!Z13</f>
        <v>1</v>
      </c>
      <c r="AA13" s="121">
        <f>$M13*Z13*4</f>
        <v>3.561312488880982E-2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8.9032812222024551E-3</v>
      </c>
      <c r="AJ13" s="120">
        <f t="shared" si="14"/>
        <v>1.780656244440491E-2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1</v>
      </c>
      <c r="F14" s="22"/>
      <c r="H14" s="24">
        <f t="shared" si="1"/>
        <v>1</v>
      </c>
      <c r="I14" s="22">
        <f t="shared" si="2"/>
        <v>1.2710370628637507E-2</v>
      </c>
      <c r="J14" s="24">
        <f>IF(I$32&lt;=1+I131,I14,B14*H14+J$33*(I14-B14*H14))</f>
        <v>1.2710370628637507E-2</v>
      </c>
      <c r="K14" s="22">
        <f t="shared" si="4"/>
        <v>1.1820042506417262E-2</v>
      </c>
      <c r="L14" s="22">
        <f t="shared" si="5"/>
        <v>1.1820042506417262E-2</v>
      </c>
      <c r="M14" s="224">
        <f t="shared" si="6"/>
        <v>1.2710370628637507E-2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5.0841482514550028E-2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5.0841482514550028E-2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1.2710370628637507E-2</v>
      </c>
      <c r="AJ14" s="120">
        <f t="shared" si="14"/>
        <v>2.5420741257275014E-2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1</v>
      </c>
      <c r="F15" s="22"/>
      <c r="H15" s="24">
        <f t="shared" si="1"/>
        <v>1</v>
      </c>
      <c r="I15" s="22">
        <f t="shared" si="2"/>
        <v>3.3373769029405036E-3</v>
      </c>
      <c r="J15" s="24">
        <f t="shared" ref="J15:J25" si="17">IF(I$32&lt;=1+I131,I15,B15*H15+J$33*(I15-B15*H15))</f>
        <v>3.3373769029405036E-3</v>
      </c>
      <c r="K15" s="22">
        <f t="shared" si="4"/>
        <v>3.278535059852085E-3</v>
      </c>
      <c r="L15" s="22">
        <f t="shared" si="5"/>
        <v>3.278535059852085E-3</v>
      </c>
      <c r="M15" s="225">
        <f t="shared" si="6"/>
        <v>3.3373769029405036E-3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1.3349507611762014E-2</v>
      </c>
      <c r="Z15" s="156">
        <f>Poor!Z15</f>
        <v>0.25</v>
      </c>
      <c r="AA15" s="121">
        <f t="shared" si="16"/>
        <v>3.3373769029405036E-3</v>
      </c>
      <c r="AB15" s="156">
        <f>Poor!AB15</f>
        <v>0.25</v>
      </c>
      <c r="AC15" s="121">
        <f t="shared" si="7"/>
        <v>3.3373769029405036E-3</v>
      </c>
      <c r="AD15" s="156">
        <f>Poor!AD15</f>
        <v>0.25</v>
      </c>
      <c r="AE15" s="121">
        <f t="shared" si="8"/>
        <v>3.3373769029405036E-3</v>
      </c>
      <c r="AF15" s="122">
        <f t="shared" si="10"/>
        <v>0.25</v>
      </c>
      <c r="AG15" s="121">
        <f t="shared" si="11"/>
        <v>3.3373769029405036E-3</v>
      </c>
      <c r="AH15" s="123">
        <f t="shared" si="12"/>
        <v>1</v>
      </c>
      <c r="AI15" s="183">
        <f t="shared" si="13"/>
        <v>3.3373769029405036E-3</v>
      </c>
      <c r="AJ15" s="120">
        <f t="shared" si="14"/>
        <v>3.3373769029405036E-3</v>
      </c>
      <c r="AK15" s="119">
        <f t="shared" si="15"/>
        <v>3.3373769029405036E-3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6.3857994891605473E-3</v>
      </c>
      <c r="J16" s="24">
        <f t="shared" si="17"/>
        <v>6.3857994891605473E-3</v>
      </c>
      <c r="K16" s="22">
        <f t="shared" ref="K16:K25" si="21">B16</f>
        <v>5.4562162299540001E-3</v>
      </c>
      <c r="L16" s="22">
        <f t="shared" ref="L16:L25" si="22">IF(K16="","",K16*H16)</f>
        <v>5.4562162299540001E-3</v>
      </c>
      <c r="M16" s="225">
        <f t="shared" ref="M16:M25" si="23">J16</f>
        <v>6.3857994891605473E-3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2294.5959183673472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1</v>
      </c>
      <c r="F17" s="22"/>
      <c r="H17" s="24">
        <f t="shared" si="19"/>
        <v>1</v>
      </c>
      <c r="I17" s="22">
        <f t="shared" si="20"/>
        <v>2.5333962690929422E-3</v>
      </c>
      <c r="J17" s="24">
        <f t="shared" si="17"/>
        <v>2.5333962690929422E-3</v>
      </c>
      <c r="K17" s="22">
        <f t="shared" si="21"/>
        <v>2.5333962690929422E-3</v>
      </c>
      <c r="L17" s="22">
        <f t="shared" si="22"/>
        <v>2.5333962690929422E-3</v>
      </c>
      <c r="M17" s="225">
        <f t="shared" si="23"/>
        <v>2.5333962690929422E-3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1</v>
      </c>
      <c r="F18" s="22"/>
      <c r="H18" s="24">
        <f t="shared" si="19"/>
        <v>1</v>
      </c>
      <c r="I18" s="22">
        <f t="shared" si="20"/>
        <v>3.7172669631738127E-3</v>
      </c>
      <c r="J18" s="24">
        <f t="shared" si="17"/>
        <v>3.7172669631738127E-3</v>
      </c>
      <c r="K18" s="22">
        <f t="shared" si="21"/>
        <v>3.6985870129870131E-3</v>
      </c>
      <c r="L18" s="22">
        <f t="shared" si="22"/>
        <v>3.6985870129870131E-3</v>
      </c>
      <c r="M18" s="225">
        <f t="shared" si="23"/>
        <v>3.7172669631738127E-3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1</v>
      </c>
      <c r="F19" s="22"/>
      <c r="H19" s="24">
        <f t="shared" si="19"/>
        <v>1</v>
      </c>
      <c r="I19" s="22">
        <f t="shared" si="20"/>
        <v>1.7872329888555669E-2</v>
      </c>
      <c r="J19" s="24">
        <f t="shared" si="17"/>
        <v>1.7872329888555669E-2</v>
      </c>
      <c r="K19" s="22">
        <f t="shared" si="21"/>
        <v>1.7872329888555669E-2</v>
      </c>
      <c r="L19" s="22">
        <f t="shared" si="22"/>
        <v>1.7872329888555669E-2</v>
      </c>
      <c r="M19" s="225">
        <f t="shared" si="23"/>
        <v>1.7872329888555669E-2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1</v>
      </c>
      <c r="F20" s="22"/>
      <c r="H20" s="24">
        <f t="shared" si="19"/>
        <v>1</v>
      </c>
      <c r="I20" s="22">
        <f t="shared" si="20"/>
        <v>2.9545703611457037E-3</v>
      </c>
      <c r="J20" s="24">
        <f t="shared" si="17"/>
        <v>2.9545703611457037E-3</v>
      </c>
      <c r="K20" s="22">
        <f t="shared" si="21"/>
        <v>2.9545703611457037E-3</v>
      </c>
      <c r="L20" s="22">
        <f t="shared" si="22"/>
        <v>2.9545703611457037E-3</v>
      </c>
      <c r="M20" s="225">
        <f t="shared" si="23"/>
        <v>2.9545703611457037E-3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1</v>
      </c>
      <c r="F21" s="22"/>
      <c r="H21" s="24">
        <f t="shared" si="19"/>
        <v>1</v>
      </c>
      <c r="I21" s="22">
        <f t="shared" si="20"/>
        <v>8.8637110834371112E-3</v>
      </c>
      <c r="J21" s="24">
        <f t="shared" si="17"/>
        <v>8.8637110834371112E-3</v>
      </c>
      <c r="K21" s="22">
        <f t="shared" si="21"/>
        <v>8.6849172745063156E-3</v>
      </c>
      <c r="L21" s="22">
        <f t="shared" si="22"/>
        <v>8.6849172745063156E-3</v>
      </c>
      <c r="M21" s="225">
        <f t="shared" si="23"/>
        <v>8.8637110834371112E-3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1.1627907019594887E-3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1.1627907019594887E-3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22015.117903667175</v>
      </c>
      <c r="T23" s="179">
        <f>SUM(T7:T22)</f>
        <v>22625.127489325554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1</v>
      </c>
      <c r="F24" s="22"/>
      <c r="H24" s="24">
        <f t="shared" si="19"/>
        <v>1</v>
      </c>
      <c r="I24" s="22">
        <f t="shared" si="20"/>
        <v>1.6898776908023484E-2</v>
      </c>
      <c r="J24" s="24">
        <f t="shared" si="17"/>
        <v>1.6898776908023484E-2</v>
      </c>
      <c r="K24" s="22">
        <f t="shared" si="21"/>
        <v>1.6898776908023484E-2</v>
      </c>
      <c r="L24" s="22">
        <f t="shared" si="22"/>
        <v>1.6898776908023484E-2</v>
      </c>
      <c r="M24" s="225">
        <f t="shared" si="23"/>
        <v>1.6898776908023484E-2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6.7595107632093934E-2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6.7595107632093934E-2</v>
      </c>
      <c r="AH24" s="123">
        <f t="shared" si="12"/>
        <v>1</v>
      </c>
      <c r="AI24" s="183">
        <f t="shared" si="13"/>
        <v>1.6898776908023484E-2</v>
      </c>
      <c r="AJ24" s="120">
        <f t="shared" si="14"/>
        <v>0</v>
      </c>
      <c r="AK24" s="119">
        <f t="shared" si="15"/>
        <v>3.3797553816046967E-2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0.64712844882837317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15741.503269446002</v>
      </c>
      <c r="T30" s="233">
        <f t="shared" si="24"/>
        <v>15131.493683787623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-0.34507456813048126</v>
      </c>
      <c r="AB30" s="122">
        <f>IF($Y30=0,0,AC30/($Y$30))</f>
        <v>0</v>
      </c>
      <c r="AC30" s="187">
        <f>IF(AC79*4/$I$83+SUM(AC6:AC29)&lt;1,AC79*4/$I$83,1-SUM(AC6:AC29))</f>
        <v>-0.34883771130159097</v>
      </c>
      <c r="AD30" s="122">
        <f>IF($Y30=0,0,AE30/($Y$30))</f>
        <v>0</v>
      </c>
      <c r="AE30" s="187">
        <f>IF(AE79*4/$I$83+SUM(AE6:AE29)&lt;1,AE79*4/$I$83,1-SUM(AE6:AE29))</f>
        <v>-0.34131142495937156</v>
      </c>
      <c r="AF30" s="122">
        <f>IF($Y30=0,0,AG30/($Y$30))</f>
        <v>0</v>
      </c>
      <c r="AG30" s="187">
        <f>IF(AG79*4/$I$83+SUM(AG6:AG29)&lt;1,AG79*4/$I$83,1-SUM(AG6:AG29))</f>
        <v>-0.30262631316036376</v>
      </c>
      <c r="AH30" s="123">
        <f t="shared" si="12"/>
        <v>0</v>
      </c>
      <c r="AI30" s="183">
        <f t="shared" si="13"/>
        <v>-0.33446250438795189</v>
      </c>
      <c r="AJ30" s="120">
        <f t="shared" si="14"/>
        <v>-0.34695613971603612</v>
      </c>
      <c r="AK30" s="119">
        <f t="shared" si="15"/>
        <v>-0.32196886905986766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0.44315837960899929</v>
      </c>
      <c r="K31" s="22" t="str">
        <f t="shared" si="4"/>
        <v/>
      </c>
      <c r="L31" s="22">
        <f>(1-SUM(L6:L30))</f>
        <v>0.44298867648434048</v>
      </c>
      <c r="M31" s="240">
        <f t="shared" si="6"/>
        <v>0.44315837960899929</v>
      </c>
      <c r="N31" s="167">
        <f>M31*I83</f>
        <v>7940.5792166083575</v>
      </c>
      <c r="P31" s="22"/>
      <c r="Q31" s="237" t="s">
        <v>142</v>
      </c>
      <c r="R31" s="233">
        <f t="shared" si="24"/>
        <v>0</v>
      </c>
      <c r="S31" s="233">
        <f t="shared" si="24"/>
        <v>34181.09837148682</v>
      </c>
      <c r="T31" s="233">
        <f>IF(T25&gt;T$23,T25-T$23,0)</f>
        <v>33571.08878582844</v>
      </c>
      <c r="V31" s="56"/>
      <c r="W31" s="129" t="s">
        <v>84</v>
      </c>
      <c r="X31" s="130"/>
      <c r="Y31" s="121">
        <f>M31*4</f>
        <v>1.7726335184359971</v>
      </c>
      <c r="Z31" s="131"/>
      <c r="AA31" s="132">
        <f>1-AA32+IF($Y32&lt;0,$Y32/4,0)</f>
        <v>0.54835026904869699</v>
      </c>
      <c r="AB31" s="131"/>
      <c r="AC31" s="133">
        <f>1-AC32+IF($Y32&lt;0,$Y32/4,0)</f>
        <v>0.9539478045526828</v>
      </c>
      <c r="AD31" s="134"/>
      <c r="AE31" s="133">
        <f>1-AE32+IF($Y32&lt;0,$Y32/4,0)</f>
        <v>0.93103714721155617</v>
      </c>
      <c r="AF31" s="134"/>
      <c r="AG31" s="133">
        <f>1-AG32+IF($Y32&lt;0,$Y32/4,0)</f>
        <v>0.85110777420096939</v>
      </c>
      <c r="AH31" s="123"/>
      <c r="AI31" s="182">
        <f>SUM(AA31,AC31,AE31,AG31)/4</f>
        <v>0.82111074875347634</v>
      </c>
      <c r="AJ31" s="135">
        <f t="shared" si="14"/>
        <v>0.7511490368006899</v>
      </c>
      <c r="AK31" s="136">
        <f t="shared" si="15"/>
        <v>0.89107246070626278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0.55684162039100071</v>
      </c>
      <c r="J32" s="17"/>
      <c r="L32" s="22">
        <f>SUM(L6:L30)</f>
        <v>0.55701132351565952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68255.260004139855</v>
      </c>
      <c r="T32" s="233">
        <f t="shared" si="24"/>
        <v>67645.250418481475</v>
      </c>
      <c r="V32" s="56"/>
      <c r="W32" s="110"/>
      <c r="X32" s="118"/>
      <c r="Y32" s="115">
        <f>SUM(Y6:Y31)</f>
        <v>3.8260405409738993</v>
      </c>
      <c r="Z32" s="137"/>
      <c r="AA32" s="138">
        <f>SUM(AA6:AA30)</f>
        <v>0.45164973095130295</v>
      </c>
      <c r="AB32" s="137"/>
      <c r="AC32" s="139">
        <f>SUM(AC6:AC30)</f>
        <v>4.6052195447317257E-2</v>
      </c>
      <c r="AD32" s="137"/>
      <c r="AE32" s="139">
        <f>SUM(AE6:AE30)</f>
        <v>6.8962852788443774E-2</v>
      </c>
      <c r="AF32" s="137"/>
      <c r="AG32" s="139">
        <f>SUM(AG6:AG30)</f>
        <v>0.14889222579903061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-3032.9162803846652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21434.123470991541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190.14857142857142</v>
      </c>
      <c r="J41" s="38">
        <f t="shared" si="32"/>
        <v>190.14857142857144</v>
      </c>
      <c r="K41" s="40">
        <f t="shared" si="33"/>
        <v>6.2664515607354894E-3</v>
      </c>
      <c r="L41" s="22">
        <f t="shared" si="34"/>
        <v>5.9155302733343018E-3</v>
      </c>
      <c r="M41" s="24">
        <f t="shared" si="35"/>
        <v>5.9155302733343027E-3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190.14857142857144</v>
      </c>
      <c r="AH41" s="123">
        <f t="shared" si="37"/>
        <v>1</v>
      </c>
      <c r="AI41" s="112">
        <f t="shared" si="37"/>
        <v>190.14857142857144</v>
      </c>
      <c r="AJ41" s="148">
        <f t="shared" si="38"/>
        <v>0</v>
      </c>
      <c r="AK41" s="147">
        <f t="shared" si="39"/>
        <v>190.14857142857144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67.428571428571431</v>
      </c>
      <c r="J42" s="38">
        <f t="shared" si="32"/>
        <v>67.428571428571431</v>
      </c>
      <c r="K42" s="40">
        <f t="shared" si="33"/>
        <v>2.2221459435232235E-3</v>
      </c>
      <c r="L42" s="22">
        <f t="shared" si="34"/>
        <v>2.0977057706859231E-3</v>
      </c>
      <c r="M42" s="24">
        <f t="shared" si="35"/>
        <v>2.0977057706859231E-3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16.857142857142858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33.714285714285715</v>
      </c>
      <c r="AF42" s="122">
        <f t="shared" si="29"/>
        <v>0.25</v>
      </c>
      <c r="AG42" s="147">
        <f t="shared" si="36"/>
        <v>16.857142857142858</v>
      </c>
      <c r="AH42" s="123">
        <f t="shared" si="37"/>
        <v>1</v>
      </c>
      <c r="AI42" s="112">
        <f t="shared" si="37"/>
        <v>67.428571428571431</v>
      </c>
      <c r="AJ42" s="148">
        <f t="shared" si="38"/>
        <v>16.857142857142858</v>
      </c>
      <c r="AK42" s="147">
        <f t="shared" si="39"/>
        <v>50.571428571428569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3.733205185119015E-4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1.8106045147827223E-3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1.1821816419543547E-3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48.000000000000007</v>
      </c>
      <c r="J52" s="38">
        <f t="shared" si="32"/>
        <v>48.000000000000021</v>
      </c>
      <c r="K52" s="40">
        <f t="shared" si="33"/>
        <v>3.1110043209325129E-3</v>
      </c>
      <c r="L52" s="22">
        <f t="shared" si="34"/>
        <v>4.355406049305518E-3</v>
      </c>
      <c r="M52" s="24">
        <f t="shared" si="35"/>
        <v>1.4932820740476069E-3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12.000000000000005</v>
      </c>
      <c r="AB52" s="156">
        <f>Poor!AB57</f>
        <v>0.25</v>
      </c>
      <c r="AC52" s="147">
        <f t="shared" si="41"/>
        <v>12.000000000000005</v>
      </c>
      <c r="AD52" s="156">
        <f>Poor!AD57</f>
        <v>0.25</v>
      </c>
      <c r="AE52" s="147">
        <f t="shared" si="42"/>
        <v>12.000000000000005</v>
      </c>
      <c r="AF52" s="122">
        <f t="shared" si="29"/>
        <v>0.25</v>
      </c>
      <c r="AG52" s="147">
        <f t="shared" si="36"/>
        <v>12.000000000000005</v>
      </c>
      <c r="AH52" s="123">
        <f t="shared" si="37"/>
        <v>1</v>
      </c>
      <c r="AI52" s="112">
        <f t="shared" si="37"/>
        <v>48.000000000000021</v>
      </c>
      <c r="AJ52" s="148">
        <f t="shared" si="38"/>
        <v>24.000000000000011</v>
      </c>
      <c r="AK52" s="147">
        <f t="shared" si="39"/>
        <v>24.000000000000011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543.642857142857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1.6912752776155247E-2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1773.6214285714289</v>
      </c>
      <c r="J55" s="38">
        <f t="shared" si="32"/>
        <v>1773.6214285714289</v>
      </c>
      <c r="K55" s="40">
        <f t="shared" si="33"/>
        <v>4.9709404756614506E-2</v>
      </c>
      <c r="L55" s="22">
        <f t="shared" si="34"/>
        <v>5.517743927984211E-2</v>
      </c>
      <c r="M55" s="24">
        <f t="shared" si="35"/>
        <v>5.517743927984211E-2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1065.6000000000001</v>
      </c>
      <c r="J56" s="38">
        <f t="shared" si="32"/>
        <v>1065.6000000000001</v>
      </c>
      <c r="K56" s="40">
        <f t="shared" si="33"/>
        <v>2.9865641480952124E-2</v>
      </c>
      <c r="L56" s="22">
        <f t="shared" si="34"/>
        <v>3.3150862043856859E-2</v>
      </c>
      <c r="M56" s="24">
        <f t="shared" si="35"/>
        <v>3.3150862043856859E-2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2610.0857142857149</v>
      </c>
      <c r="J57" s="38">
        <f t="shared" si="32"/>
        <v>2610.0857142857149</v>
      </c>
      <c r="K57" s="40">
        <f t="shared" si="33"/>
        <v>7.3153044460784522E-2</v>
      </c>
      <c r="L57" s="22">
        <f t="shared" si="34"/>
        <v>8.1199879351470827E-2</v>
      </c>
      <c r="M57" s="24">
        <f t="shared" si="35"/>
        <v>8.1199879351470827E-2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2007.7714285714287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6.2461855897305588E-2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501.94285714285718</v>
      </c>
      <c r="AB59" s="156">
        <f>Poor!AB59</f>
        <v>0.25</v>
      </c>
      <c r="AC59" s="147">
        <f t="shared" si="41"/>
        <v>501.94285714285718</v>
      </c>
      <c r="AD59" s="156">
        <f>Poor!AD59</f>
        <v>0.25</v>
      </c>
      <c r="AE59" s="147">
        <f t="shared" si="42"/>
        <v>501.94285714285718</v>
      </c>
      <c r="AF59" s="122">
        <f t="shared" si="29"/>
        <v>0.25</v>
      </c>
      <c r="AG59" s="147">
        <f t="shared" si="36"/>
        <v>501.94285714285718</v>
      </c>
      <c r="AH59" s="123">
        <f t="shared" ref="AH59:AI64" si="43">SUM(Z59,AB59,AD59,AF59)</f>
        <v>1</v>
      </c>
      <c r="AI59" s="112">
        <f t="shared" si="43"/>
        <v>2007.7714285714287</v>
      </c>
      <c r="AJ59" s="148">
        <f t="shared" si="38"/>
        <v>1003.8857142857144</v>
      </c>
      <c r="AK59" s="147">
        <f t="shared" si="39"/>
        <v>1003.8857142857144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0.61036448597075088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13845.34142857143</v>
      </c>
      <c r="J65" s="39">
        <f>SUM(J37:J64)</f>
        <v>13845.34142857143</v>
      </c>
      <c r="K65" s="40">
        <f>SUM(K37:K64)</f>
        <v>0.99999999999999989</v>
      </c>
      <c r="L65" s="22">
        <f>SUM(L37:L64)</f>
        <v>0.41650432504784696</v>
      </c>
      <c r="M65" s="24">
        <f>SUM(M37:M64)</f>
        <v>0.43072917009071648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1915.5607142857145</v>
      </c>
      <c r="AB65" s="137"/>
      <c r="AC65" s="153">
        <f>SUM(AC37:AC64)</f>
        <v>1898.7035714285716</v>
      </c>
      <c r="AD65" s="137"/>
      <c r="AE65" s="153">
        <f>SUM(AE37:AE64)</f>
        <v>1932.4178571428574</v>
      </c>
      <c r="AF65" s="137"/>
      <c r="AG65" s="153">
        <f>SUM(AG37:AG64)</f>
        <v>2105.7092857142861</v>
      </c>
      <c r="AH65" s="137"/>
      <c r="AI65" s="153">
        <f>SUM(AI37:AI64)</f>
        <v>7852.3914285714291</v>
      </c>
      <c r="AJ65" s="153">
        <f>SUM(AJ37:AJ64)</f>
        <v>3814.2642857142864</v>
      </c>
      <c r="AK65" s="153">
        <f>SUM(AK37:AK64)</f>
        <v>4038.1271428571436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13845.34142857143</v>
      </c>
      <c r="J70" s="51">
        <f t="shared" ref="J70:J77" si="44">J124*I$83</f>
        <v>13845.34142857143</v>
      </c>
      <c r="K70" s="40">
        <f>B70/B$76</f>
        <v>0.42542582292049425</v>
      </c>
      <c r="L70" s="22">
        <f t="shared" ref="L70:L74" si="45">(L124*G$37*F$9/F$7)/B$130</f>
        <v>0.41650432504784696</v>
      </c>
      <c r="M70" s="24">
        <f>J70/B$76</f>
        <v>0.43072917009071648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3461.3353571428574</v>
      </c>
      <c r="AB70" s="156">
        <f>Poor!AB70</f>
        <v>0.25</v>
      </c>
      <c r="AC70" s="147">
        <f>$J70*AB70</f>
        <v>3461.3353571428574</v>
      </c>
      <c r="AD70" s="156">
        <f>Poor!AD70</f>
        <v>0.25</v>
      </c>
      <c r="AE70" s="147">
        <f>$J70*AD70</f>
        <v>3461.3353571428574</v>
      </c>
      <c r="AF70" s="156">
        <f>Poor!AF70</f>
        <v>0.25</v>
      </c>
      <c r="AG70" s="147">
        <f>$J70*AF70</f>
        <v>3461.3353571428574</v>
      </c>
      <c r="AH70" s="155">
        <f>SUM(Z70,AB70,AD70,AF70)</f>
        <v>1</v>
      </c>
      <c r="AI70" s="147">
        <f>SUM(AA70,AC70,AE70,AG70)</f>
        <v>13845.34142857143</v>
      </c>
      <c r="AJ70" s="148">
        <f>(AA70+AC70)</f>
        <v>6922.6707142857149</v>
      </c>
      <c r="AK70" s="147">
        <f>(AE70+AG70)</f>
        <v>6922.6707142857149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0.42538095367676371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0.2186252804617024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-1545.7746428571429</v>
      </c>
      <c r="AB74" s="156"/>
      <c r="AC74" s="147">
        <f>AC30*$I$83/4</f>
        <v>-1562.6317857142858</v>
      </c>
      <c r="AD74" s="156"/>
      <c r="AE74" s="147">
        <f>AE30*$I$83/4</f>
        <v>-1528.9175</v>
      </c>
      <c r="AF74" s="156"/>
      <c r="AG74" s="147">
        <f>AG30*$I$83/4</f>
        <v>-1355.6260714285713</v>
      </c>
      <c r="AH74" s="155"/>
      <c r="AI74" s="147">
        <f>SUM(AA74,AC74,AE74,AG74)</f>
        <v>-5992.9499999999989</v>
      </c>
      <c r="AJ74" s="148">
        <f>(AA74+AC74)</f>
        <v>-3108.4064285714285</v>
      </c>
      <c r="AK74" s="147">
        <f>(AE74+AG74)</f>
        <v>-2884.5435714285713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13845.34142857143</v>
      </c>
      <c r="J76" s="51">
        <f t="shared" si="44"/>
        <v>13845.34142857143</v>
      </c>
      <c r="K76" s="40">
        <f>SUM(K70:K75)</f>
        <v>1.8893594673001592</v>
      </c>
      <c r="L76" s="22">
        <f>SUM(L70:L75)</f>
        <v>0.41650432504784696</v>
      </c>
      <c r="M76" s="24">
        <f>SUM(M70:M75)</f>
        <v>0.43072917009071648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1915.5607142857145</v>
      </c>
      <c r="AB76" s="137"/>
      <c r="AC76" s="153">
        <f>AC65</f>
        <v>1898.7035714285716</v>
      </c>
      <c r="AD76" s="137"/>
      <c r="AE76" s="153">
        <f>AE65</f>
        <v>1932.4178571428574</v>
      </c>
      <c r="AF76" s="137"/>
      <c r="AG76" s="153">
        <f>AG65</f>
        <v>2105.7092857142861</v>
      </c>
      <c r="AH76" s="137"/>
      <c r="AI76" s="153">
        <f>SUM(AA76,AC76,AE76,AG76)</f>
        <v>7852.39142857143</v>
      </c>
      <c r="AJ76" s="154">
        <f>SUM(AA76,AC76)</f>
        <v>3814.2642857142864</v>
      </c>
      <c r="AK76" s="154">
        <f>SUM(AE76,AG76)</f>
        <v>4038.1271428571436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21434.123470991541</v>
      </c>
      <c r="J77" s="100">
        <f t="shared" si="44"/>
        <v>21434.123470991541</v>
      </c>
      <c r="K77" s="40"/>
      <c r="L77" s="22">
        <f>-(L131*G$37*F$9/F$7)/B$130</f>
        <v>-0.66681650733655673</v>
      </c>
      <c r="M77" s="24">
        <f>-J77/B$76</f>
        <v>-0.66681650733655673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2456.3558708240112</v>
      </c>
      <c r="AB77" s="112"/>
      <c r="AC77" s="111">
        <f>AC31*$I$83/4</f>
        <v>4273.2454462688784</v>
      </c>
      <c r="AD77" s="112"/>
      <c r="AE77" s="111">
        <f>AE31*$I$83/4</f>
        <v>4170.6162859660208</v>
      </c>
      <c r="AF77" s="112"/>
      <c r="AG77" s="111">
        <f>AG31*$I$83/4</f>
        <v>3812.5696217664249</v>
      </c>
      <c r="AH77" s="110"/>
      <c r="AI77" s="154">
        <f>SUM(AA77,AC77,AE77,AG77)</f>
        <v>14712.787224825335</v>
      </c>
      <c r="AJ77" s="153">
        <f>SUM(AA77,AC77)</f>
        <v>6729.6013170928891</v>
      </c>
      <c r="AK77" s="160">
        <f>SUM(AE77,AG77)</f>
        <v>7983.1859077324461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-1545.7746428571429</v>
      </c>
      <c r="AB79" s="112"/>
      <c r="AC79" s="112">
        <f>AA79-AA74+AC65-AC70</f>
        <v>-1562.6317857142858</v>
      </c>
      <c r="AD79" s="112"/>
      <c r="AE79" s="112">
        <f>AC79-AC74+AE65-AE70</f>
        <v>-1528.9175</v>
      </c>
      <c r="AF79" s="112"/>
      <c r="AG79" s="112">
        <f>AE79-AE74+AG65-AG70</f>
        <v>-1355.6260714285713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0.57212121212121214</v>
      </c>
      <c r="I95" s="22">
        <f t="shared" si="54"/>
        <v>1.0612063742529364E-2</v>
      </c>
      <c r="J95" s="24">
        <f t="shared" si="55"/>
        <v>1.0612063742529364E-2</v>
      </c>
      <c r="K95" s="22">
        <f t="shared" si="56"/>
        <v>1.8548628363531196E-2</v>
      </c>
      <c r="L95" s="22">
        <f t="shared" si="57"/>
        <v>1.0612063742529364E-2</v>
      </c>
      <c r="M95" s="227">
        <f t="shared" si="49"/>
        <v>1.0612063742529364E-2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0.57212121212121214</v>
      </c>
      <c r="I96" s="22">
        <f t="shared" si="54"/>
        <v>3.7631431711097033E-3</v>
      </c>
      <c r="J96" s="24">
        <f t="shared" si="55"/>
        <v>3.7631431711097033E-3</v>
      </c>
      <c r="K96" s="22">
        <f t="shared" si="56"/>
        <v>6.5775277884862395E-3</v>
      </c>
      <c r="L96" s="22">
        <f t="shared" si="57"/>
        <v>3.7631431711097033E-3</v>
      </c>
      <c r="M96" s="227">
        <f t="shared" si="49"/>
        <v>3.7631431711097033E-3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0.92484848484848492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0.92484848484848492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6.6971192028223532E-4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3.2481028133688411E-3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2.1207544142270787E-3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0.84848484848484851</v>
      </c>
      <c r="I106" s="22">
        <f t="shared" si="54"/>
        <v>2.6788476811289426E-3</v>
      </c>
      <c r="J106" s="24">
        <f>IF(I$32&lt;=1+I132,I106,L106+J$33*(I106-L106))</f>
        <v>2.6788476811289426E-3</v>
      </c>
      <c r="K106" s="22">
        <f t="shared" si="56"/>
        <v>9.2085389038807364E-3</v>
      </c>
      <c r="L106" s="22">
        <f t="shared" si="57"/>
        <v>7.8133057366260791E-3</v>
      </c>
      <c r="M106" s="227">
        <f>(J106)</f>
        <v>2.6788476811289426E-3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3.0340341817071979E-2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3.0340341817071979E-2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0.67272727272727284</v>
      </c>
      <c r="I109" s="22">
        <f t="shared" si="61"/>
        <v>9.8984617731857766E-2</v>
      </c>
      <c r="J109" s="24">
        <f t="shared" si="62"/>
        <v>9.8984617731857766E-2</v>
      </c>
      <c r="K109" s="22">
        <f t="shared" si="63"/>
        <v>0.14713929662843719</v>
      </c>
      <c r="L109" s="22">
        <f t="shared" si="64"/>
        <v>9.8984617731857766E-2</v>
      </c>
      <c r="M109" s="227">
        <f t="shared" si="65"/>
        <v>9.8984617731857766E-2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0.67272727272727284</v>
      </c>
      <c r="I110" s="22">
        <f t="shared" si="61"/>
        <v>5.947041852106251E-2</v>
      </c>
      <c r="J110" s="24">
        <f t="shared" si="62"/>
        <v>5.947041852106251E-2</v>
      </c>
      <c r="K110" s="22">
        <f t="shared" si="63"/>
        <v>8.8401973477255064E-2</v>
      </c>
      <c r="L110" s="22">
        <f t="shared" si="64"/>
        <v>5.947041852106251E-2</v>
      </c>
      <c r="M110" s="227">
        <f t="shared" si="65"/>
        <v>5.947041852106251E-2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0.67272727272727284</v>
      </c>
      <c r="I111" s="22">
        <f t="shared" si="61"/>
        <v>0.14566712631795967</v>
      </c>
      <c r="J111" s="24">
        <f t="shared" si="62"/>
        <v>0.14566712631795967</v>
      </c>
      <c r="K111" s="22">
        <f t="shared" si="63"/>
        <v>0.21653221479696702</v>
      </c>
      <c r="L111" s="22">
        <f t="shared" si="64"/>
        <v>0.14566712631795967</v>
      </c>
      <c r="M111" s="227">
        <f t="shared" si="65"/>
        <v>0.14566712631795967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0.11205237157636487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0.11205237157636487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1.8066722301832363</v>
      </c>
      <c r="L115" s="22">
        <f t="shared" si="64"/>
        <v>0</v>
      </c>
      <c r="M115" s="227">
        <f t="shared" si="65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0.77269918292431339</v>
      </c>
      <c r="J119" s="24">
        <f>SUM(J91:J118)</f>
        <v>0.77269918292431339</v>
      </c>
      <c r="K119" s="22">
        <f>SUM(K91:K118)</f>
        <v>2.9599891076719906</v>
      </c>
      <c r="L119" s="22">
        <f>SUM(L91:L118)</f>
        <v>0.74718076693327351</v>
      </c>
      <c r="M119" s="57">
        <f t="shared" si="49"/>
        <v>0.77269918292431339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0.77269918292431339</v>
      </c>
      <c r="J124" s="236">
        <f>IF(SUMPRODUCT($B$124:$B124,$H$124:$H124)&lt;J$119,($B124*$H124),J$119)</f>
        <v>0.77269918292431339</v>
      </c>
      <c r="K124" s="29">
        <f>(B124)</f>
        <v>1.2592558019670561</v>
      </c>
      <c r="L124" s="29">
        <f>IF(SUMPRODUCT($B$124:$B124,$H$124:$H124)&lt;L$119,($B124*$H124),L$119)</f>
        <v>0.74718076693327351</v>
      </c>
      <c r="M124" s="239">
        <f t="shared" si="66"/>
        <v>0.77269918292431339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0.64712844882837317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0.77269918292431339</v>
      </c>
      <c r="J130" s="227">
        <f>(J119)</f>
        <v>0.77269918292431339</v>
      </c>
      <c r="K130" s="29">
        <f>(B130)</f>
        <v>2.9599891076719906</v>
      </c>
      <c r="L130" s="29">
        <f>(L119)</f>
        <v>0.74718076693327351</v>
      </c>
      <c r="M130" s="239">
        <f t="shared" si="66"/>
        <v>0.77269918292431339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1.1962239991103565</v>
      </c>
      <c r="J131" s="236">
        <f>IF(SUMPRODUCT($B124:$B125,$H124:$H125)&gt;(J119-J128),SUMPRODUCT($B124:$B125,$H124:$H125)+J128-J119,0)</f>
        <v>1.1962239991103565</v>
      </c>
      <c r="K131" s="29"/>
      <c r="L131" s="29">
        <f>IF(I131&lt;SUM(L126:L127),0,I131-(SUM(L126:L127)))</f>
        <v>1.1962239991103565</v>
      </c>
      <c r="M131" s="236">
        <f>IF(I131&lt;SUM(M126:M127),0,I131-(SUM(M126:M127)))</f>
        <v>1.1962239991103565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62" sqref="E6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1.5954779576587794E-2</v>
      </c>
      <c r="J6" s="24">
        <f t="shared" ref="J6:J13" si="3">IF(I$32&lt;=1+I$131,I6,B6*H6+J$33*(I6-B6*H6))</f>
        <v>1.5954779576587794E-2</v>
      </c>
      <c r="K6" s="22">
        <f t="shared" ref="K6:K31" si="4">B6</f>
        <v>3.1909559153175587E-2</v>
      </c>
      <c r="L6" s="22">
        <f t="shared" ref="L6:L29" si="5">IF(K6="","",K6*H6)</f>
        <v>1.5954779576587794E-2</v>
      </c>
      <c r="M6" s="223">
        <f t="shared" ref="M6:M31" si="6">J6</f>
        <v>1.5954779576587794E-2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6.3819118306351175E-2</v>
      </c>
      <c r="Z6" s="116">
        <v>0.17</v>
      </c>
      <c r="AA6" s="121">
        <f>$M6*Z6*4</f>
        <v>1.0849250112079701E-2</v>
      </c>
      <c r="AB6" s="116">
        <v>0.17</v>
      </c>
      <c r="AC6" s="121">
        <f t="shared" ref="AC6:AC29" si="7">$M6*AB6*4</f>
        <v>1.0849250112079701E-2</v>
      </c>
      <c r="AD6" s="116">
        <v>0.33</v>
      </c>
      <c r="AE6" s="121">
        <f t="shared" ref="AE6:AE29" si="8">$M6*AD6*4</f>
        <v>2.106030904109589E-2</v>
      </c>
      <c r="AF6" s="122">
        <f>1-SUM(Z6,AB6,AD6)</f>
        <v>0.32999999999999996</v>
      </c>
      <c r="AG6" s="121">
        <f>$M6*AF6*4</f>
        <v>2.1060309041095886E-2</v>
      </c>
      <c r="AH6" s="123">
        <f>SUM(Z6,AB6,AD6,AF6)</f>
        <v>1</v>
      </c>
      <c r="AI6" s="183">
        <f>SUM(AA6,AC6,AE6,AG6)/4</f>
        <v>1.5954779576587794E-2</v>
      </c>
      <c r="AJ6" s="120">
        <f>(AA6+AC6)/2</f>
        <v>1.0849250112079701E-2</v>
      </c>
      <c r="AK6" s="119">
        <f>(AE6+AG6)/2</f>
        <v>2.106030904109589E-2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0.5</v>
      </c>
      <c r="F7" s="27">
        <v>8800</v>
      </c>
      <c r="H7" s="24">
        <f t="shared" si="1"/>
        <v>0.5</v>
      </c>
      <c r="I7" s="22">
        <f t="shared" si="2"/>
        <v>5.0947717487991456E-3</v>
      </c>
      <c r="J7" s="24">
        <f t="shared" si="3"/>
        <v>5.0947717487991456E-3</v>
      </c>
      <c r="K7" s="22">
        <f t="shared" si="4"/>
        <v>1.0189543497598291E-2</v>
      </c>
      <c r="L7" s="22">
        <f t="shared" si="5"/>
        <v>5.0947717487991456E-3</v>
      </c>
      <c r="M7" s="223">
        <f t="shared" si="6"/>
        <v>5.0947717487991456E-3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5191.372005215655</v>
      </c>
      <c r="T7" s="221">
        <f>IF($B$81=0,0,(SUMIF($N$6:$N$28,$U7,M$6:M$28)+SUMIF($N$91:$N$118,$U7,M$91:M$118))*$I$83*Poor!$B$81/$B$81)</f>
        <v>5916.3443055445323</v>
      </c>
      <c r="U7" s="222">
        <v>1</v>
      </c>
      <c r="V7" s="56"/>
      <c r="W7" s="115"/>
      <c r="X7" s="124">
        <v>4</v>
      </c>
      <c r="Y7" s="183">
        <f t="shared" ref="Y7:Y29" si="9">M7*4</f>
        <v>2.0379086995196583E-2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2.0379086995196583E-2</v>
      </c>
      <c r="AH7" s="123">
        <f t="shared" ref="AH7:AH30" si="12">SUM(Z7,AB7,AD7,AF7)</f>
        <v>1</v>
      </c>
      <c r="AI7" s="183">
        <f t="shared" ref="AI7:AI30" si="13">SUM(AA7,AC7,AE7,AG7)/4</f>
        <v>5.0947717487991456E-3</v>
      </c>
      <c r="AJ7" s="120">
        <f t="shared" ref="AJ7:AJ31" si="14">(AA7+AC7)/2</f>
        <v>0</v>
      </c>
      <c r="AK7" s="119">
        <f t="shared" ref="AK7:AK31" si="15">(AE7+AG7)/2</f>
        <v>1.0189543497598291E-2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9.0128804094022404E-3</v>
      </c>
      <c r="J8" s="24">
        <f t="shared" si="3"/>
        <v>9.0128804094022404E-3</v>
      </c>
      <c r="K8" s="22">
        <f t="shared" si="4"/>
        <v>1.8025760818804481E-2</v>
      </c>
      <c r="L8" s="22">
        <f t="shared" si="5"/>
        <v>9.0128804094022404E-3</v>
      </c>
      <c r="M8" s="223">
        <f t="shared" si="6"/>
        <v>9.0128804094022404E-3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783.6</v>
      </c>
      <c r="T8" s="221">
        <f>IF($B$81=0,0,(SUMIF($N$6:$N$28,$U8,M$6:M$28)+SUMIF($N$91:$N$118,$U8,M$91:M$118))*$I$83*Poor!$B$81/$B$81)</f>
        <v>28.999999999999982</v>
      </c>
      <c r="U8" s="222">
        <v>2</v>
      </c>
      <c r="V8" s="184"/>
      <c r="W8" s="115"/>
      <c r="X8" s="124">
        <v>1</v>
      </c>
      <c r="Y8" s="183">
        <f t="shared" si="9"/>
        <v>3.6051521637608962E-2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3.6051521637608962E-2</v>
      </c>
      <c r="AH8" s="123">
        <f t="shared" si="12"/>
        <v>1</v>
      </c>
      <c r="AI8" s="183">
        <f t="shared" si="13"/>
        <v>9.0128804094022404E-3</v>
      </c>
      <c r="AJ8" s="120">
        <f t="shared" si="14"/>
        <v>0</v>
      </c>
      <c r="AK8" s="119">
        <f t="shared" si="15"/>
        <v>1.8025760818804481E-2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1</v>
      </c>
      <c r="F9" s="28">
        <v>8800</v>
      </c>
      <c r="H9" s="24">
        <f t="shared" si="1"/>
        <v>1</v>
      </c>
      <c r="I9" s="22">
        <f t="shared" si="2"/>
        <v>2.4642857142857143E-2</v>
      </c>
      <c r="J9" s="24">
        <f t="shared" si="3"/>
        <v>2.4642857142857143E-2</v>
      </c>
      <c r="K9" s="22">
        <f t="shared" si="4"/>
        <v>2.4642857142857143E-2</v>
      </c>
      <c r="L9" s="22">
        <f t="shared" si="5"/>
        <v>2.4642857142857143E-2</v>
      </c>
      <c r="M9" s="223">
        <f t="shared" si="6"/>
        <v>2.4642857142857143E-2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615.61511090225247</v>
      </c>
      <c r="T9" s="221">
        <f>IF($B$81=0,0,(SUMIF($N$6:$N$28,$U9,M$6:M$28)+SUMIF($N$91:$N$118,$U9,M$91:M$118))*$I$83*Poor!$B$81/$B$81)</f>
        <v>615.61511090225247</v>
      </c>
      <c r="U9" s="222">
        <v>3</v>
      </c>
      <c r="V9" s="56"/>
      <c r="W9" s="115"/>
      <c r="X9" s="124">
        <v>1</v>
      </c>
      <c r="Y9" s="183">
        <f t="shared" si="9"/>
        <v>9.8571428571428574E-2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9.8571428571428574E-2</v>
      </c>
      <c r="AH9" s="123">
        <f t="shared" si="12"/>
        <v>1</v>
      </c>
      <c r="AI9" s="183">
        <f t="shared" si="13"/>
        <v>2.4642857142857143E-2</v>
      </c>
      <c r="AJ9" s="120">
        <f t="shared" si="14"/>
        <v>0</v>
      </c>
      <c r="AK9" s="119">
        <f t="shared" si="15"/>
        <v>4.9285714285714287E-2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1.0900000000000001</v>
      </c>
      <c r="H10" s="24">
        <f t="shared" si="1"/>
        <v>1.0900000000000001</v>
      </c>
      <c r="I10" s="22">
        <f t="shared" si="2"/>
        <v>0.11840775827054796</v>
      </c>
      <c r="J10" s="24">
        <f t="shared" si="3"/>
        <v>0.11840775827054796</v>
      </c>
      <c r="K10" s="22">
        <f t="shared" si="4"/>
        <v>0.10863097089041096</v>
      </c>
      <c r="L10" s="22">
        <f t="shared" si="5"/>
        <v>0.11840775827054796</v>
      </c>
      <c r="M10" s="223">
        <f t="shared" si="6"/>
        <v>0.11840775827054796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0.84285714285714286</v>
      </c>
      <c r="T10" s="221">
        <f>IF($B$81=0,0,(SUMIF($N$6:$N$28,$U10,M$6:M$28)+SUMIF($N$91:$N$118,$U10,M$91:M$118))*$I$83*Poor!$B$81/$B$81)</f>
        <v>0.84285714285714286</v>
      </c>
      <c r="U10" s="222">
        <v>4</v>
      </c>
      <c r="V10" s="56"/>
      <c r="W10" s="115"/>
      <c r="X10" s="124">
        <v>1</v>
      </c>
      <c r="Y10" s="183">
        <f t="shared" si="9"/>
        <v>0.47363103308219184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0.47363103308219184</v>
      </c>
      <c r="AH10" s="123">
        <f t="shared" si="12"/>
        <v>1</v>
      </c>
      <c r="AI10" s="183">
        <f t="shared" si="13"/>
        <v>0.11840775827054796</v>
      </c>
      <c r="AJ10" s="120">
        <f t="shared" si="14"/>
        <v>0</v>
      </c>
      <c r="AK10" s="119">
        <f t="shared" si="15"/>
        <v>0.23681551654109592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2908.4302857142861</v>
      </c>
      <c r="T11" s="221">
        <f>IF($B$81=0,0,(SUMIF($N$6:$N$28,$U11,M$6:M$28)+SUMIF($N$91:$N$118,$U11,M$91:M$118))*$I$83*Poor!$B$81/$B$81)</f>
        <v>2730.2840000000006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1</v>
      </c>
      <c r="H12" s="24">
        <f t="shared" si="1"/>
        <v>1</v>
      </c>
      <c r="I12" s="22">
        <f t="shared" si="2"/>
        <v>4.3851245401174167E-2</v>
      </c>
      <c r="J12" s="24">
        <f t="shared" si="3"/>
        <v>4.3851245401174167E-2</v>
      </c>
      <c r="K12" s="22">
        <f t="shared" si="4"/>
        <v>4.3851245401174167E-2</v>
      </c>
      <c r="L12" s="22">
        <f t="shared" si="5"/>
        <v>4.3851245401174167E-2</v>
      </c>
      <c r="M12" s="223">
        <f t="shared" si="6"/>
        <v>4.3851245401174167E-2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379.32228644264376</v>
      </c>
      <c r="U12" s="222">
        <v>6</v>
      </c>
      <c r="V12" s="56"/>
      <c r="W12" s="117"/>
      <c r="X12" s="118"/>
      <c r="Y12" s="183">
        <f t="shared" si="9"/>
        <v>0.17540498160469667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0.11752133767514678</v>
      </c>
      <c r="AF12" s="122">
        <f>1-SUM(Z12,AB12,AD12)</f>
        <v>0.32999999999999996</v>
      </c>
      <c r="AG12" s="121">
        <f>$M12*AF12*4</f>
        <v>5.7883643929549894E-2</v>
      </c>
      <c r="AH12" s="123">
        <f t="shared" si="12"/>
        <v>1</v>
      </c>
      <c r="AI12" s="183">
        <f t="shared" si="13"/>
        <v>4.3851245401174167E-2</v>
      </c>
      <c r="AJ12" s="120">
        <f t="shared" si="14"/>
        <v>0</v>
      </c>
      <c r="AK12" s="119">
        <f t="shared" si="15"/>
        <v>8.7702490802348335E-2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7579.2941859256289</v>
      </c>
      <c r="T13" s="221">
        <f>IF($B$81=0,0,(SUMIF($N$6:$N$28,$U13,M$6:M$28)+SUMIF($N$91:$N$118,$U13,M$91:M$118))*$I$83*Poor!$B$81/$B$81)</f>
        <v>7579.2941859256289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1</v>
      </c>
      <c r="F14" s="22"/>
      <c r="H14" s="24">
        <f t="shared" si="1"/>
        <v>1</v>
      </c>
      <c r="I14" s="22">
        <f t="shared" si="2"/>
        <v>8.9408209170966021E-3</v>
      </c>
      <c r="J14" s="24">
        <f>IF(I$32&lt;=1+I131,I14,B14*H14+J$33*(I14-B14*H14))</f>
        <v>8.9408209170966021E-3</v>
      </c>
      <c r="K14" s="22">
        <f t="shared" si="4"/>
        <v>8.3353977939868342E-3</v>
      </c>
      <c r="L14" s="22">
        <f t="shared" si="5"/>
        <v>8.3353977939868342E-3</v>
      </c>
      <c r="M14" s="224">
        <f t="shared" si="6"/>
        <v>8.9408209170966021E-3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3.5763283668386409E-2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3.5763283668386409E-2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8.9408209170966021E-3</v>
      </c>
      <c r="AJ14" s="120">
        <f t="shared" si="14"/>
        <v>1.7881641834193204E-2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1</v>
      </c>
      <c r="F15" s="22"/>
      <c r="H15" s="24">
        <f t="shared" si="1"/>
        <v>1</v>
      </c>
      <c r="I15" s="22">
        <f t="shared" si="2"/>
        <v>2.9663848292118839E-3</v>
      </c>
      <c r="J15" s="24">
        <f>IF(I$32&lt;=1+I131,I15,B15*H15+J$33*(I15-B15*H15))</f>
        <v>2.9663848292118839E-3</v>
      </c>
      <c r="K15" s="22">
        <f t="shared" si="4"/>
        <v>2.7192490882405264E-3</v>
      </c>
      <c r="L15" s="22">
        <f t="shared" si="5"/>
        <v>2.7192490882405264E-3</v>
      </c>
      <c r="M15" s="225">
        <f t="shared" si="6"/>
        <v>2.9663848292118839E-3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1.1865539316847536E-2</v>
      </c>
      <c r="Z15" s="116">
        <v>0.25</v>
      </c>
      <c r="AA15" s="121">
        <f t="shared" si="16"/>
        <v>2.9663848292118839E-3</v>
      </c>
      <c r="AB15" s="116">
        <v>0.25</v>
      </c>
      <c r="AC15" s="121">
        <f t="shared" si="7"/>
        <v>2.9663848292118839E-3</v>
      </c>
      <c r="AD15" s="116">
        <v>0.25</v>
      </c>
      <c r="AE15" s="121">
        <f t="shared" si="8"/>
        <v>2.9663848292118839E-3</v>
      </c>
      <c r="AF15" s="122">
        <f t="shared" si="10"/>
        <v>0.25</v>
      </c>
      <c r="AG15" s="121">
        <f t="shared" si="11"/>
        <v>2.9663848292118839E-3</v>
      </c>
      <c r="AH15" s="123">
        <f t="shared" si="12"/>
        <v>1</v>
      </c>
      <c r="AI15" s="183">
        <f t="shared" si="13"/>
        <v>2.9663848292118839E-3</v>
      </c>
      <c r="AJ15" s="120">
        <f t="shared" si="14"/>
        <v>2.9663848292118839E-3</v>
      </c>
      <c r="AK15" s="119">
        <f t="shared" si="15"/>
        <v>2.9663848292118839E-3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1</v>
      </c>
      <c r="F16" s="22"/>
      <c r="H16" s="24">
        <f t="shared" si="1"/>
        <v>1</v>
      </c>
      <c r="I16" s="22">
        <f t="shared" si="2"/>
        <v>6.29176927592955E-3</v>
      </c>
      <c r="J16" s="24">
        <f>IF(I$32&lt;=1+I131,I16,B16*H16+J$33*(I16-B16*H16))</f>
        <v>6.29176927592955E-3</v>
      </c>
      <c r="K16" s="22">
        <f t="shared" si="4"/>
        <v>5.6982360967799319E-3</v>
      </c>
      <c r="L16" s="22">
        <f t="shared" si="5"/>
        <v>5.6982360967799319E-3</v>
      </c>
      <c r="M16" s="223">
        <f t="shared" si="6"/>
        <v>6.29176927592955E-3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2.51670771037182E-2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2.51670771037182E-2</v>
      </c>
      <c r="AH16" s="123">
        <f t="shared" si="12"/>
        <v>1</v>
      </c>
      <c r="AI16" s="183">
        <f t="shared" si="13"/>
        <v>6.29176927592955E-3</v>
      </c>
      <c r="AJ16" s="120">
        <f t="shared" si="14"/>
        <v>0</v>
      </c>
      <c r="AK16" s="119">
        <f t="shared" si="15"/>
        <v>1.25835385518591E-2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1</v>
      </c>
      <c r="F17" s="22"/>
      <c r="H17" s="24">
        <f t="shared" si="1"/>
        <v>1</v>
      </c>
      <c r="I17" s="22">
        <f t="shared" si="2"/>
        <v>8.4002018768902335E-3</v>
      </c>
      <c r="J17" s="24">
        <f t="shared" ref="J17:J25" si="17">IF(I$32&lt;=1+I131,I17,B17*H17+J$33*(I17-B17*H17))</f>
        <v>8.4002018768902335E-3</v>
      </c>
      <c r="K17" s="22">
        <f t="shared" si="4"/>
        <v>8.4002018768902335E-3</v>
      </c>
      <c r="L17" s="22">
        <f t="shared" si="5"/>
        <v>8.4002018768902335E-3</v>
      </c>
      <c r="M17" s="224">
        <f t="shared" si="6"/>
        <v>8.4002018768902335E-3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3.3600807507560934E-2</v>
      </c>
      <c r="Z17" s="116">
        <v>0.29409999999999997</v>
      </c>
      <c r="AA17" s="121">
        <f t="shared" si="16"/>
        <v>9.8819974879736702E-3</v>
      </c>
      <c r="AB17" s="116">
        <v>0.17649999999999999</v>
      </c>
      <c r="AC17" s="121">
        <f t="shared" si="7"/>
        <v>5.930542525084505E-3</v>
      </c>
      <c r="AD17" s="116">
        <v>0.23530000000000001</v>
      </c>
      <c r="AE17" s="121">
        <f t="shared" si="8"/>
        <v>7.906270006529088E-3</v>
      </c>
      <c r="AF17" s="122">
        <f t="shared" si="10"/>
        <v>0.29410000000000003</v>
      </c>
      <c r="AG17" s="121">
        <f t="shared" si="11"/>
        <v>9.8819974879736719E-3</v>
      </c>
      <c r="AH17" s="123">
        <f t="shared" si="12"/>
        <v>1</v>
      </c>
      <c r="AI17" s="183">
        <f t="shared" si="13"/>
        <v>8.4002018768902335E-3</v>
      </c>
      <c r="AJ17" s="120">
        <f t="shared" si="14"/>
        <v>7.906270006529088E-3</v>
      </c>
      <c r="AK17" s="119">
        <f t="shared" si="15"/>
        <v>8.8941337472513808E-3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4.4210233054616625E-3</v>
      </c>
      <c r="J18" s="24">
        <f t="shared" si="17"/>
        <v>4.4210233054616625E-3</v>
      </c>
      <c r="K18" s="22">
        <f t="shared" ref="K18:K20" si="21">B18</f>
        <v>4.3612474648639038E-3</v>
      </c>
      <c r="L18" s="22">
        <f t="shared" ref="L18:L20" si="22">IF(K18="","",K18*H18)</f>
        <v>4.3612474648639038E-3</v>
      </c>
      <c r="M18" s="224">
        <f t="shared" ref="M18:M20" si="23">J18</f>
        <v>4.4210233054616625E-3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1.768409322184665E-2</v>
      </c>
      <c r="Z18" s="116">
        <v>1.2941</v>
      </c>
      <c r="AA18" s="121">
        <f t="shared" ref="AA18:AA20" si="25">$M18*Z18*4</f>
        <v>2.2884985038391752E-2</v>
      </c>
      <c r="AB18" s="116">
        <v>1.1765000000000001</v>
      </c>
      <c r="AC18" s="121">
        <f t="shared" ref="AC18:AC20" si="26">$M18*AB18*4</f>
        <v>2.0805335675502586E-2</v>
      </c>
      <c r="AD18" s="116">
        <v>1.2353000000000001</v>
      </c>
      <c r="AE18" s="121">
        <f t="shared" ref="AE18:AE20" si="27">$M18*AD18*4</f>
        <v>2.1845160356947169E-2</v>
      </c>
      <c r="AF18" s="122">
        <f t="shared" ref="AF18:AF20" si="28">1-SUM(Z18,AB18,AD18)</f>
        <v>-2.7059000000000002</v>
      </c>
      <c r="AG18" s="121">
        <f t="shared" ref="AG18:AG20" si="29">$M18*AF18*4</f>
        <v>-4.7851387848994856E-2</v>
      </c>
      <c r="AH18" s="123">
        <f t="shared" ref="AH18:AH20" si="30">SUM(Z18,AB18,AD18,AF18)</f>
        <v>1</v>
      </c>
      <c r="AI18" s="183">
        <f t="shared" ref="AI18:AI20" si="31">SUM(AA18,AC18,AE18,AG18)/4</f>
        <v>4.4210233054616625E-3</v>
      </c>
      <c r="AJ18" s="120">
        <f t="shared" ref="AJ18:AJ20" si="32">(AA18+AC18)/2</f>
        <v>2.1845160356947169E-2</v>
      </c>
      <c r="AK18" s="119">
        <f t="shared" ref="AK18:AK20" si="33">(AE18+AG18)/2</f>
        <v>-1.3003113746023844E-2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1</v>
      </c>
      <c r="F19" s="22"/>
      <c r="H19" s="24">
        <f t="shared" si="19"/>
        <v>1</v>
      </c>
      <c r="I19" s="22">
        <f t="shared" si="20"/>
        <v>5.8223767345668032E-2</v>
      </c>
      <c r="J19" s="24">
        <f t="shared" si="17"/>
        <v>5.8223767345668032E-2</v>
      </c>
      <c r="K19" s="22">
        <f t="shared" si="21"/>
        <v>2.4478921010496351E-2</v>
      </c>
      <c r="L19" s="22">
        <f t="shared" si="22"/>
        <v>2.4478921010496351E-2</v>
      </c>
      <c r="M19" s="224">
        <f t="shared" si="23"/>
        <v>5.8223767345668032E-2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0.23289506938267213</v>
      </c>
      <c r="Z19" s="116">
        <v>2.2940999999999998</v>
      </c>
      <c r="AA19" s="121">
        <f t="shared" si="25"/>
        <v>0.53428457867078805</v>
      </c>
      <c r="AB19" s="116">
        <v>2.1764999999999999</v>
      </c>
      <c r="AC19" s="121">
        <f t="shared" si="26"/>
        <v>0.50689611851138583</v>
      </c>
      <c r="AD19" s="116">
        <v>2.2353000000000001</v>
      </c>
      <c r="AE19" s="121">
        <f t="shared" si="27"/>
        <v>0.52059034859108699</v>
      </c>
      <c r="AF19" s="122">
        <f t="shared" si="28"/>
        <v>-5.7058999999999997</v>
      </c>
      <c r="AG19" s="121">
        <f t="shared" si="29"/>
        <v>-1.3288759763905889</v>
      </c>
      <c r="AH19" s="123">
        <f t="shared" si="30"/>
        <v>1</v>
      </c>
      <c r="AI19" s="183">
        <f t="shared" si="31"/>
        <v>5.8223767345668032E-2</v>
      </c>
      <c r="AJ19" s="120">
        <f t="shared" si="32"/>
        <v>0.52059034859108699</v>
      </c>
      <c r="AK19" s="119">
        <f t="shared" si="33"/>
        <v>-0.40414281389975093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1</v>
      </c>
      <c r="F20" s="22"/>
      <c r="H20" s="24">
        <f t="shared" si="19"/>
        <v>1</v>
      </c>
      <c r="I20" s="22">
        <f t="shared" si="20"/>
        <v>7.7029870129870131E-3</v>
      </c>
      <c r="J20" s="24">
        <f t="shared" si="17"/>
        <v>7.7029870129870131E-3</v>
      </c>
      <c r="K20" s="22">
        <f t="shared" si="21"/>
        <v>7.7029870129870131E-3</v>
      </c>
      <c r="L20" s="22">
        <f t="shared" si="22"/>
        <v>7.7029870129870131E-3</v>
      </c>
      <c r="M20" s="224">
        <f t="shared" si="23"/>
        <v>7.7029870129870131E-3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3.0811948051948052E-2</v>
      </c>
      <c r="Z20" s="116">
        <v>3.2940999999999998</v>
      </c>
      <c r="AA20" s="121">
        <f t="shared" si="25"/>
        <v>0.10149763807792207</v>
      </c>
      <c r="AB20" s="116">
        <v>3.1764999999999999</v>
      </c>
      <c r="AC20" s="121">
        <f t="shared" si="26"/>
        <v>9.7874152987012977E-2</v>
      </c>
      <c r="AD20" s="116">
        <v>3.2353000000000001</v>
      </c>
      <c r="AE20" s="121">
        <f t="shared" si="27"/>
        <v>9.9685895532467539E-2</v>
      </c>
      <c r="AF20" s="122">
        <f t="shared" si="28"/>
        <v>-8.7058999999999997</v>
      </c>
      <c r="AG20" s="121">
        <f t="shared" si="29"/>
        <v>-0.26824573854545453</v>
      </c>
      <c r="AH20" s="123">
        <f t="shared" si="30"/>
        <v>1</v>
      </c>
      <c r="AI20" s="183">
        <f t="shared" si="31"/>
        <v>7.7029870129870226E-3</v>
      </c>
      <c r="AJ20" s="120">
        <f t="shared" si="32"/>
        <v>9.9685895532467525E-2</v>
      </c>
      <c r="AK20" s="119">
        <f t="shared" si="33"/>
        <v>-8.4279921506493494E-2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5.0649777619640622E-3</v>
      </c>
      <c r="J21" s="24">
        <f t="shared" si="17"/>
        <v>5.0649777619640622E-3</v>
      </c>
      <c r="K21" s="22">
        <f t="shared" ref="K21:K25" si="37">B21</f>
        <v>4.9130030243728865E-3</v>
      </c>
      <c r="L21" s="22">
        <f t="shared" ref="L21:L25" si="38">IF(K21="","",K21*H21)</f>
        <v>4.9130030243728865E-3</v>
      </c>
      <c r="M21" s="224">
        <f t="shared" ref="M21:M25" si="39">J21</f>
        <v>5.0649777619640622E-3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2.0259911047856249E-2</v>
      </c>
      <c r="Z21" s="116">
        <v>4.2941000000000003</v>
      </c>
      <c r="AA21" s="121">
        <f t="shared" ref="AA21:AA25" si="41">$M21*Z21*4</f>
        <v>8.6998084030599526E-2</v>
      </c>
      <c r="AB21" s="116">
        <v>4.1764999999999999</v>
      </c>
      <c r="AC21" s="121">
        <f t="shared" ref="AC21:AC25" si="42">$M21*AB21*4</f>
        <v>8.4615518491371625E-2</v>
      </c>
      <c r="AD21" s="116">
        <v>4.2352999999999996</v>
      </c>
      <c r="AE21" s="121">
        <f t="shared" ref="AE21:AE25" si="43">$M21*AD21*4</f>
        <v>8.5806801260985568E-2</v>
      </c>
      <c r="AF21" s="122">
        <f t="shared" ref="AF21:AF25" si="44">1-SUM(Z21,AB21,AD21)</f>
        <v>-11.7059</v>
      </c>
      <c r="AG21" s="121">
        <f t="shared" ref="AG21:AG25" si="45">$M21*AF21*4</f>
        <v>-0.23716049273510045</v>
      </c>
      <c r="AH21" s="123">
        <f t="shared" ref="AH21:AH25" si="46">SUM(Z21,AB21,AD21,AF21)</f>
        <v>1</v>
      </c>
      <c r="AI21" s="183">
        <f t="shared" ref="AI21:AI25" si="47">SUM(AA21,AC21,AE21,AG21)/4</f>
        <v>5.0649777619640665E-3</v>
      </c>
      <c r="AJ21" s="120">
        <f t="shared" ref="AJ21:AJ25" si="48">(AA21+AC21)/2</f>
        <v>8.5806801260985582E-2</v>
      </c>
      <c r="AK21" s="119">
        <f t="shared" ref="AK21:AK25" si="49">(AE21+AG21)/2</f>
        <v>-7.5676845737057435E-2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5.7640989147838464E-3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5.7640989147838464E-3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2.3056395659135386E-2</v>
      </c>
      <c r="Z22" s="116">
        <v>5.2941000000000003</v>
      </c>
      <c r="AA22" s="121">
        <f t="shared" si="41"/>
        <v>0.12206286425902865</v>
      </c>
      <c r="AB22" s="116">
        <v>5.1764999999999999</v>
      </c>
      <c r="AC22" s="121">
        <f t="shared" si="42"/>
        <v>0.11935143212951432</v>
      </c>
      <c r="AD22" s="116">
        <v>5.2352999999999996</v>
      </c>
      <c r="AE22" s="121">
        <f t="shared" si="43"/>
        <v>0.12070714819427147</v>
      </c>
      <c r="AF22" s="122">
        <f t="shared" si="44"/>
        <v>-14.7059</v>
      </c>
      <c r="AG22" s="121">
        <f t="shared" si="45"/>
        <v>-0.33906504892367906</v>
      </c>
      <c r="AH22" s="123">
        <f t="shared" si="46"/>
        <v>1</v>
      </c>
      <c r="AI22" s="183">
        <f t="shared" si="47"/>
        <v>5.7640989147838551E-3</v>
      </c>
      <c r="AJ22" s="120">
        <f t="shared" si="48"/>
        <v>0.12070714819427149</v>
      </c>
      <c r="AK22" s="119">
        <f t="shared" si="49"/>
        <v>-0.10917895036470379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1</v>
      </c>
      <c r="F23" s="22"/>
      <c r="H23" s="24">
        <f t="shared" si="35"/>
        <v>1</v>
      </c>
      <c r="I23" s="22">
        <f t="shared" si="36"/>
        <v>8.1114129158512717E-3</v>
      </c>
      <c r="J23" s="24">
        <f t="shared" si="17"/>
        <v>8.1114129158512717E-3</v>
      </c>
      <c r="K23" s="22">
        <f t="shared" si="37"/>
        <v>8.1114129158512717E-3</v>
      </c>
      <c r="L23" s="22">
        <f t="shared" si="38"/>
        <v>8.1114129158512717E-3</v>
      </c>
      <c r="M23" s="224">
        <f t="shared" si="39"/>
        <v>8.1114129158512717E-3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28175.615307464599</v>
      </c>
      <c r="T23" s="179">
        <f>SUM(T7:T22)</f>
        <v>28370.634877118526</v>
      </c>
      <c r="U23" s="56"/>
      <c r="V23" s="56"/>
      <c r="W23" s="110"/>
      <c r="X23" s="118"/>
      <c r="Y23" s="183">
        <f t="shared" si="40"/>
        <v>3.2445651663405087E-2</v>
      </c>
      <c r="Z23" s="116">
        <v>6.2941000000000003</v>
      </c>
      <c r="AA23" s="121">
        <f t="shared" si="41"/>
        <v>0.20421617613463797</v>
      </c>
      <c r="AB23" s="116">
        <v>6.1764999999999999</v>
      </c>
      <c r="AC23" s="121">
        <f t="shared" si="42"/>
        <v>0.20040056749902152</v>
      </c>
      <c r="AD23" s="116">
        <v>6.2352999999999996</v>
      </c>
      <c r="AE23" s="121">
        <f t="shared" si="43"/>
        <v>0.20230837181682973</v>
      </c>
      <c r="AF23" s="122">
        <f t="shared" si="44"/>
        <v>-17.7059</v>
      </c>
      <c r="AG23" s="121">
        <f t="shared" si="45"/>
        <v>-0.57447946378708414</v>
      </c>
      <c r="AH23" s="123">
        <f t="shared" si="46"/>
        <v>1</v>
      </c>
      <c r="AI23" s="183">
        <f t="shared" si="47"/>
        <v>8.1114129158512682E-3</v>
      </c>
      <c r="AJ23" s="120">
        <f t="shared" si="48"/>
        <v>0.20230837181682976</v>
      </c>
      <c r="AK23" s="119">
        <f t="shared" si="49"/>
        <v>-0.18608554598512722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1</v>
      </c>
      <c r="F24" s="22"/>
      <c r="H24" s="24">
        <f t="shared" si="35"/>
        <v>1</v>
      </c>
      <c r="I24" s="22">
        <f t="shared" si="36"/>
        <v>1.3519021526418786E-2</v>
      </c>
      <c r="J24" s="24">
        <f t="shared" si="17"/>
        <v>1.3519021526418786E-2</v>
      </c>
      <c r="K24" s="22">
        <f t="shared" si="37"/>
        <v>1.3519021526418786E-2</v>
      </c>
      <c r="L24" s="22">
        <f t="shared" si="38"/>
        <v>1.3519021526418786E-2</v>
      </c>
      <c r="M24" s="224">
        <f t="shared" si="39"/>
        <v>1.3519021526418786E-2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5.4076086105675145E-2</v>
      </c>
      <c r="Z24" s="116">
        <v>7.2941000000000003</v>
      </c>
      <c r="AA24" s="121">
        <f t="shared" si="41"/>
        <v>0.39443637966340511</v>
      </c>
      <c r="AB24" s="116">
        <v>7.1764999999999999</v>
      </c>
      <c r="AC24" s="121">
        <f t="shared" si="42"/>
        <v>0.38807703193737769</v>
      </c>
      <c r="AD24" s="116">
        <v>7.2352999999999996</v>
      </c>
      <c r="AE24" s="121">
        <f t="shared" si="43"/>
        <v>0.39125670580039135</v>
      </c>
      <c r="AF24" s="122">
        <f t="shared" si="44"/>
        <v>-20.7059</v>
      </c>
      <c r="AG24" s="121">
        <f t="shared" si="45"/>
        <v>-1.119694031295499</v>
      </c>
      <c r="AH24" s="123">
        <f t="shared" si="46"/>
        <v>1</v>
      </c>
      <c r="AI24" s="183">
        <f t="shared" si="47"/>
        <v>1.3519021526418762E-2</v>
      </c>
      <c r="AJ24" s="120">
        <f t="shared" si="48"/>
        <v>0.3912567058003914</v>
      </c>
      <c r="AK24" s="119">
        <f t="shared" si="49"/>
        <v>-0.36421866274755388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0.61940969298167581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9581.0058656485708</v>
      </c>
      <c r="T30" s="233">
        <f t="shared" si="50"/>
        <v>9385.986295994644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-0.85373421451644638</v>
      </c>
      <c r="AB30" s="122">
        <f>IF($Y30=0,0,AC30/($Y$30))</f>
        <v>0</v>
      </c>
      <c r="AC30" s="187">
        <f>IF(AC79*4/$I$83+SUM(AC6:AC29)&lt;1,AC79*4/$I$83,1-SUM(AC6:AC29))</f>
        <v>-0.83680714937287726</v>
      </c>
      <c r="AD30" s="122">
        <f>IF($Y30=0,0,AE30/($Y$30))</f>
        <v>0</v>
      </c>
      <c r="AE30" s="187">
        <f>IF(AE79*4/$I$83+SUM(AE6:AE29)&lt;1,AE79*4/$I$83,1-SUM(AE6:AE29))</f>
        <v>-0.95512143671463123</v>
      </c>
      <c r="AF30" s="122">
        <f>IF($Y30=0,0,AG30/($Y$30))</f>
        <v>0</v>
      </c>
      <c r="AG30" s="187">
        <f>IF(AG79*4/$I$83+SUM(AG6:AG29)&lt;1,AG79*4/$I$83,1-SUM(AG6:AG29))</f>
        <v>2.5889605246867253</v>
      </c>
      <c r="AH30" s="123">
        <f t="shared" si="12"/>
        <v>0</v>
      </c>
      <c r="AI30" s="183">
        <f t="shared" si="13"/>
        <v>-1.4175568979307385E-2</v>
      </c>
      <c r="AJ30" s="120">
        <f t="shared" si="14"/>
        <v>-0.84527068194466182</v>
      </c>
      <c r="AK30" s="119">
        <f t="shared" si="15"/>
        <v>0.81691954398604705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0.31585301408825039</v>
      </c>
      <c r="K31" s="22" t="str">
        <f t="shared" si="4"/>
        <v/>
      </c>
      <c r="L31" s="22">
        <f>(1-SUM(L6:L30))</f>
        <v>0.32460213655512349</v>
      </c>
      <c r="M31" s="178">
        <f t="shared" si="6"/>
        <v>0.31585301408825039</v>
      </c>
      <c r="N31" s="167">
        <f>M31*I83</f>
        <v>6468.0026556777993</v>
      </c>
      <c r="P31" s="22"/>
      <c r="Q31" s="237" t="s">
        <v>142</v>
      </c>
      <c r="R31" s="233">
        <f t="shared" si="50"/>
        <v>0</v>
      </c>
      <c r="S31" s="233">
        <f t="shared" si="50"/>
        <v>28020.600967689425</v>
      </c>
      <c r="T31" s="233">
        <f>IF(T25&gt;T$23,T25-T$23,0)</f>
        <v>27825.581398035498</v>
      </c>
      <c r="V31" s="56"/>
      <c r="W31" s="129" t="s">
        <v>84</v>
      </c>
      <c r="X31" s="130"/>
      <c r="Y31" s="121">
        <f>M31*4</f>
        <v>1.2634120563530016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1.320114332270232</v>
      </c>
      <c r="AH31" s="123"/>
      <c r="AI31" s="182">
        <f>SUM(AA31,AC31,AE31,AG31)/4</f>
        <v>0.330028583067558</v>
      </c>
      <c r="AJ31" s="135">
        <f t="shared" si="14"/>
        <v>0</v>
      </c>
      <c r="AK31" s="136">
        <f t="shared" si="15"/>
        <v>0.660057166135116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0.68414698591174961</v>
      </c>
      <c r="J32" s="17"/>
      <c r="L32" s="22">
        <f>SUM(L6:L30)</f>
        <v>0.67539786344487651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62094.762600342423</v>
      </c>
      <c r="T32" s="233">
        <f t="shared" si="50"/>
        <v>61899.743030688493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-0.320114332270232</v>
      </c>
      <c r="AH32" s="127"/>
      <c r="AI32" s="110"/>
      <c r="AJ32" s="140">
        <f>SUM(AJ6:AJ31)</f>
        <v>0.99999999999999978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50.789973235021847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21357.578742357702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0.84285714285714286</v>
      </c>
      <c r="J38" s="38">
        <f t="shared" si="53"/>
        <v>0.84285714285714286</v>
      </c>
      <c r="K38" s="40">
        <f t="shared" si="54"/>
        <v>3.493424529322354E-5</v>
      </c>
      <c r="L38" s="22">
        <f t="shared" si="55"/>
        <v>2.0611204723001887E-5</v>
      </c>
      <c r="M38" s="24">
        <f t="shared" si="56"/>
        <v>2.061120472300189E-5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0.84285714285714286</v>
      </c>
      <c r="AH38" s="123">
        <f t="shared" ref="AH38:AI58" si="61">SUM(Z38,AB38,AD38,AF38)</f>
        <v>1</v>
      </c>
      <c r="AI38" s="112">
        <f t="shared" si="61"/>
        <v>0.84285714285714286</v>
      </c>
      <c r="AJ38" s="148">
        <f t="shared" ref="AJ38:AJ64" si="62">(AA38+AC38)</f>
        <v>0</v>
      </c>
      <c r="AK38" s="147">
        <f t="shared" ref="AK38:AK64" si="63">(AE38+AG38)</f>
        <v>0.84285714285714286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1955.4285714285716</v>
      </c>
      <c r="J39" s="38">
        <f t="shared" si="53"/>
        <v>1955.4285714285716</v>
      </c>
      <c r="K39" s="40">
        <f t="shared" si="54"/>
        <v>5.0654655675174139E-2</v>
      </c>
      <c r="L39" s="22">
        <f t="shared" si="55"/>
        <v>4.7817994957364385E-2</v>
      </c>
      <c r="M39" s="24">
        <f t="shared" si="56"/>
        <v>4.7817994957364385E-2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1955.4285714285716</v>
      </c>
      <c r="AH39" s="123">
        <f t="shared" si="61"/>
        <v>1</v>
      </c>
      <c r="AI39" s="112">
        <f t="shared" si="61"/>
        <v>1955.4285714285716</v>
      </c>
      <c r="AJ39" s="148">
        <f t="shared" si="62"/>
        <v>0</v>
      </c>
      <c r="AK39" s="147">
        <f t="shared" si="63"/>
        <v>1955.4285714285716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101.14285714285714</v>
      </c>
      <c r="J40" s="38">
        <f t="shared" si="53"/>
        <v>101.14285714285714</v>
      </c>
      <c r="K40" s="40">
        <f t="shared" si="54"/>
        <v>2.6200683969917656E-3</v>
      </c>
      <c r="L40" s="22">
        <f t="shared" si="55"/>
        <v>2.4733445667602266E-3</v>
      </c>
      <c r="M40" s="24">
        <f t="shared" si="56"/>
        <v>2.4733445667602266E-3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101.14285714285714</v>
      </c>
      <c r="AH40" s="123">
        <f t="shared" si="61"/>
        <v>1</v>
      </c>
      <c r="AI40" s="112">
        <f t="shared" si="61"/>
        <v>101.14285714285714</v>
      </c>
      <c r="AJ40" s="148">
        <f t="shared" si="62"/>
        <v>0</v>
      </c>
      <c r="AK40" s="147">
        <f t="shared" si="63"/>
        <v>101.14285714285714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245.37257142857143</v>
      </c>
      <c r="J41" s="38">
        <f t="shared" si="53"/>
        <v>245.37257142857143</v>
      </c>
      <c r="K41" s="40">
        <f t="shared" si="54"/>
        <v>1.0971099734336853E-2</v>
      </c>
      <c r="L41" s="22">
        <f t="shared" si="55"/>
        <v>1.0356718149213989E-2</v>
      </c>
      <c r="M41" s="24">
        <f t="shared" si="56"/>
        <v>6.0003339189603098E-3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245.37257142857143</v>
      </c>
      <c r="AH41" s="123">
        <f t="shared" si="61"/>
        <v>1</v>
      </c>
      <c r="AI41" s="112">
        <f t="shared" si="61"/>
        <v>245.37257142857143</v>
      </c>
      <c r="AJ41" s="148">
        <f t="shared" si="62"/>
        <v>0</v>
      </c>
      <c r="AK41" s="147">
        <f t="shared" si="63"/>
        <v>245.37257142857143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0.8</v>
      </c>
      <c r="F42" s="26">
        <v>1.18</v>
      </c>
      <c r="G42" s="22">
        <f t="shared" si="59"/>
        <v>1.65</v>
      </c>
      <c r="H42" s="24">
        <f t="shared" si="51"/>
        <v>0.94399999999999995</v>
      </c>
      <c r="I42" s="39">
        <f t="shared" si="52"/>
        <v>350.62857142857143</v>
      </c>
      <c r="J42" s="38">
        <f t="shared" si="53"/>
        <v>350.62857142857143</v>
      </c>
      <c r="K42" s="40">
        <f t="shared" si="54"/>
        <v>9.0829037762381205E-3</v>
      </c>
      <c r="L42" s="22">
        <f t="shared" si="55"/>
        <v>8.5742611647687851E-3</v>
      </c>
      <c r="M42" s="24">
        <f t="shared" si="56"/>
        <v>8.5742611647687868E-3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87.657142857142858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175.31428571428572</v>
      </c>
      <c r="AF42" s="122">
        <f t="shared" si="57"/>
        <v>0.25</v>
      </c>
      <c r="AG42" s="147">
        <f t="shared" si="60"/>
        <v>87.657142857142858</v>
      </c>
      <c r="AH42" s="123">
        <f t="shared" si="61"/>
        <v>1</v>
      </c>
      <c r="AI42" s="112">
        <f t="shared" si="61"/>
        <v>350.62857142857143</v>
      </c>
      <c r="AJ42" s="148">
        <f t="shared" si="62"/>
        <v>87.657142857142858</v>
      </c>
      <c r="AK42" s="147">
        <f t="shared" si="63"/>
        <v>262.97142857142859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1.0900000000000001</v>
      </c>
      <c r="F44" s="26">
        <v>1.4</v>
      </c>
      <c r="G44" s="22">
        <f t="shared" si="59"/>
        <v>1.65</v>
      </c>
      <c r="H44" s="24">
        <f t="shared" si="51"/>
        <v>1.526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1.0900000000000001</v>
      </c>
      <c r="F45" s="26">
        <v>1.4</v>
      </c>
      <c r="G45" s="22">
        <f t="shared" si="59"/>
        <v>1.65</v>
      </c>
      <c r="H45" s="24">
        <f t="shared" si="51"/>
        <v>1.526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1.2324801739449264E-3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8.6077980402502797E-4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-46</v>
      </c>
      <c r="J50" s="38">
        <f t="shared" ref="J50:J64" si="70">J104*I$83</f>
        <v>-45.999999999999993</v>
      </c>
      <c r="K50" s="40">
        <f t="shared" ref="K50:K64" si="71">(B50/B$65)</f>
        <v>2.1484560855332476E-3</v>
      </c>
      <c r="L50" s="22">
        <f t="shared" ref="L50:L64" si="72">(K50*H50)</f>
        <v>3.0078385197465462E-3</v>
      </c>
      <c r="M50" s="24">
        <f t="shared" ref="M50:M64" si="73">J50/B$65</f>
        <v>-1.1248826984417979E-3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74.999999999999986</v>
      </c>
      <c r="J52" s="38">
        <f t="shared" si="70"/>
        <v>74.999999999999972</v>
      </c>
      <c r="K52" s="40">
        <f t="shared" si="71"/>
        <v>4.2794450484198842E-3</v>
      </c>
      <c r="L52" s="22">
        <f t="shared" si="72"/>
        <v>5.9912230677878374E-3</v>
      </c>
      <c r="M52" s="24">
        <f t="shared" si="73"/>
        <v>1.8340478778942353E-3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8.0698106627346382E-3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4244.0057142857149</v>
      </c>
      <c r="J55" s="38">
        <f t="shared" si="70"/>
        <v>4244.0057142857149</v>
      </c>
      <c r="K55" s="40">
        <f t="shared" si="71"/>
        <v>9.3498014102783494E-2</v>
      </c>
      <c r="L55" s="22">
        <f t="shared" si="72"/>
        <v>0.10378279565408968</v>
      </c>
      <c r="M55" s="24">
        <f t="shared" si="73"/>
        <v>0.10378279565408968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1061.0014285714287</v>
      </c>
      <c r="AB55" s="116">
        <v>0.25</v>
      </c>
      <c r="AC55" s="147">
        <f t="shared" si="65"/>
        <v>1061.0014285714287</v>
      </c>
      <c r="AD55" s="116">
        <v>0.25</v>
      </c>
      <c r="AE55" s="147">
        <f t="shared" si="66"/>
        <v>1061.0014285714287</v>
      </c>
      <c r="AF55" s="122">
        <f t="shared" si="57"/>
        <v>0.25</v>
      </c>
      <c r="AG55" s="147">
        <f t="shared" si="60"/>
        <v>1061.0014285714287</v>
      </c>
      <c r="AH55" s="123">
        <f t="shared" si="61"/>
        <v>1</v>
      </c>
      <c r="AI55" s="112">
        <f t="shared" si="61"/>
        <v>4244.0057142857149</v>
      </c>
      <c r="AJ55" s="148">
        <f t="shared" si="62"/>
        <v>2122.0028571428575</v>
      </c>
      <c r="AK55" s="147">
        <f t="shared" si="63"/>
        <v>2122.0028571428575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2892.3428571428576</v>
      </c>
      <c r="J57" s="38">
        <f t="shared" si="70"/>
        <v>2892.3428571428572</v>
      </c>
      <c r="K57" s="40">
        <f t="shared" si="71"/>
        <v>6.3720063414839739E-2</v>
      </c>
      <c r="L57" s="22">
        <f t="shared" si="72"/>
        <v>7.0729270390472124E-2</v>
      </c>
      <c r="M57" s="24">
        <f t="shared" si="73"/>
        <v>7.072927039047211E-2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723.08571428571429</v>
      </c>
      <c r="AB57" s="116">
        <v>0.25</v>
      </c>
      <c r="AC57" s="147">
        <f t="shared" si="65"/>
        <v>723.08571428571429</v>
      </c>
      <c r="AD57" s="116">
        <v>0.25</v>
      </c>
      <c r="AE57" s="147">
        <f t="shared" si="66"/>
        <v>723.08571428571429</v>
      </c>
      <c r="AF57" s="122">
        <f t="shared" si="57"/>
        <v>0.25</v>
      </c>
      <c r="AG57" s="147">
        <f t="shared" si="60"/>
        <v>723.08571428571429</v>
      </c>
      <c r="AH57" s="123">
        <f t="shared" si="61"/>
        <v>1</v>
      </c>
      <c r="AI57" s="112">
        <f t="shared" si="61"/>
        <v>2892.3428571428572</v>
      </c>
      <c r="AJ57" s="148">
        <f t="shared" si="62"/>
        <v>1446.1714285714286</v>
      </c>
      <c r="AK57" s="147">
        <f t="shared" si="63"/>
        <v>1446.1714285714286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0</v>
      </c>
      <c r="F61" s="26">
        <v>1.18</v>
      </c>
      <c r="G61" s="22">
        <f t="shared" si="59"/>
        <v>1.65</v>
      </c>
      <c r="H61" s="24">
        <f t="shared" si="68"/>
        <v>0</v>
      </c>
      <c r="I61" s="39">
        <f t="shared" si="69"/>
        <v>0</v>
      </c>
      <c r="J61" s="38">
        <f t="shared" si="70"/>
        <v>0</v>
      </c>
      <c r="K61" s="40">
        <f t="shared" si="71"/>
        <v>0.54807488247647829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18961.809714285715</v>
      </c>
      <c r="J65" s="39">
        <f>SUM(J37:J64)</f>
        <v>18961.809714285715</v>
      </c>
      <c r="K65" s="40">
        <f>SUM(K37:K64)</f>
        <v>1</v>
      </c>
      <c r="L65" s="22">
        <f>SUM(L37:L64)</f>
        <v>0.47616526370018741</v>
      </c>
      <c r="M65" s="24">
        <f>SUM(M37:M64)</f>
        <v>0.46369155823360031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4092.1842857142856</v>
      </c>
      <c r="AB65" s="137"/>
      <c r="AC65" s="153">
        <f>SUM(AC37:AC64)</f>
        <v>4004.5271428571432</v>
      </c>
      <c r="AD65" s="137"/>
      <c r="AE65" s="153">
        <f>SUM(AE37:AE64)</f>
        <v>4179.8414285714289</v>
      </c>
      <c r="AF65" s="137"/>
      <c r="AG65" s="153">
        <f>SUM(AG37:AG64)</f>
        <v>6394.9711428571436</v>
      </c>
      <c r="AH65" s="137"/>
      <c r="AI65" s="153">
        <f>SUM(AI37:AI64)</f>
        <v>18671.524000000001</v>
      </c>
      <c r="AJ65" s="153">
        <f>SUM(AJ37:AJ64)</f>
        <v>8096.7114285714288</v>
      </c>
      <c r="AK65" s="153">
        <f>SUM(AK37:AK64)</f>
        <v>10574.812571428572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18961.809714285715</v>
      </c>
      <c r="J70" s="51">
        <f t="shared" ref="J70:J77" si="75">J124*I$83</f>
        <v>18961.809714285715</v>
      </c>
      <c r="K70" s="40">
        <f>B70/B$76</f>
        <v>0.38217703400736408</v>
      </c>
      <c r="L70" s="22">
        <f t="shared" ref="L70:L75" si="76">(L124*G$37*F$9/F$7)/B$130</f>
        <v>0.47616526370018747</v>
      </c>
      <c r="M70" s="24">
        <f>J70/B$76</f>
        <v>0.46369155823360031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4740.4524285714288</v>
      </c>
      <c r="AB70" s="116">
        <v>0.25</v>
      </c>
      <c r="AC70" s="147">
        <f>$J70*AB70</f>
        <v>4740.4524285714288</v>
      </c>
      <c r="AD70" s="116">
        <v>0.25</v>
      </c>
      <c r="AE70" s="147">
        <f>$J70*AD70</f>
        <v>4740.4524285714288</v>
      </c>
      <c r="AF70" s="122">
        <f>1-SUM(Z70,AB70,AD70)</f>
        <v>0.25</v>
      </c>
      <c r="AG70" s="147">
        <f>$J70*AF70</f>
        <v>4740.4524285714288</v>
      </c>
      <c r="AH70" s="155">
        <f>SUM(Z70,AB70,AD70,AF70)</f>
        <v>1</v>
      </c>
      <c r="AI70" s="147">
        <f>SUM(AA70,AC70,AE70,AG70)</f>
        <v>18961.809714285715</v>
      </c>
      <c r="AJ70" s="148">
        <f>(AA70+AC70)</f>
        <v>9480.9048571428575</v>
      </c>
      <c r="AK70" s="147">
        <f>(AE70+AG70)</f>
        <v>9480.9048571428575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0.38213672617092626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0.18798734850327262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-4370.6684125487891</v>
      </c>
      <c r="AB74" s="156"/>
      <c r="AC74" s="147">
        <f>AC30*$I$83/4</f>
        <v>-4284.010776387333</v>
      </c>
      <c r="AD74" s="156"/>
      <c r="AE74" s="147">
        <f>AE30*$I$83/4</f>
        <v>-4889.7174584496379</v>
      </c>
      <c r="AF74" s="156"/>
      <c r="AG74" s="147">
        <f>AG30*$I$83/4</f>
        <v>13254.110933100044</v>
      </c>
      <c r="AH74" s="155"/>
      <c r="AI74" s="147">
        <f>SUM(AA74,AC74,AE74,AG74)</f>
        <v>-290.2857142857174</v>
      </c>
      <c r="AJ74" s="148">
        <f>(AA74+AC74)</f>
        <v>-8654.679188936123</v>
      </c>
      <c r="AK74" s="147">
        <f>(AE74+AG74)</f>
        <v>8364.3934746504056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3722.4002696916459</v>
      </c>
      <c r="AB75" s="158"/>
      <c r="AC75" s="149">
        <f>AA75+AC65-SUM(AC70,AC74)</f>
        <v>7270.4857603646933</v>
      </c>
      <c r="AD75" s="158"/>
      <c r="AE75" s="149">
        <f>AC75+AE65-SUM(AE70,AE74)</f>
        <v>11599.59221881433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7270.4857603646942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18961.809714285715</v>
      </c>
      <c r="J76" s="51">
        <f t="shared" si="75"/>
        <v>18961.809714285715</v>
      </c>
      <c r="K76" s="40">
        <f>SUM(K70:K75)</f>
        <v>1.7092698103325998</v>
      </c>
      <c r="L76" s="22">
        <f>SUM(L70:L75)</f>
        <v>0.47616526370018747</v>
      </c>
      <c r="M76" s="24">
        <f>SUM(M70:M75)</f>
        <v>0.46369155823360031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4092.1842857142856</v>
      </c>
      <c r="AB76" s="137"/>
      <c r="AC76" s="153">
        <f>AC65</f>
        <v>4004.5271428571432</v>
      </c>
      <c r="AD76" s="137"/>
      <c r="AE76" s="153">
        <f>AE65</f>
        <v>4179.8414285714289</v>
      </c>
      <c r="AF76" s="137"/>
      <c r="AG76" s="153">
        <f>AG65</f>
        <v>6394.9711428571436</v>
      </c>
      <c r="AH76" s="137"/>
      <c r="AI76" s="153">
        <f>SUM(AA76,AC76,AE76,AG76)</f>
        <v>18671.524000000001</v>
      </c>
      <c r="AJ76" s="154">
        <f>SUM(AA76,AC76)</f>
        <v>8096.7114285714288</v>
      </c>
      <c r="AK76" s="154">
        <f>SUM(AE76,AG76)</f>
        <v>10574.812571428572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21357.578742357702</v>
      </c>
      <c r="J77" s="100">
        <f t="shared" si="75"/>
        <v>21357.578742357702</v>
      </c>
      <c r="K77" s="40"/>
      <c r="L77" s="22">
        <f>-(L131*G$37*F$9/F$7)/B$130</f>
        <v>-0.52227762625840257</v>
      </c>
      <c r="M77" s="24">
        <f>-J77/B$76</f>
        <v>-0.52227762625840246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6758.2883699635195</v>
      </c>
      <c r="AH77" s="110"/>
      <c r="AI77" s="154">
        <f>SUM(AA77,AC77,AE77,AG77)</f>
        <v>6758.2883699635195</v>
      </c>
      <c r="AJ77" s="153">
        <f>SUM(AA77,AC77)</f>
        <v>0</v>
      </c>
      <c r="AK77" s="160">
        <f>SUM(AE77,AG77)</f>
        <v>6758.2883699635195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3722.4002696916459</v>
      </c>
      <c r="AD78" s="112"/>
      <c r="AE78" s="112">
        <f>AC75</f>
        <v>7270.4857603646933</v>
      </c>
      <c r="AF78" s="112"/>
      <c r="AG78" s="112">
        <f>AE75</f>
        <v>11599.59221881433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-648.26814285714318</v>
      </c>
      <c r="AB79" s="112"/>
      <c r="AC79" s="112">
        <f>AA79-AA74+AC65-AC70</f>
        <v>2986.4749839773604</v>
      </c>
      <c r="AD79" s="112"/>
      <c r="AE79" s="112">
        <f>AC79-AC74+AE65-AE70</f>
        <v>6709.8747603646934</v>
      </c>
      <c r="AF79" s="112"/>
      <c r="AG79" s="112">
        <f>AE79-AE74+AG65-AG70</f>
        <v>13254.110933100044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0.3575757575757576</v>
      </c>
      <c r="I92" s="22">
        <f t="shared" ref="I92:I118" si="88">(D92*H92)</f>
        <v>4.1159378434012382E-5</v>
      </c>
      <c r="J92" s="24">
        <f t="shared" ref="J92:J118" si="89">IF(I$32&lt;=1+I$131,I92,L92+J$33*(I92-L92))</f>
        <v>4.1159378434012382E-5</v>
      </c>
      <c r="K92" s="22">
        <f t="shared" ref="K92:K118" si="90">IF(B92="",0,B92)</f>
        <v>1.151067362985092E-4</v>
      </c>
      <c r="L92" s="22">
        <f t="shared" ref="L92:L118" si="91">(K92*H92)</f>
        <v>4.1159378434012382E-5</v>
      </c>
      <c r="M92" s="226">
        <f t="shared" ref="M92:M118" si="92">(J92)</f>
        <v>4.1159378434012382E-5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0.57212121212121214</v>
      </c>
      <c r="I93" s="22">
        <f t="shared" si="88"/>
        <v>9.5489757966908728E-2</v>
      </c>
      <c r="J93" s="24">
        <f t="shared" si="89"/>
        <v>9.5489757966908728E-2</v>
      </c>
      <c r="K93" s="22">
        <f t="shared" si="90"/>
        <v>0.16690476763283835</v>
      </c>
      <c r="L93" s="22">
        <f t="shared" si="91"/>
        <v>9.5489757966908728E-2</v>
      </c>
      <c r="M93" s="226">
        <f t="shared" si="92"/>
        <v>9.5489757966908728E-2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0.57212121212121214</v>
      </c>
      <c r="I94" s="22">
        <f t="shared" si="88"/>
        <v>4.9391254120814852E-3</v>
      </c>
      <c r="J94" s="24">
        <f t="shared" si="89"/>
        <v>4.9391254120814852E-3</v>
      </c>
      <c r="K94" s="22">
        <f t="shared" si="90"/>
        <v>8.6330052223881886E-3</v>
      </c>
      <c r="L94" s="22">
        <f t="shared" si="91"/>
        <v>4.9391254120814852E-3</v>
      </c>
      <c r="M94" s="226">
        <f t="shared" si="92"/>
        <v>4.9391254120814852E-3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0.57212121212121214</v>
      </c>
      <c r="I95" s="22">
        <f t="shared" si="88"/>
        <v>1.1982318249709684E-2</v>
      </c>
      <c r="J95" s="24">
        <f t="shared" si="89"/>
        <v>1.1982318249709684E-2</v>
      </c>
      <c r="K95" s="22">
        <f t="shared" si="90"/>
        <v>3.6149270534546814E-2</v>
      </c>
      <c r="L95" s="22">
        <f t="shared" si="91"/>
        <v>2.068176447552254E-2</v>
      </c>
      <c r="M95" s="226">
        <f t="shared" si="92"/>
        <v>1.1982318249709684E-2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0.57212121212121214</v>
      </c>
      <c r="I96" s="22">
        <f t="shared" si="88"/>
        <v>1.7122301428549151E-2</v>
      </c>
      <c r="J96" s="24">
        <f t="shared" si="89"/>
        <v>1.7122301428549151E-2</v>
      </c>
      <c r="K96" s="22">
        <f t="shared" si="90"/>
        <v>2.9927751437612393E-2</v>
      </c>
      <c r="L96" s="22">
        <f t="shared" si="91"/>
        <v>1.7122301428549151E-2</v>
      </c>
      <c r="M96" s="226">
        <f t="shared" si="92"/>
        <v>1.7122301428549151E-2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0.92484848484848492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0.92484848484848492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2.4611913070372148E-3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1.7189272620577374E-3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0.84848484848484851</v>
      </c>
      <c r="I104" s="22">
        <f t="shared" si="88"/>
        <v>-2.2463253992799975E-3</v>
      </c>
      <c r="J104" s="24">
        <f t="shared" si="89"/>
        <v>-2.2463253992799975E-3</v>
      </c>
      <c r="K104" s="22">
        <f t="shared" si="90"/>
        <v>7.079064282358315E-3</v>
      </c>
      <c r="L104" s="22">
        <f t="shared" si="91"/>
        <v>6.0064787850312978E-3</v>
      </c>
      <c r="M104" s="226">
        <f t="shared" si="92"/>
        <v>-2.2463253992799975E-3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0.84848484848484851</v>
      </c>
      <c r="I106" s="22">
        <f t="shared" si="88"/>
        <v>3.6624870640434735E-3</v>
      </c>
      <c r="J106" s="24">
        <f t="shared" si="89"/>
        <v>3.6624870640434735E-3</v>
      </c>
      <c r="K106" s="22">
        <f t="shared" si="90"/>
        <v>1.4100575196567376E-2</v>
      </c>
      <c r="L106" s="22">
        <f t="shared" si="91"/>
        <v>1.1964124409208682E-2</v>
      </c>
      <c r="M106" s="226">
        <f t="shared" si="92"/>
        <v>3.6624870640434735E-3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1.6114943081791289E-2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0.67272727272727284</v>
      </c>
      <c r="I109" s="22">
        <f t="shared" si="88"/>
        <v>0.20724821371064023</v>
      </c>
      <c r="J109" s="24">
        <f t="shared" si="89"/>
        <v>0.20724821371064023</v>
      </c>
      <c r="K109" s="22">
        <f t="shared" si="90"/>
        <v>0.30807166902933003</v>
      </c>
      <c r="L109" s="22">
        <f t="shared" si="91"/>
        <v>0.20724821371064023</v>
      </c>
      <c r="M109" s="226">
        <f t="shared" si="92"/>
        <v>0.20724821371064023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0.67272727272727284</v>
      </c>
      <c r="I111" s="22">
        <f t="shared" si="88"/>
        <v>0.14124224398752344</v>
      </c>
      <c r="J111" s="24">
        <f t="shared" si="89"/>
        <v>0.14124224398752344</v>
      </c>
      <c r="K111" s="22">
        <f t="shared" si="90"/>
        <v>0.20995468700848077</v>
      </c>
      <c r="L111" s="22">
        <f t="shared" si="91"/>
        <v>0.14124224398752344</v>
      </c>
      <c r="M111" s="226">
        <f t="shared" si="92"/>
        <v>0.14124224398752344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</v>
      </c>
      <c r="I115" s="22">
        <f t="shared" si="88"/>
        <v>0</v>
      </c>
      <c r="J115" s="24">
        <f t="shared" si="89"/>
        <v>0</v>
      </c>
      <c r="K115" s="22">
        <f t="shared" si="90"/>
        <v>1.8058816052709714</v>
      </c>
      <c r="L115" s="22">
        <f t="shared" si="91"/>
        <v>0</v>
      </c>
      <c r="M115" s="226">
        <f t="shared" si="92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0.92596510385900432</v>
      </c>
      <c r="J119" s="24">
        <f>SUM(J91:J118)</f>
        <v>0.92596510385900432</v>
      </c>
      <c r="K119" s="22">
        <f>SUM(K91:K118)</f>
        <v>3.2949541440598207</v>
      </c>
      <c r="L119" s="22">
        <f>SUM(L91:L118)</f>
        <v>0.95087436902198186</v>
      </c>
      <c r="M119" s="57">
        <f t="shared" si="80"/>
        <v>0.92596510385900432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0.92596510385900432</v>
      </c>
      <c r="J124" s="236">
        <f>IF(SUMPRODUCT($B$124:$B124,$H$124:$H124)&lt;J$119,($B124*$H124),J$119)</f>
        <v>0.92596510385900432</v>
      </c>
      <c r="K124" s="29">
        <f>(B124)</f>
        <v>1.2592558019670554</v>
      </c>
      <c r="L124" s="29">
        <f>IF(SUMPRODUCT($B$124:$B124,$H$124:$H124)&lt;L$119,($B124*$H124),L$119)</f>
        <v>0.95087436902198186</v>
      </c>
      <c r="M124" s="239">
        <f t="shared" si="93"/>
        <v>0.92596510385900432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0.61940969298167581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0.92596510385900432</v>
      </c>
      <c r="J130" s="227">
        <f>(J119)</f>
        <v>0.92596510385900432</v>
      </c>
      <c r="K130" s="29">
        <f>(B130)</f>
        <v>3.2949541440598207</v>
      </c>
      <c r="L130" s="29">
        <f>(L119)</f>
        <v>0.95087436902198186</v>
      </c>
      <c r="M130" s="239">
        <f t="shared" si="93"/>
        <v>0.92596510385900432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1.0429580781756664</v>
      </c>
      <c r="J131" s="236">
        <f>IF(SUMPRODUCT($B124:$B125,$H124:$H125)&gt;(J119-J128),SUMPRODUCT($B124:$B125,$H124:$H125)+J128-J119,0)</f>
        <v>1.0429580781756664</v>
      </c>
      <c r="K131" s="29"/>
      <c r="L131" s="29">
        <f>IF(I131&lt;SUM(L126:L127),0,I131-(SUM(L126:L127)))</f>
        <v>1.0429580781756664</v>
      </c>
      <c r="M131" s="236">
        <f>IF(I131&lt;SUM(M126:M127),0,I131-(SUM(M126:M127)))</f>
        <v>1.0429580781756664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2.9523230035326701E-2</v>
      </c>
      <c r="J6" s="24">
        <f t="shared" ref="J6:J13" si="3">IF(I$32&lt;=1+I$131,I6,B6*H6+J$33*(I6-B6*H6))</f>
        <v>3.0467971303333164E-2</v>
      </c>
      <c r="K6" s="22">
        <f t="shared" ref="K6:K31" si="4">B6</f>
        <v>6.1429979017460022E-2</v>
      </c>
      <c r="L6" s="22">
        <f t="shared" ref="L6:L29" si="5">IF(K6="","",K6*H6)</f>
        <v>3.0714989508730011E-2</v>
      </c>
      <c r="M6" s="223">
        <f t="shared" ref="M6:M31" si="6">J6</f>
        <v>3.0467971303333164E-2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0.12187188521333266</v>
      </c>
      <c r="Z6" s="156">
        <f>Poor!Z6</f>
        <v>0.17</v>
      </c>
      <c r="AA6" s="121">
        <f>$M6*Z6*4</f>
        <v>2.0718220486266554E-2</v>
      </c>
      <c r="AB6" s="156">
        <f>Poor!AB6</f>
        <v>0.17</v>
      </c>
      <c r="AC6" s="121">
        <f t="shared" ref="AC6:AC29" si="7">$M6*AB6*4</f>
        <v>2.0718220486266554E-2</v>
      </c>
      <c r="AD6" s="156">
        <f>Poor!AD6</f>
        <v>0.33</v>
      </c>
      <c r="AE6" s="121">
        <f t="shared" ref="AE6:AE29" si="8">$M6*AD6*4</f>
        <v>4.0217722120399778E-2</v>
      </c>
      <c r="AF6" s="122">
        <f>1-SUM(Z6,AB6,AD6)</f>
        <v>0.32999999999999996</v>
      </c>
      <c r="AG6" s="121">
        <f>$M6*AF6*4</f>
        <v>4.0217722120399771E-2</v>
      </c>
      <c r="AH6" s="123">
        <f>SUM(Z6,AB6,AD6,AF6)</f>
        <v>1</v>
      </c>
      <c r="AI6" s="183">
        <f>SUM(AA6,AC6,AE6,AG6)/4</f>
        <v>3.0467971303333164E-2</v>
      </c>
      <c r="AJ6" s="120">
        <f>(AA6+AC6)/2</f>
        <v>2.0718220486266554E-2</v>
      </c>
      <c r="AK6" s="119">
        <f>(AE6+AG6)/2</f>
        <v>4.0217722120399771E-2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3">
        <f t="shared" si="6"/>
        <v>9.3851058530510564E-3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6697.3497149119576</v>
      </c>
      <c r="T7" s="221">
        <f>IF($B$81=0,0,(SUMIF($N$6:$N$28,$U7,M$6:M$28)+SUMIF($N$91:$N$118,$U7,M$91:M$118))*$I$83*Poor!$B$81/$B$81)</f>
        <v>7126.7901352286126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2.3213570602587243E-2</v>
      </c>
      <c r="J8" s="24">
        <f t="shared" si="3"/>
        <v>2.3213570602587243E-2</v>
      </c>
      <c r="K8" s="22">
        <f t="shared" si="4"/>
        <v>4.6427141205174487E-2</v>
      </c>
      <c r="L8" s="22">
        <f t="shared" si="5"/>
        <v>2.3213570602587243E-2</v>
      </c>
      <c r="M8" s="223">
        <f t="shared" si="6"/>
        <v>2.3213570602587243E-2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6308.0891428571422</v>
      </c>
      <c r="T8" s="221">
        <f>IF($B$81=0,0,(SUMIF($N$6:$N$28,$U8,M$6:M$28)+SUMIF($N$91:$N$118,$U8,M$91:M$118))*$I$83*Poor!$B$81/$B$81)</f>
        <v>5323.5885409337143</v>
      </c>
      <c r="U8" s="222">
        <v>2</v>
      </c>
      <c r="V8" s="56"/>
      <c r="W8" s="115"/>
      <c r="X8" s="118">
        <f>Poor!X8</f>
        <v>1</v>
      </c>
      <c r="Y8" s="183">
        <f t="shared" si="9"/>
        <v>9.2854282410348973E-2</v>
      </c>
      <c r="Z8" s="125">
        <f>IF($Y8=0,0,AA8/$Y8)</f>
        <v>0.74233386949601654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6.892887876095026E-2</v>
      </c>
      <c r="AB8" s="125">
        <f>IF($Y8=0,0,AC8/$Y8)</f>
        <v>0.25766613050398346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2.3925403649398713E-2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2.3213570602587243E-2</v>
      </c>
      <c r="AJ8" s="120">
        <f t="shared" si="14"/>
        <v>4.6427141205174487E-2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2.3928571428571431E-2</v>
      </c>
      <c r="J9" s="24">
        <f t="shared" si="3"/>
        <v>2.3928571428571431E-2</v>
      </c>
      <c r="K9" s="22">
        <f t="shared" si="4"/>
        <v>2.3928571428571431E-2</v>
      </c>
      <c r="L9" s="22">
        <f t="shared" si="5"/>
        <v>2.3928571428571431E-2</v>
      </c>
      <c r="M9" s="223">
        <f t="shared" si="6"/>
        <v>2.3928571428571431E-2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1296.5301622349311</v>
      </c>
      <c r="T9" s="221">
        <f>IF($B$81=0,0,(SUMIF($N$6:$N$28,$U9,M$6:M$28)+SUMIF($N$91:$N$118,$U9,M$91:M$118))*$I$83*Poor!$B$81/$B$81)</f>
        <v>1291.4717510840369</v>
      </c>
      <c r="U9" s="222">
        <v>3</v>
      </c>
      <c r="V9" s="56"/>
      <c r="W9" s="115"/>
      <c r="X9" s="118">
        <f>Poor!X9</f>
        <v>1</v>
      </c>
      <c r="Y9" s="183">
        <f t="shared" si="9"/>
        <v>9.5714285714285724E-2</v>
      </c>
      <c r="Z9" s="125">
        <f>IF($Y9=0,0,AA9/$Y9)</f>
        <v>0.74233386949601665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7.1051956080333031E-2</v>
      </c>
      <c r="AB9" s="125">
        <f>IF($Y9=0,0,AC9/$Y9)</f>
        <v>0.25766613050398335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2.4662329633952693E-2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2.3928571428571431E-2</v>
      </c>
      <c r="AJ9" s="120">
        <f t="shared" si="14"/>
        <v>4.7857142857142862E-2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0.17920113770296339</v>
      </c>
      <c r="J10" s="24">
        <f t="shared" si="3"/>
        <v>0.15046690452646</v>
      </c>
      <c r="K10" s="22">
        <f t="shared" si="4"/>
        <v>0.13115033464495388</v>
      </c>
      <c r="L10" s="22">
        <f t="shared" si="5"/>
        <v>0.14295386476299973</v>
      </c>
      <c r="M10" s="223">
        <f t="shared" si="6"/>
        <v>0.15046690452646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534.13061224489797</v>
      </c>
      <c r="T10" s="221">
        <f>IF($B$81=0,0,(SUMIF($N$6:$N$28,$U10,M$6:M$28)+SUMIF($N$91:$N$118,$U10,M$91:M$118))*$I$83*Poor!$B$81/$B$81)</f>
        <v>574.06217101151969</v>
      </c>
      <c r="U10" s="222">
        <v>4</v>
      </c>
      <c r="V10" s="56"/>
      <c r="W10" s="115"/>
      <c r="X10" s="118">
        <f>Poor!X10</f>
        <v>1</v>
      </c>
      <c r="Y10" s="183">
        <f t="shared" si="9"/>
        <v>0.60186761810584</v>
      </c>
      <c r="Z10" s="125">
        <f>IF($Y10=0,0,AA10/$Y10)</f>
        <v>0.74233386949601665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0.44678671787285901</v>
      </c>
      <c r="AB10" s="125">
        <f>IF($Y10=0,0,AC10/$Y10)</f>
        <v>0.25766613050398335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0.15508090023298099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0.15046690452646</v>
      </c>
      <c r="AJ10" s="120">
        <f t="shared" si="14"/>
        <v>0.30093380905292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2.0243994319770257E-2</v>
      </c>
      <c r="J11" s="24">
        <f t="shared" si="3"/>
        <v>1.2084002497111758E-2</v>
      </c>
      <c r="K11" s="22">
        <f t="shared" si="4"/>
        <v>9.1288420972374003E-3</v>
      </c>
      <c r="L11" s="22">
        <f t="shared" si="5"/>
        <v>9.9504378859887662E-3</v>
      </c>
      <c r="M11" s="223">
        <f t="shared" si="6"/>
        <v>1.2084002497111758E-2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11906.537142857147</v>
      </c>
      <c r="T11" s="221">
        <f>IF($B$81=0,0,(SUMIF($N$6:$N$28,$U11,M$6:M$28)+SUMIF($N$91:$N$118,$U11,M$91:M$118))*$I$83*Poor!$B$81/$B$81)</f>
        <v>11379.280840902671</v>
      </c>
      <c r="U11" s="222">
        <v>5</v>
      </c>
      <c r="V11" s="56"/>
      <c r="W11" s="115"/>
      <c r="X11" s="118">
        <f>Poor!X11</f>
        <v>1</v>
      </c>
      <c r="Y11" s="183">
        <f t="shared" si="9"/>
        <v>4.8336009988447032E-2</v>
      </c>
      <c r="Z11" s="125">
        <f>IF($Y11=0,0,AA11/$Y11)</f>
        <v>0.74233386949601665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3.5881457330721997E-2</v>
      </c>
      <c r="AB11" s="125">
        <f>IF($Y11=0,0,AC11/$Y11)</f>
        <v>0.25766613050398335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1.2454552657725035E-2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1.2084002497111758E-2</v>
      </c>
      <c r="AJ11" s="120">
        <f t="shared" si="14"/>
        <v>2.4168004994223516E-2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1</v>
      </c>
      <c r="H12" s="24">
        <f t="shared" si="1"/>
        <v>1</v>
      </c>
      <c r="I12" s="22">
        <f t="shared" si="2"/>
        <v>4.0810514529379623E-2</v>
      </c>
      <c r="J12" s="24">
        <f t="shared" si="3"/>
        <v>4.627129336592023E-2</v>
      </c>
      <c r="K12" s="22">
        <f t="shared" si="4"/>
        <v>4.7699104168678681E-2</v>
      </c>
      <c r="L12" s="22">
        <f t="shared" si="5"/>
        <v>4.7699104168678681E-2</v>
      </c>
      <c r="M12" s="223">
        <f t="shared" si="6"/>
        <v>4.627129336592023E-2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45.723475964827117</v>
      </c>
      <c r="U12" s="222">
        <v>6</v>
      </c>
      <c r="V12" s="56"/>
      <c r="W12" s="117"/>
      <c r="X12" s="118"/>
      <c r="Y12" s="183">
        <f t="shared" si="9"/>
        <v>0.18508517346368092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0.12400706622066622</v>
      </c>
      <c r="AF12" s="122">
        <f>1-SUM(Z12,AB12,AD12)</f>
        <v>0.32999999999999996</v>
      </c>
      <c r="AG12" s="121">
        <f>$M12*AF12*4</f>
        <v>6.1078107243014698E-2</v>
      </c>
      <c r="AH12" s="123">
        <f t="shared" si="12"/>
        <v>1</v>
      </c>
      <c r="AI12" s="183">
        <f t="shared" si="13"/>
        <v>4.627129336592023E-2</v>
      </c>
      <c r="AJ12" s="120">
        <f t="shared" si="14"/>
        <v>0</v>
      </c>
      <c r="AK12" s="119">
        <f t="shared" si="15"/>
        <v>9.2542586731840459E-2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6552.9540090433175</v>
      </c>
      <c r="T13" s="221">
        <f>IF($B$81=0,0,(SUMIF($N$6:$N$28,$U13,M$6:M$28)+SUMIF($N$91:$N$118,$U13,M$91:M$118))*$I$83*Poor!$B$81/$B$81)</f>
        <v>6498.3589451109128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1</v>
      </c>
      <c r="F14" s="22"/>
      <c r="H14" s="24">
        <f t="shared" si="1"/>
        <v>1</v>
      </c>
      <c r="I14" s="22">
        <f t="shared" si="2"/>
        <v>2.6521429969247973E-2</v>
      </c>
      <c r="J14" s="24">
        <f>IF(I$32&lt;=1+I131,I14,B14*H14+J$33*(I14-B14*H14))</f>
        <v>2.1070959127715404E-2</v>
      </c>
      <c r="K14" s="22">
        <f t="shared" si="4"/>
        <v>1.96458435204717E-2</v>
      </c>
      <c r="L14" s="22">
        <f t="shared" si="5"/>
        <v>1.96458435204717E-2</v>
      </c>
      <c r="M14" s="224">
        <f t="shared" si="6"/>
        <v>2.1070959127715404E-2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33567.869387755105</v>
      </c>
      <c r="T14" s="221">
        <f>IF($B$81=0,0,(SUMIF($N$6:$N$28,$U14,M$6:M$28)+SUMIF($N$91:$N$118,$U14,M$91:M$118))*$I$83*Poor!$B$81/$B$81)</f>
        <v>33567.869387755105</v>
      </c>
      <c r="U14" s="222">
        <v>8</v>
      </c>
      <c r="V14" s="56"/>
      <c r="W14" s="110"/>
      <c r="X14" s="118"/>
      <c r="Y14" s="183">
        <f>M14*4</f>
        <v>8.4283836510861618E-2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8.4283836510861618E-2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2.1070959127715404E-2</v>
      </c>
      <c r="AJ14" s="120">
        <f t="shared" si="14"/>
        <v>4.2141918255430809E-2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1</v>
      </c>
      <c r="F15" s="22"/>
      <c r="H15" s="24">
        <f t="shared" si="1"/>
        <v>1</v>
      </c>
      <c r="I15" s="22">
        <f t="shared" si="2"/>
        <v>1.010262740234325E-2</v>
      </c>
      <c r="J15" s="24">
        <f>IF(I$32&lt;=1+I131,I15,B15*H15+J$33*(I15-B15*H15))</f>
        <v>8.6414374626923567E-3</v>
      </c>
      <c r="K15" s="22">
        <f t="shared" si="4"/>
        <v>8.2593852237781758E-3</v>
      </c>
      <c r="L15" s="22">
        <f t="shared" si="5"/>
        <v>8.2593852237781758E-3</v>
      </c>
      <c r="M15" s="225">
        <f t="shared" si="6"/>
        <v>8.6414374626923567E-3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3.4565749850769427E-2</v>
      </c>
      <c r="Z15" s="156">
        <f>Poor!Z15</f>
        <v>0.25</v>
      </c>
      <c r="AA15" s="121">
        <f t="shared" si="16"/>
        <v>8.6414374626923567E-3</v>
      </c>
      <c r="AB15" s="156">
        <f>Poor!AB15</f>
        <v>0.25</v>
      </c>
      <c r="AC15" s="121">
        <f t="shared" si="7"/>
        <v>8.6414374626923567E-3</v>
      </c>
      <c r="AD15" s="156">
        <f>Poor!AD15</f>
        <v>0.25</v>
      </c>
      <c r="AE15" s="121">
        <f t="shared" si="8"/>
        <v>8.6414374626923567E-3</v>
      </c>
      <c r="AF15" s="122">
        <f t="shared" si="10"/>
        <v>0.25</v>
      </c>
      <c r="AG15" s="121">
        <f t="shared" si="11"/>
        <v>8.6414374626923567E-3</v>
      </c>
      <c r="AH15" s="123">
        <f t="shared" si="12"/>
        <v>1</v>
      </c>
      <c r="AI15" s="183">
        <f t="shared" si="13"/>
        <v>8.6414374626923567E-3</v>
      </c>
      <c r="AJ15" s="120">
        <f t="shared" si="14"/>
        <v>8.6414374626923567E-3</v>
      </c>
      <c r="AK15" s="119">
        <f t="shared" si="15"/>
        <v>8.6414374626923567E-3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1</v>
      </c>
      <c r="F16" s="22"/>
      <c r="H16" s="24">
        <f t="shared" si="1"/>
        <v>1</v>
      </c>
      <c r="I16" s="22">
        <f t="shared" si="2"/>
        <v>1.9931367864273148E-2</v>
      </c>
      <c r="J16" s="24">
        <f>IF(I$32&lt;=1+I131,I16,B16*H16+J$33*(I16-B16*H16))</f>
        <v>1.6024856809905841E-2</v>
      </c>
      <c r="K16" s="22">
        <f t="shared" si="4"/>
        <v>1.500343498501933E-2</v>
      </c>
      <c r="L16" s="22">
        <f t="shared" si="5"/>
        <v>1.500343498501933E-2</v>
      </c>
      <c r="M16" s="223">
        <f t="shared" si="6"/>
        <v>1.6024856809905841E-2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7474.5307835646845</v>
      </c>
      <c r="U16" s="222">
        <v>10</v>
      </c>
      <c r="V16" s="56"/>
      <c r="W16" s="110"/>
      <c r="X16" s="118"/>
      <c r="Y16" s="183">
        <f t="shared" si="9"/>
        <v>6.4099427239623363E-2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6.4099427239623363E-2</v>
      </c>
      <c r="AH16" s="123">
        <f t="shared" si="12"/>
        <v>1</v>
      </c>
      <c r="AI16" s="183">
        <f t="shared" si="13"/>
        <v>1.6024856809905841E-2</v>
      </c>
      <c r="AJ16" s="120">
        <f t="shared" si="14"/>
        <v>0</v>
      </c>
      <c r="AK16" s="119">
        <f t="shared" si="15"/>
        <v>3.2049713619811682E-2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1</v>
      </c>
      <c r="F17" s="22"/>
      <c r="H17" s="24">
        <f t="shared" si="1"/>
        <v>1</v>
      </c>
      <c r="I17" s="22">
        <f t="shared" si="2"/>
        <v>6.6300066587033323E-3</v>
      </c>
      <c r="J17" s="24">
        <f t="shared" ref="J17:J25" si="17">IF(I$32&lt;=1+I131,I17,B17*H17+J$33*(I17-B17*H17))</f>
        <v>5.681014311262016E-3</v>
      </c>
      <c r="K17" s="22">
        <f t="shared" si="4"/>
        <v>5.4328845909472137E-3</v>
      </c>
      <c r="L17" s="22">
        <f t="shared" si="5"/>
        <v>5.4328845909472137E-3</v>
      </c>
      <c r="M17" s="224">
        <f t="shared" si="6"/>
        <v>5.681014311262016E-3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2.2724057245048064E-2</v>
      </c>
      <c r="Z17" s="156">
        <f>Poor!Z17</f>
        <v>0.29409999999999997</v>
      </c>
      <c r="AA17" s="121">
        <f t="shared" si="16"/>
        <v>6.6831452357686352E-3</v>
      </c>
      <c r="AB17" s="156">
        <f>Poor!AB17</f>
        <v>0.17649999999999999</v>
      </c>
      <c r="AC17" s="121">
        <f t="shared" si="7"/>
        <v>4.0107961037509831E-3</v>
      </c>
      <c r="AD17" s="156">
        <f>Poor!AD17</f>
        <v>0.23530000000000001</v>
      </c>
      <c r="AE17" s="121">
        <f t="shared" si="8"/>
        <v>5.3469706697598096E-3</v>
      </c>
      <c r="AF17" s="122">
        <f t="shared" si="10"/>
        <v>0.29410000000000003</v>
      </c>
      <c r="AG17" s="121">
        <f t="shared" si="11"/>
        <v>6.6831452357686361E-3</v>
      </c>
      <c r="AH17" s="123">
        <f t="shared" si="12"/>
        <v>1</v>
      </c>
      <c r="AI17" s="183">
        <f t="shared" si="13"/>
        <v>5.681014311262016E-3</v>
      </c>
      <c r="AJ17" s="120">
        <f t="shared" si="14"/>
        <v>5.3469706697598096E-3</v>
      </c>
      <c r="AK17" s="119">
        <f t="shared" si="15"/>
        <v>6.0150579527642224E-3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5.5527423945917111E-3</v>
      </c>
      <c r="J18" s="24">
        <f t="shared" si="17"/>
        <v>4.6684305344421272E-3</v>
      </c>
      <c r="K18" s="22">
        <f t="shared" ref="K18:K25" si="21">B18</f>
        <v>4.4372125956235551E-3</v>
      </c>
      <c r="L18" s="22">
        <f t="shared" ref="L18:L25" si="22">IF(K18="","",K18*H18)</f>
        <v>4.4372125956235551E-3</v>
      </c>
      <c r="M18" s="224">
        <f t="shared" ref="M18:M25" si="23">J18</f>
        <v>4.6684305344421272E-3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1</v>
      </c>
      <c r="F19" s="22"/>
      <c r="H19" s="24">
        <f t="shared" si="19"/>
        <v>1</v>
      </c>
      <c r="I19" s="22">
        <f t="shared" si="20"/>
        <v>7.5468510871222708E-2</v>
      </c>
      <c r="J19" s="24">
        <f t="shared" si="17"/>
        <v>3.9362562902245123E-2</v>
      </c>
      <c r="K19" s="22">
        <f t="shared" si="21"/>
        <v>2.9922066574325872E-2</v>
      </c>
      <c r="L19" s="22">
        <f t="shared" si="22"/>
        <v>2.9922066574325872E-2</v>
      </c>
      <c r="M19" s="224">
        <f t="shared" si="23"/>
        <v>3.9362562902245123E-2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1</v>
      </c>
      <c r="F20" s="22"/>
      <c r="H20" s="24">
        <f t="shared" si="19"/>
        <v>1</v>
      </c>
      <c r="I20" s="22">
        <f t="shared" si="20"/>
        <v>1.9837829567692582E-2</v>
      </c>
      <c r="J20" s="24">
        <f t="shared" si="17"/>
        <v>1.9837829567692582E-2</v>
      </c>
      <c r="K20" s="22">
        <f t="shared" si="21"/>
        <v>1.9837829567692582E-2</v>
      </c>
      <c r="L20" s="22">
        <f t="shared" si="22"/>
        <v>1.9837829567692582E-2</v>
      </c>
      <c r="M20" s="224">
        <f t="shared" si="23"/>
        <v>1.9837829567692582E-2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-1.4173488319636925E-5</v>
      </c>
      <c r="K21" s="22">
        <f t="shared" si="21"/>
        <v>-1.7879380893079521E-5</v>
      </c>
      <c r="L21" s="22">
        <f t="shared" si="22"/>
        <v>-1.7879380893079521E-5</v>
      </c>
      <c r="M21" s="224">
        <f t="shared" si="23"/>
        <v>-1.4173488319636925E-5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2.2328218565904273E-3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2.2328218565904273E-3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1</v>
      </c>
      <c r="F23" s="22"/>
      <c r="H23" s="24">
        <f t="shared" si="19"/>
        <v>1</v>
      </c>
      <c r="I23" s="22">
        <f t="shared" si="20"/>
        <v>1.0815217221135029E-2</v>
      </c>
      <c r="J23" s="24">
        <f t="shared" si="17"/>
        <v>1.0815217221135029E-2</v>
      </c>
      <c r="K23" s="22">
        <f t="shared" si="21"/>
        <v>1.0815217221135029E-2</v>
      </c>
      <c r="L23" s="22">
        <f t="shared" si="22"/>
        <v>1.0815217221135029E-2</v>
      </c>
      <c r="M23" s="224">
        <f t="shared" si="23"/>
        <v>1.0815217221135029E-2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98058.387894390951</v>
      </c>
      <c r="T23" s="179">
        <f>SUM(T7:T22)</f>
        <v>97256.120606895391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1</v>
      </c>
      <c r="F24" s="22"/>
      <c r="H24" s="24">
        <f t="shared" si="19"/>
        <v>1</v>
      </c>
      <c r="I24" s="22">
        <f t="shared" si="20"/>
        <v>1.4175469667318983E-2</v>
      </c>
      <c r="J24" s="24">
        <f t="shared" si="17"/>
        <v>2.437199351399677E-2</v>
      </c>
      <c r="K24" s="22">
        <f t="shared" si="21"/>
        <v>2.7038043052837576E-2</v>
      </c>
      <c r="L24" s="22">
        <f t="shared" si="22"/>
        <v>2.7038043052837576E-2</v>
      </c>
      <c r="M24" s="224">
        <f t="shared" si="23"/>
        <v>2.437199351399677E-2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1.6578754159080351E-2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1.6578754159080351E-2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6.6315016636321403E-2</v>
      </c>
      <c r="Z27" s="156">
        <f>Poor!Z27</f>
        <v>0.25</v>
      </c>
      <c r="AA27" s="121">
        <f t="shared" si="16"/>
        <v>1.6578754159080351E-2</v>
      </c>
      <c r="AB27" s="156">
        <f>Poor!AB27</f>
        <v>0.25</v>
      </c>
      <c r="AC27" s="121">
        <f t="shared" si="7"/>
        <v>1.6578754159080351E-2</v>
      </c>
      <c r="AD27" s="156">
        <f>Poor!AD27</f>
        <v>0.25</v>
      </c>
      <c r="AE27" s="121">
        <f t="shared" si="8"/>
        <v>1.6578754159080351E-2</v>
      </c>
      <c r="AF27" s="122">
        <f t="shared" si="10"/>
        <v>0.25</v>
      </c>
      <c r="AG27" s="121">
        <f t="shared" si="11"/>
        <v>1.6578754159080351E-2</v>
      </c>
      <c r="AH27" s="123">
        <f t="shared" si="12"/>
        <v>1</v>
      </c>
      <c r="AI27" s="183">
        <f t="shared" si="13"/>
        <v>1.6578754159080351E-2</v>
      </c>
      <c r="AJ27" s="120">
        <f t="shared" si="14"/>
        <v>1.6578754159080351E-2</v>
      </c>
      <c r="AK27" s="119">
        <f t="shared" si="15"/>
        <v>1.6578754159080351E-2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1.4863835558969521E-2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1.4863835558969521E-2</v>
      </c>
      <c r="N28" s="228"/>
      <c r="O28" s="2"/>
      <c r="P28" s="22"/>
      <c r="V28" s="56"/>
      <c r="W28" s="110"/>
      <c r="X28" s="118"/>
      <c r="Y28" s="183">
        <f t="shared" si="9"/>
        <v>5.9455342235878082E-2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2.9727671117939041E-2</v>
      </c>
      <c r="AF28" s="122">
        <f t="shared" si="10"/>
        <v>0.5</v>
      </c>
      <c r="AG28" s="121">
        <f t="shared" si="11"/>
        <v>2.9727671117939041E-2</v>
      </c>
      <c r="AH28" s="123">
        <f t="shared" si="12"/>
        <v>1</v>
      </c>
      <c r="AI28" s="183">
        <f t="shared" si="13"/>
        <v>1.4863835558969521E-2</v>
      </c>
      <c r="AJ28" s="120">
        <f t="shared" si="14"/>
        <v>0</v>
      </c>
      <c r="AK28" s="119">
        <f t="shared" si="15"/>
        <v>2.9727671117939041E-2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0.23040916482167231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0.23040916482167231</v>
      </c>
      <c r="N29" s="228"/>
      <c r="P29" s="22"/>
      <c r="V29" s="56"/>
      <c r="W29" s="110"/>
      <c r="X29" s="118"/>
      <c r="Y29" s="183">
        <f t="shared" si="9"/>
        <v>0.92163665928668925</v>
      </c>
      <c r="Z29" s="156">
        <f>Poor!Z29</f>
        <v>0.25</v>
      </c>
      <c r="AA29" s="121">
        <f t="shared" si="16"/>
        <v>0.23040916482167231</v>
      </c>
      <c r="AB29" s="156">
        <f>Poor!AB29</f>
        <v>0.25</v>
      </c>
      <c r="AC29" s="121">
        <f t="shared" si="7"/>
        <v>0.23040916482167231</v>
      </c>
      <c r="AD29" s="156">
        <f>Poor!AD29</f>
        <v>0.25</v>
      </c>
      <c r="AE29" s="121">
        <f t="shared" si="8"/>
        <v>0.23040916482167231</v>
      </c>
      <c r="AF29" s="122">
        <f t="shared" si="10"/>
        <v>0.25</v>
      </c>
      <c r="AG29" s="121">
        <f t="shared" si="11"/>
        <v>0.23040916482167231</v>
      </c>
      <c r="AH29" s="123">
        <f t="shared" si="12"/>
        <v>1</v>
      </c>
      <c r="AI29" s="183">
        <f t="shared" si="13"/>
        <v>0.23040916482167231</v>
      </c>
      <c r="AJ29" s="120">
        <f t="shared" si="14"/>
        <v>0.23040916482167231</v>
      </c>
      <c r="AK29" s="119">
        <f t="shared" si="15"/>
        <v>0.23040916482167231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2.9161847813814328</v>
      </c>
      <c r="J30" s="230">
        <f>IF(I$32&lt;=1,I30,1-SUM(J6:J29))</f>
        <v>0.1927897747036903</v>
      </c>
      <c r="K30" s="22">
        <f t="shared" si="4"/>
        <v>0.59584818167738329</v>
      </c>
      <c r="L30" s="22">
        <f>IF(L124=L119,0,IF(K30="",0,(L119-L124)/(B119-B124)*K30))</f>
        <v>0.26385248905604963</v>
      </c>
      <c r="M30" s="175">
        <f t="shared" si="6"/>
        <v>0.1927897747036903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0.77115909881476119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0.4213324293149654</v>
      </c>
      <c r="AC30" s="187">
        <f>IF(AC79*4/$I$84+SUM(AC6:AC29)&lt;1,AC79*4/$I$84,1-SUM(AC6:AC29))</f>
        <v>0.32491433649196277</v>
      </c>
      <c r="AD30" s="122">
        <f>IF($Y30=0,0,AE30/($Y$30))</f>
        <v>0.58451096061878749</v>
      </c>
      <c r="AE30" s="187">
        <f>IF(AE79*4/$I$84+SUM(AE6:AE29)&lt;1,AE79*4/$I$84,1-SUM(AE6:AE29))</f>
        <v>0.45075094563813456</v>
      </c>
      <c r="AF30" s="122">
        <f>IF($Y30=0,0,AG30/($Y$30))</f>
        <v>0.53257995662527247</v>
      </c>
      <c r="AG30" s="187">
        <f>IF(AG79*4/$I$84+SUM(AG6:AG29)&lt;1,AG79*4/$I$84,1-SUM(AG6:AG29))</f>
        <v>0.41070387939794972</v>
      </c>
      <c r="AH30" s="123">
        <f t="shared" si="12"/>
        <v>1.5384233465590254</v>
      </c>
      <c r="AI30" s="183">
        <f t="shared" si="13"/>
        <v>0.29659229038201174</v>
      </c>
      <c r="AJ30" s="120">
        <f t="shared" si="14"/>
        <v>0.16245716824598139</v>
      </c>
      <c r="AK30" s="119">
        <f t="shared" si="15"/>
        <v>0.43072741251804214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-6.2612889954844597E-2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3.755712049071096</v>
      </c>
      <c r="J32" s="17"/>
      <c r="L32" s="22">
        <f>SUM(L6:L30)</f>
        <v>1.0626128899548446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3.5847899372867142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0.20727186224199831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505.71428571428567</v>
      </c>
      <c r="J37" s="38">
        <f>J91*I$83</f>
        <v>372.08297106365114</v>
      </c>
      <c r="K37" s="40">
        <f>(B37/B$65)</f>
        <v>6.212870070452437E-3</v>
      </c>
      <c r="L37" s="22">
        <f t="shared" ref="L37" si="28">(K37*H37)</f>
        <v>3.6655933415669375E-3</v>
      </c>
      <c r="M37" s="24">
        <f>J37/B$65</f>
        <v>4.045480520631162E-3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372.08297106365114</v>
      </c>
      <c r="AH37" s="123">
        <f>SUM(Z37,AB37,AD37,AF37)</f>
        <v>1</v>
      </c>
      <c r="AI37" s="112">
        <f>SUM(AA37,AC37,AE37,AG37)</f>
        <v>372.08297106365114</v>
      </c>
      <c r="AJ37" s="148">
        <f>(AA37+AC37)</f>
        <v>0</v>
      </c>
      <c r="AK37" s="147">
        <f>(AE37+AG37)</f>
        <v>372.08297106365114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130.22142857142856</v>
      </c>
      <c r="J38" s="38">
        <f t="shared" ref="J38:J64" si="32">J92*I$83</f>
        <v>130.22142857142856</v>
      </c>
      <c r="K38" s="40">
        <f t="shared" ref="K38:K64" si="33">(B38/B$65)</f>
        <v>2.3997210647122538E-3</v>
      </c>
      <c r="L38" s="22">
        <f t="shared" ref="L38:L64" si="34">(K38*H38)</f>
        <v>1.4158354281802296E-3</v>
      </c>
      <c r="M38" s="24">
        <f t="shared" ref="M38:M64" si="35">J38/B$65</f>
        <v>1.4158354281802296E-3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130.22142857142856</v>
      </c>
      <c r="AH38" s="123">
        <f t="shared" ref="AH38:AI58" si="37">SUM(Z38,AB38,AD38,AF38)</f>
        <v>1</v>
      </c>
      <c r="AI38" s="112">
        <f t="shared" si="37"/>
        <v>130.22142857142856</v>
      </c>
      <c r="AJ38" s="148">
        <f t="shared" ref="AJ38:AJ64" si="38">(AA38+AC38)</f>
        <v>0</v>
      </c>
      <c r="AK38" s="147">
        <f t="shared" ref="AK38:AK64" si="39">(AE38+AG38)</f>
        <v>130.22142857142856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5866.2857142857156</v>
      </c>
      <c r="J39" s="38">
        <f t="shared" si="32"/>
        <v>7523.3140159535842</v>
      </c>
      <c r="K39" s="40">
        <f t="shared" si="33"/>
        <v>9.163983353917346E-2</v>
      </c>
      <c r="L39" s="22">
        <f t="shared" si="34"/>
        <v>8.6508002860979746E-2</v>
      </c>
      <c r="M39" s="24">
        <f t="shared" si="35"/>
        <v>8.1797401840583359E-2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0.74233386949601654</v>
      </c>
      <c r="AA39" s="147">
        <f t="shared" ref="AA39:AA64" si="40">$J39*Z39</f>
        <v>5584.8108048964405</v>
      </c>
      <c r="AB39" s="122">
        <f>AB8</f>
        <v>0.25766613050398346</v>
      </c>
      <c r="AC39" s="147">
        <f t="shared" ref="AC39:AC64" si="41">$J39*AB39</f>
        <v>1938.5032110571442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7523.3140159535851</v>
      </c>
      <c r="AJ39" s="148">
        <f t="shared" si="38"/>
        <v>7523.3140159535851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337.14285714285711</v>
      </c>
      <c r="J40" s="38">
        <f t="shared" si="32"/>
        <v>256.96406835247643</v>
      </c>
      <c r="K40" s="40">
        <f t="shared" si="33"/>
        <v>2.7181306558229411E-3</v>
      </c>
      <c r="L40" s="22">
        <f t="shared" si="34"/>
        <v>2.5659153390968563E-3</v>
      </c>
      <c r="M40" s="24">
        <f t="shared" si="35"/>
        <v>2.7938476465353915E-3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0.74233386949601665</v>
      </c>
      <c r="AA40" s="147">
        <f t="shared" si="40"/>
        <v>190.75313118153275</v>
      </c>
      <c r="AB40" s="122">
        <f>AB9</f>
        <v>0.25766613050398335</v>
      </c>
      <c r="AC40" s="147">
        <f t="shared" si="41"/>
        <v>66.210937170943694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256.96406835247643</v>
      </c>
      <c r="AJ40" s="148">
        <f t="shared" si="38"/>
        <v>256.96406835247643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1660.7657142857142</v>
      </c>
      <c r="J41" s="38">
        <f t="shared" si="32"/>
        <v>1848.3840800552052</v>
      </c>
      <c r="K41" s="40">
        <f t="shared" si="33"/>
        <v>2.1853770472816447E-2</v>
      </c>
      <c r="L41" s="22">
        <f t="shared" si="34"/>
        <v>2.0629959326338727E-2</v>
      </c>
      <c r="M41" s="24">
        <f t="shared" si="35"/>
        <v>2.0096597726932557E-2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0.74233386949601665</v>
      </c>
      <c r="AA41" s="147">
        <f t="shared" si="40"/>
        <v>1372.1181064622156</v>
      </c>
      <c r="AB41" s="122">
        <f>AB11</f>
        <v>0.25766613050398335</v>
      </c>
      <c r="AC41" s="147">
        <f t="shared" si="41"/>
        <v>476.26597359298972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1848.3840800552052</v>
      </c>
      <c r="AJ41" s="148">
        <f t="shared" si="38"/>
        <v>1848.3840800552052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215.77142857142857</v>
      </c>
      <c r="J42" s="38">
        <f t="shared" si="32"/>
        <v>215.77142857142857</v>
      </c>
      <c r="K42" s="40">
        <f t="shared" si="33"/>
        <v>2.4851480281809749E-3</v>
      </c>
      <c r="L42" s="22">
        <f t="shared" si="34"/>
        <v>2.3459797386028401E-3</v>
      </c>
      <c r="M42" s="24">
        <f t="shared" si="35"/>
        <v>2.3459797386028401E-3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53.942857142857143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107.88571428571429</v>
      </c>
      <c r="AF42" s="122">
        <f t="shared" si="29"/>
        <v>0.25</v>
      </c>
      <c r="AG42" s="147">
        <f t="shared" si="36"/>
        <v>53.942857142857143</v>
      </c>
      <c r="AH42" s="123">
        <f t="shared" si="37"/>
        <v>1</v>
      </c>
      <c r="AI42" s="112">
        <f t="shared" si="37"/>
        <v>215.77142857142857</v>
      </c>
      <c r="AJ42" s="148">
        <f t="shared" si="38"/>
        <v>53.942857142857143</v>
      </c>
      <c r="AK42" s="147">
        <f t="shared" si="39"/>
        <v>161.82857142857142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1524.5715836236377</v>
      </c>
      <c r="K44" s="40">
        <f t="shared" si="33"/>
        <v>1.3702484940382849E-2</v>
      </c>
      <c r="L44" s="22">
        <f t="shared" si="34"/>
        <v>2.0909992019024229E-2</v>
      </c>
      <c r="M44" s="24">
        <f t="shared" si="35"/>
        <v>1.6575939033775754E-2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381.14289590590943</v>
      </c>
      <c r="AB44" s="156">
        <f>Poor!AB44</f>
        <v>0.25</v>
      </c>
      <c r="AC44" s="147">
        <f t="shared" si="41"/>
        <v>381.14289590590943</v>
      </c>
      <c r="AD44" s="156">
        <f>Poor!AD44</f>
        <v>0.25</v>
      </c>
      <c r="AE44" s="147">
        <f t="shared" si="42"/>
        <v>381.14289590590943</v>
      </c>
      <c r="AF44" s="122">
        <f t="shared" si="29"/>
        <v>0.25</v>
      </c>
      <c r="AG44" s="147">
        <f t="shared" si="36"/>
        <v>381.14289590590943</v>
      </c>
      <c r="AH44" s="123">
        <f t="shared" si="37"/>
        <v>1</v>
      </c>
      <c r="AI44" s="112">
        <f t="shared" si="37"/>
        <v>1524.5715836236377</v>
      </c>
      <c r="AJ44" s="148">
        <f t="shared" si="38"/>
        <v>762.28579181181885</v>
      </c>
      <c r="AK44" s="147">
        <f t="shared" si="39"/>
        <v>762.28579181181885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86.234552281590936</v>
      </c>
      <c r="K45" s="40">
        <f t="shared" si="33"/>
        <v>7.7505554128894159E-4</v>
      </c>
      <c r="L45" s="22">
        <f t="shared" si="34"/>
        <v>1.182734756006925E-3</v>
      </c>
      <c r="M45" s="24">
        <f t="shared" si="35"/>
        <v>9.3758712059103394E-4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21.558638070397734</v>
      </c>
      <c r="AB45" s="156">
        <f>Poor!AB45</f>
        <v>0.25</v>
      </c>
      <c r="AC45" s="147">
        <f t="shared" si="41"/>
        <v>21.558638070397734</v>
      </c>
      <c r="AD45" s="156">
        <f>Poor!AD45</f>
        <v>0.25</v>
      </c>
      <c r="AE45" s="147">
        <f t="shared" si="42"/>
        <v>21.558638070397734</v>
      </c>
      <c r="AF45" s="122">
        <f t="shared" si="29"/>
        <v>0.25</v>
      </c>
      <c r="AG45" s="147">
        <f t="shared" si="36"/>
        <v>21.558638070397734</v>
      </c>
      <c r="AH45" s="123">
        <f t="shared" si="37"/>
        <v>1</v>
      </c>
      <c r="AI45" s="112">
        <f t="shared" si="37"/>
        <v>86.234552281590936</v>
      </c>
      <c r="AJ45" s="148">
        <f t="shared" si="38"/>
        <v>43.117276140795468</v>
      </c>
      <c r="AK45" s="147">
        <f t="shared" si="39"/>
        <v>43.117276140795468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923.49999999999989</v>
      </c>
      <c r="J46" s="38">
        <f t="shared" si="32"/>
        <v>616.3178466187743</v>
      </c>
      <c r="K46" s="40">
        <f t="shared" si="33"/>
        <v>4.1626229472031323E-3</v>
      </c>
      <c r="L46" s="22">
        <f t="shared" si="34"/>
        <v>5.827672126084385E-3</v>
      </c>
      <c r="M46" s="24">
        <f t="shared" si="35"/>
        <v>6.7009297305010871E-3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154.07946165469357</v>
      </c>
      <c r="AB46" s="156">
        <f>Poor!AB46</f>
        <v>0.25</v>
      </c>
      <c r="AC46" s="147">
        <f t="shared" si="41"/>
        <v>154.07946165469357</v>
      </c>
      <c r="AD46" s="156">
        <f>Poor!AD46</f>
        <v>0.25</v>
      </c>
      <c r="AE46" s="147">
        <f t="shared" si="42"/>
        <v>154.07946165469357</v>
      </c>
      <c r="AF46" s="122">
        <f t="shared" si="29"/>
        <v>0.25</v>
      </c>
      <c r="AG46" s="147">
        <f t="shared" si="36"/>
        <v>154.07946165469357</v>
      </c>
      <c r="AH46" s="123">
        <f t="shared" si="37"/>
        <v>1</v>
      </c>
      <c r="AI46" s="112">
        <f t="shared" si="37"/>
        <v>616.3178466187743</v>
      </c>
      <c r="AJ46" s="148">
        <f t="shared" si="38"/>
        <v>308.15892330938715</v>
      </c>
      <c r="AK46" s="147">
        <f t="shared" si="39"/>
        <v>308.15892330938715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80</v>
      </c>
      <c r="J47" s="38">
        <f t="shared" si="32"/>
        <v>80</v>
      </c>
      <c r="K47" s="40">
        <f t="shared" si="33"/>
        <v>6.2128700704524372E-4</v>
      </c>
      <c r="L47" s="22">
        <f t="shared" si="34"/>
        <v>8.6980180986334112E-4</v>
      </c>
      <c r="M47" s="24">
        <f t="shared" si="35"/>
        <v>8.6980180986334123E-4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20</v>
      </c>
      <c r="AB47" s="156">
        <f>Poor!AB47</f>
        <v>0.25</v>
      </c>
      <c r="AC47" s="147">
        <f t="shared" si="41"/>
        <v>20</v>
      </c>
      <c r="AD47" s="156">
        <f>Poor!AD47</f>
        <v>0.25</v>
      </c>
      <c r="AE47" s="147">
        <f t="shared" si="42"/>
        <v>20</v>
      </c>
      <c r="AF47" s="122">
        <f t="shared" si="29"/>
        <v>0.25</v>
      </c>
      <c r="AG47" s="147">
        <f t="shared" si="36"/>
        <v>20</v>
      </c>
      <c r="AH47" s="123">
        <f t="shared" si="37"/>
        <v>1</v>
      </c>
      <c r="AI47" s="112">
        <f t="shared" si="37"/>
        <v>80</v>
      </c>
      <c r="AJ47" s="148">
        <f t="shared" si="38"/>
        <v>40</v>
      </c>
      <c r="AK47" s="147">
        <f t="shared" si="39"/>
        <v>40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30</v>
      </c>
      <c r="J48" s="38">
        <f t="shared" si="32"/>
        <v>102.93098867373614</v>
      </c>
      <c r="K48" s="40">
        <f t="shared" si="33"/>
        <v>9.4746268574399657E-4</v>
      </c>
      <c r="L48" s="22">
        <f t="shared" si="34"/>
        <v>1.3264477600415951E-3</v>
      </c>
      <c r="M48" s="24">
        <f t="shared" si="35"/>
        <v>1.1191195029929845E-3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25.732747168434035</v>
      </c>
      <c r="AB48" s="156">
        <f>Poor!AB48</f>
        <v>0.25</v>
      </c>
      <c r="AC48" s="147">
        <f t="shared" si="41"/>
        <v>25.732747168434035</v>
      </c>
      <c r="AD48" s="156">
        <f>Poor!AD48</f>
        <v>0.25</v>
      </c>
      <c r="AE48" s="147">
        <f t="shared" si="42"/>
        <v>25.732747168434035</v>
      </c>
      <c r="AF48" s="122">
        <f t="shared" si="29"/>
        <v>0.25</v>
      </c>
      <c r="AG48" s="147">
        <f t="shared" si="36"/>
        <v>25.732747168434035</v>
      </c>
      <c r="AH48" s="123">
        <f t="shared" si="37"/>
        <v>1</v>
      </c>
      <c r="AI48" s="112">
        <f t="shared" si="37"/>
        <v>102.93098867373614</v>
      </c>
      <c r="AJ48" s="148">
        <f t="shared" si="38"/>
        <v>51.465494336868069</v>
      </c>
      <c r="AK48" s="147">
        <f t="shared" si="39"/>
        <v>51.465494336868069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1252.8275489127459</v>
      </c>
      <c r="K49" s="40">
        <f t="shared" si="33"/>
        <v>1.227352482417879E-2</v>
      </c>
      <c r="L49" s="22">
        <f t="shared" si="34"/>
        <v>1.7182934753850305E-2</v>
      </c>
      <c r="M49" s="24">
        <f t="shared" si="35"/>
        <v>1.3621395868637001E-2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313.20688722818647</v>
      </c>
      <c r="AB49" s="156">
        <f>Poor!AB49</f>
        <v>0.25</v>
      </c>
      <c r="AC49" s="147">
        <f t="shared" si="41"/>
        <v>313.20688722818647</v>
      </c>
      <c r="AD49" s="156">
        <f>Poor!AD49</f>
        <v>0.25</v>
      </c>
      <c r="AE49" s="147">
        <f t="shared" si="42"/>
        <v>313.20688722818647</v>
      </c>
      <c r="AF49" s="122">
        <f t="shared" si="29"/>
        <v>0.25</v>
      </c>
      <c r="AG49" s="147">
        <f t="shared" si="36"/>
        <v>313.20688722818647</v>
      </c>
      <c r="AH49" s="123">
        <f t="shared" si="37"/>
        <v>1</v>
      </c>
      <c r="AI49" s="112">
        <f t="shared" si="37"/>
        <v>1252.8275489127459</v>
      </c>
      <c r="AJ49" s="148">
        <f t="shared" si="38"/>
        <v>626.41377445637295</v>
      </c>
      <c r="AK49" s="147">
        <f t="shared" si="39"/>
        <v>626.41377445637295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161.59999999999997</v>
      </c>
      <c r="J50" s="38">
        <f t="shared" si="32"/>
        <v>257.20301341361494</v>
      </c>
      <c r="K50" s="40">
        <f t="shared" si="33"/>
        <v>2.1915899173520969E-3</v>
      </c>
      <c r="L50" s="22">
        <f t="shared" si="34"/>
        <v>3.0682258842929357E-3</v>
      </c>
      <c r="M50" s="24">
        <f t="shared" si="35"/>
        <v>2.7964455821183438E-3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64.300753353403735</v>
      </c>
      <c r="AB50" s="156">
        <f>Poor!AB55</f>
        <v>0.25</v>
      </c>
      <c r="AC50" s="147">
        <f t="shared" si="41"/>
        <v>64.300753353403735</v>
      </c>
      <c r="AD50" s="156">
        <f>Poor!AD55</f>
        <v>0.25</v>
      </c>
      <c r="AE50" s="147">
        <f t="shared" si="42"/>
        <v>64.300753353403735</v>
      </c>
      <c r="AF50" s="122">
        <f t="shared" si="29"/>
        <v>0.25</v>
      </c>
      <c r="AG50" s="147">
        <f t="shared" si="36"/>
        <v>64.300753353403735</v>
      </c>
      <c r="AH50" s="123">
        <f t="shared" si="37"/>
        <v>1</v>
      </c>
      <c r="AI50" s="112">
        <f t="shared" si="37"/>
        <v>257.20301341361494</v>
      </c>
      <c r="AJ50" s="148">
        <f t="shared" si="38"/>
        <v>128.60150670680747</v>
      </c>
      <c r="AK50" s="147">
        <f t="shared" si="39"/>
        <v>128.60150670680747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240.19662574067445</v>
      </c>
      <c r="K51" s="40">
        <f t="shared" si="33"/>
        <v>2.3531245391838606E-3</v>
      </c>
      <c r="L51" s="22">
        <f t="shared" si="34"/>
        <v>3.2943743548574048E-3</v>
      </c>
      <c r="M51" s="24">
        <f t="shared" si="35"/>
        <v>2.6115432474038279E-3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60.049156435168612</v>
      </c>
      <c r="AB51" s="156">
        <f>Poor!AB56</f>
        <v>0.25</v>
      </c>
      <c r="AC51" s="147">
        <f t="shared" si="41"/>
        <v>60.049156435168612</v>
      </c>
      <c r="AD51" s="156">
        <f>Poor!AD56</f>
        <v>0.25</v>
      </c>
      <c r="AE51" s="147">
        <f t="shared" si="42"/>
        <v>60.049156435168612</v>
      </c>
      <c r="AF51" s="122">
        <f t="shared" si="29"/>
        <v>0.25</v>
      </c>
      <c r="AG51" s="147">
        <f t="shared" si="36"/>
        <v>60.049156435168612</v>
      </c>
      <c r="AH51" s="123">
        <f t="shared" si="37"/>
        <v>1</v>
      </c>
      <c r="AI51" s="112">
        <f t="shared" si="37"/>
        <v>240.19662574067445</v>
      </c>
      <c r="AJ51" s="148">
        <f t="shared" si="38"/>
        <v>120.09831287033722</v>
      </c>
      <c r="AK51" s="147">
        <f t="shared" si="39"/>
        <v>120.09831287033722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168.39999999999998</v>
      </c>
      <c r="J52" s="38">
        <f t="shared" si="32"/>
        <v>180.76655894902481</v>
      </c>
      <c r="K52" s="40">
        <f t="shared" si="33"/>
        <v>1.4289601162040604E-3</v>
      </c>
      <c r="L52" s="22">
        <f t="shared" si="34"/>
        <v>2.0005441626856843E-3</v>
      </c>
      <c r="M52" s="24">
        <f t="shared" si="35"/>
        <v>1.9653885017078768E-3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45.191639737256203</v>
      </c>
      <c r="AB52" s="156">
        <f>Poor!AB57</f>
        <v>0.25</v>
      </c>
      <c r="AC52" s="147">
        <f t="shared" si="41"/>
        <v>45.191639737256203</v>
      </c>
      <c r="AD52" s="156">
        <f>Poor!AD57</f>
        <v>0.25</v>
      </c>
      <c r="AE52" s="147">
        <f t="shared" si="42"/>
        <v>45.191639737256203</v>
      </c>
      <c r="AF52" s="122">
        <f t="shared" si="29"/>
        <v>0.25</v>
      </c>
      <c r="AG52" s="147">
        <f t="shared" si="36"/>
        <v>45.191639737256203</v>
      </c>
      <c r="AH52" s="123">
        <f t="shared" si="37"/>
        <v>1</v>
      </c>
      <c r="AI52" s="112">
        <f t="shared" si="37"/>
        <v>180.76655894902481</v>
      </c>
      <c r="AJ52" s="148">
        <f t="shared" si="38"/>
        <v>90.383279474512406</v>
      </c>
      <c r="AK52" s="147">
        <f t="shared" si="39"/>
        <v>90.383279474512406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317.09125510320064</v>
      </c>
      <c r="K53" s="40">
        <f t="shared" si="33"/>
        <v>3.1064350352262185E-3</v>
      </c>
      <c r="L53" s="22">
        <f t="shared" si="34"/>
        <v>4.3490090493167053E-3</v>
      </c>
      <c r="M53" s="24">
        <f t="shared" si="35"/>
        <v>3.447581844757529E-3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393.57428571428574</v>
      </c>
      <c r="J55" s="38">
        <f t="shared" si="32"/>
        <v>393.57428571428574</v>
      </c>
      <c r="K55" s="40">
        <f t="shared" si="33"/>
        <v>3.8550858787157372E-3</v>
      </c>
      <c r="L55" s="22">
        <f t="shared" si="34"/>
        <v>4.2791453253744685E-3</v>
      </c>
      <c r="M55" s="24">
        <f t="shared" si="35"/>
        <v>4.2791453253744685E-3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380.57142857142856</v>
      </c>
      <c r="J56" s="38">
        <f t="shared" si="32"/>
        <v>380.57142857142856</v>
      </c>
      <c r="K56" s="40">
        <f t="shared" si="33"/>
        <v>3.7277220422714621E-3</v>
      </c>
      <c r="L56" s="22">
        <f t="shared" si="34"/>
        <v>4.1377714669213229E-3</v>
      </c>
      <c r="M56" s="24">
        <f t="shared" si="35"/>
        <v>4.1377714669213229E-3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4281.4285714285725</v>
      </c>
      <c r="J57" s="38">
        <f t="shared" si="32"/>
        <v>4281.4285714285716</v>
      </c>
      <c r="K57" s="40">
        <f t="shared" si="33"/>
        <v>4.193687297555395E-2</v>
      </c>
      <c r="L57" s="22">
        <f t="shared" si="34"/>
        <v>4.6549929002864886E-2</v>
      </c>
      <c r="M57" s="24">
        <f t="shared" si="35"/>
        <v>4.6549929002864886E-2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29371.885714285712</v>
      </c>
      <c r="J58" s="38">
        <f t="shared" si="32"/>
        <v>29371.885714285716</v>
      </c>
      <c r="K58" s="40">
        <f t="shared" si="33"/>
        <v>0.33829077533613516</v>
      </c>
      <c r="L58" s="22">
        <f t="shared" si="34"/>
        <v>0.31934649191731157</v>
      </c>
      <c r="M58" s="24">
        <f t="shared" si="35"/>
        <v>0.31934649191731163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7342.971428571429</v>
      </c>
      <c r="AB58" s="156">
        <f>Poor!AB58</f>
        <v>0.25</v>
      </c>
      <c r="AC58" s="147">
        <f t="shared" si="41"/>
        <v>7342.971428571429</v>
      </c>
      <c r="AD58" s="156">
        <f>Poor!AD58</f>
        <v>0.25</v>
      </c>
      <c r="AE58" s="147">
        <f t="shared" si="42"/>
        <v>7342.971428571429</v>
      </c>
      <c r="AF58" s="122">
        <f t="shared" si="29"/>
        <v>0.25</v>
      </c>
      <c r="AG58" s="147">
        <f t="shared" si="36"/>
        <v>7342.971428571429</v>
      </c>
      <c r="AH58" s="123">
        <f t="shared" si="37"/>
        <v>1</v>
      </c>
      <c r="AI58" s="112">
        <f t="shared" si="37"/>
        <v>29371.885714285716</v>
      </c>
      <c r="AJ58" s="148">
        <f t="shared" si="38"/>
        <v>14685.942857142858</v>
      </c>
      <c r="AK58" s="147">
        <f t="shared" si="39"/>
        <v>14685.942857142858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6540.2144356190993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7.1108629412448041E-2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1635.0536089047748</v>
      </c>
      <c r="AB59" s="156">
        <f>Poor!AB59</f>
        <v>0.25</v>
      </c>
      <c r="AC59" s="147">
        <f t="shared" si="41"/>
        <v>1635.0536089047748</v>
      </c>
      <c r="AD59" s="156">
        <f>Poor!AD59</f>
        <v>0.25</v>
      </c>
      <c r="AE59" s="147">
        <f t="shared" si="42"/>
        <v>1635.0536089047748</v>
      </c>
      <c r="AF59" s="122">
        <f t="shared" si="29"/>
        <v>0.25</v>
      </c>
      <c r="AG59" s="147">
        <f t="shared" si="36"/>
        <v>1635.0536089047748</v>
      </c>
      <c r="AH59" s="123">
        <f t="shared" ref="AH59:AI64" si="43">SUM(Z59,AB59,AD59,AF59)</f>
        <v>1</v>
      </c>
      <c r="AI59" s="112">
        <f t="shared" si="43"/>
        <v>6540.2144356190993</v>
      </c>
      <c r="AJ59" s="148">
        <f t="shared" si="38"/>
        <v>3270.1072178095496</v>
      </c>
      <c r="AK59" s="147">
        <f t="shared" si="39"/>
        <v>3270.1072178095496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0.15145707830022945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71397.461428571434</v>
      </c>
      <c r="J65" s="39">
        <f>SUM(J37:J64)</f>
        <v>75327.289544361018</v>
      </c>
      <c r="K65" s="40">
        <f>SUM(K37:K64)</f>
        <v>1</v>
      </c>
      <c r="L65" s="22">
        <f>SUM(L37:L64)</f>
        <v>0.83016937737709895</v>
      </c>
      <c r="M65" s="24">
        <f>SUM(M37:M64)</f>
        <v>0.81899765972231442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22103.596402426989</v>
      </c>
      <c r="AB65" s="137"/>
      <c r="AC65" s="153">
        <f>SUM(AC37:AC64)</f>
        <v>17382.951624565016</v>
      </c>
      <c r="AD65" s="137"/>
      <c r="AE65" s="153">
        <f>SUM(AE37:AE64)</f>
        <v>15009.857217029652</v>
      </c>
      <c r="AF65" s="137"/>
      <c r="AG65" s="153">
        <f>SUM(AG37:AG64)</f>
        <v>15458.218759521875</v>
      </c>
      <c r="AH65" s="137"/>
      <c r="AI65" s="153">
        <f>SUM(AI37:AI64)</f>
        <v>69954.624003543518</v>
      </c>
      <c r="AJ65" s="153">
        <f>SUM(AJ37:AJ64)</f>
        <v>39486.548026992001</v>
      </c>
      <c r="AK65" s="153">
        <f>SUM(AK37:AK64)</f>
        <v>30468.075976551529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29814.891428571424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0.32416308156813051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6778.4967243850024</v>
      </c>
      <c r="K73" s="40">
        <f>B73/B$76</f>
        <v>0.15021166612836381</v>
      </c>
      <c r="L73" s="22">
        <f t="shared" si="45"/>
        <v>7.1026957473068655E-2</v>
      </c>
      <c r="M73" s="24">
        <f>J73/B$76</f>
        <v>7.3699358987785055E-2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52252.642243294176</v>
      </c>
      <c r="J74" s="51">
        <f t="shared" si="44"/>
        <v>3454.4364918416254</v>
      </c>
      <c r="K74" s="40">
        <f>B74/B$76</f>
        <v>7.0351799595530243E-2</v>
      </c>
      <c r="L74" s="22">
        <f t="shared" si="45"/>
        <v>5.1402558077773636E-2</v>
      </c>
      <c r="M74" s="24">
        <f>J74/B$76</f>
        <v>3.7558438908272714E-2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2683.5522692651007</v>
      </c>
      <c r="AD74" s="156"/>
      <c r="AE74" s="147">
        <f>AE30*$I$84/4</f>
        <v>3722.869652661595</v>
      </c>
      <c r="AF74" s="156"/>
      <c r="AG74" s="147">
        <f>AG30*$I$84/4</f>
        <v>3392.1104850404513</v>
      </c>
      <c r="AH74" s="155"/>
      <c r="AI74" s="147">
        <f>SUM(AA74,AC74,AE74,AG74)</f>
        <v>9798.5324069671478</v>
      </c>
      <c r="AJ74" s="148">
        <f>(AA74+AC74)</f>
        <v>2683.5522692651007</v>
      </c>
      <c r="AK74" s="147">
        <f>(AE74+AG74)</f>
        <v>7114.9801377020467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0.20737705423954864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26149.641932320465</v>
      </c>
      <c r="AB75" s="158"/>
      <c r="AC75" s="149">
        <f>AA75+AC65-SUM(AC70,AC74)</f>
        <v>36062.836491301059</v>
      </c>
      <c r="AD75" s="158"/>
      <c r="AE75" s="149">
        <f>AC75+AE65-SUM(AE70,AE74)</f>
        <v>42563.619259349805</v>
      </c>
      <c r="AF75" s="158"/>
      <c r="AG75" s="149">
        <f>IF(SUM(AG6:AG29)+((AG65-AG70-$J$75)*4/I$83)&lt;1,0,AG65-AG70-$J$75-(1-SUM(AG6:AG29))*I$83/4)</f>
        <v>8832.2503262127902</v>
      </c>
      <c r="AH75" s="134"/>
      <c r="AI75" s="149">
        <f>AI76-SUM(AI70,AI74)</f>
        <v>41011.272411299135</v>
      </c>
      <c r="AJ75" s="151">
        <f>AJ76-SUM(AJ70,AJ74)</f>
        <v>27230.58616508828</v>
      </c>
      <c r="AK75" s="149">
        <f>AJ75+AK76-SUM(AK70,AK74)</f>
        <v>41011.272411299135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71397.46142857142</v>
      </c>
      <c r="J76" s="51">
        <f t="shared" si="44"/>
        <v>75327.289544361018</v>
      </c>
      <c r="K76" s="40">
        <f>SUM(K70:K75)</f>
        <v>1</v>
      </c>
      <c r="L76" s="22">
        <f>SUM(L70:L75)</f>
        <v>0.83016937737709895</v>
      </c>
      <c r="M76" s="24">
        <f>SUM(M70:M75)</f>
        <v>0.81899765972231442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22103.596402426989</v>
      </c>
      <c r="AB76" s="137"/>
      <c r="AC76" s="153">
        <f>AC65</f>
        <v>17382.951624565016</v>
      </c>
      <c r="AD76" s="137"/>
      <c r="AE76" s="153">
        <f>AE65</f>
        <v>15009.857217029652</v>
      </c>
      <c r="AF76" s="137"/>
      <c r="AG76" s="153">
        <f>AG65</f>
        <v>15458.218759521875</v>
      </c>
      <c r="AH76" s="137"/>
      <c r="AI76" s="153">
        <f>SUM(AA76,AC76,AE76,AG76)</f>
        <v>69954.624003543533</v>
      </c>
      <c r="AJ76" s="154">
        <f>SUM(AA76,AC76)</f>
        <v>39486.548026992008</v>
      </c>
      <c r="AK76" s="154">
        <f>SUM(AE76,AG76)</f>
        <v>30468.075976551525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8832.2503262127902</v>
      </c>
      <c r="AB78" s="112"/>
      <c r="AC78" s="112">
        <f>IF(AA75&lt;0,0,AA75)</f>
        <v>26149.641932320465</v>
      </c>
      <c r="AD78" s="112"/>
      <c r="AE78" s="112">
        <f>AC75</f>
        <v>36062.836491301059</v>
      </c>
      <c r="AF78" s="112"/>
      <c r="AG78" s="112">
        <f>AE75</f>
        <v>42563.619259349805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26149.641932320465</v>
      </c>
      <c r="AB79" s="112"/>
      <c r="AC79" s="112">
        <f>AA79-AA74+AC65-AC70</f>
        <v>38746.388760566166</v>
      </c>
      <c r="AD79" s="112"/>
      <c r="AE79" s="112">
        <f>AC79-AC74+AE65-AE70</f>
        <v>46286.488912011409</v>
      </c>
      <c r="AF79" s="112"/>
      <c r="AG79" s="112">
        <f>AE79-AE74+AG65-AG70</f>
        <v>53235.633222552373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0.3575757575757576</v>
      </c>
      <c r="I91" s="22">
        <f t="shared" ref="I91" si="52">(D91*H91)</f>
        <v>2.8223573783322773E-2</v>
      </c>
      <c r="J91" s="24">
        <f>IF(I$32&lt;=1+I$131,I91,L91+J$33*(I91-L91))</f>
        <v>2.0765700087946436E-2</v>
      </c>
      <c r="K91" s="22">
        <f t="shared" ref="K91" si="53">(B91)</f>
        <v>5.2620222307889916E-2</v>
      </c>
      <c r="L91" s="22">
        <f t="shared" ref="L91" si="54">(K91*H91)</f>
        <v>1.8815715855548518E-2</v>
      </c>
      <c r="M91" s="226">
        <f t="shared" si="49"/>
        <v>2.0765700087946436E-2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0.3575757575757576</v>
      </c>
      <c r="I92" s="22">
        <f t="shared" ref="I92:I118" si="58">(D92*H92)</f>
        <v>7.2675702492056146E-3</v>
      </c>
      <c r="J92" s="24">
        <f t="shared" ref="J92:J118" si="59">IF(I$32&lt;=1+I$131,I92,L92+J$33*(I92-L92))</f>
        <v>7.2675702492056146E-3</v>
      </c>
      <c r="K92" s="22">
        <f t="shared" ref="K92:K118" si="60">(B92)</f>
        <v>2.0324560866422481E-2</v>
      </c>
      <c r="L92" s="22">
        <f t="shared" ref="L92:L118" si="61">(K92*H92)</f>
        <v>7.2675702492056146E-3</v>
      </c>
      <c r="M92" s="226">
        <f t="shared" ref="M92:M118" si="62">(J92)</f>
        <v>7.2675702492056146E-3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0.57212121212121214</v>
      </c>
      <c r="I93" s="22">
        <f t="shared" si="58"/>
        <v>0.32739345588654428</v>
      </c>
      <c r="J93" s="24">
        <f t="shared" si="59"/>
        <v>0.41987108970921089</v>
      </c>
      <c r="K93" s="22">
        <f t="shared" si="60"/>
        <v>0.7761482790413764</v>
      </c>
      <c r="L93" s="22">
        <f t="shared" si="61"/>
        <v>0.44405089419094507</v>
      </c>
      <c r="M93" s="226">
        <f t="shared" si="62"/>
        <v>0.41987108970921089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0.57212121212121214</v>
      </c>
      <c r="I94" s="22">
        <f t="shared" si="58"/>
        <v>1.8815715855548518E-2</v>
      </c>
      <c r="J94" s="24">
        <f t="shared" si="59"/>
        <v>1.4340991638322713E-2</v>
      </c>
      <c r="K94" s="22">
        <f t="shared" si="60"/>
        <v>2.3021347259701837E-2</v>
      </c>
      <c r="L94" s="22">
        <f t="shared" si="61"/>
        <v>1.3171001098883962E-2</v>
      </c>
      <c r="M94" s="226">
        <f t="shared" si="62"/>
        <v>1.4340991638322713E-2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0.57212121212121214</v>
      </c>
      <c r="I95" s="22">
        <f t="shared" si="58"/>
        <v>9.2686216304431995E-2</v>
      </c>
      <c r="J95" s="24">
        <f t="shared" si="59"/>
        <v>0.10315707097274038</v>
      </c>
      <c r="K95" s="22">
        <f t="shared" si="60"/>
        <v>0.1850916319680028</v>
      </c>
      <c r="L95" s="22">
        <f t="shared" si="61"/>
        <v>0.10589484883502706</v>
      </c>
      <c r="M95" s="226">
        <f t="shared" si="62"/>
        <v>0.10315707097274038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0.57212121212121214</v>
      </c>
      <c r="I96" s="22">
        <f t="shared" si="58"/>
        <v>1.2042058147551051E-2</v>
      </c>
      <c r="J96" s="24">
        <f t="shared" si="59"/>
        <v>1.2042058147551051E-2</v>
      </c>
      <c r="K96" s="22">
        <f t="shared" si="60"/>
        <v>2.1048088923155968E-2</v>
      </c>
      <c r="L96" s="22">
        <f t="shared" si="61"/>
        <v>1.2042058147551051E-2</v>
      </c>
      <c r="M96" s="226">
        <f t="shared" si="62"/>
        <v>1.2042058147551051E-2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0.92484848484848492</v>
      </c>
      <c r="I98" s="22">
        <f t="shared" si="58"/>
        <v>0</v>
      </c>
      <c r="J98" s="24">
        <f t="shared" si="59"/>
        <v>8.5085313573026247E-2</v>
      </c>
      <c r="K98" s="22">
        <f t="shared" si="60"/>
        <v>0.11605390030005121</v>
      </c>
      <c r="L98" s="22">
        <f t="shared" si="61"/>
        <v>0.10733227385325948</v>
      </c>
      <c r="M98" s="226">
        <f t="shared" si="62"/>
        <v>8.5085313573026247E-2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0.92484848484848492</v>
      </c>
      <c r="I99" s="22">
        <f t="shared" si="58"/>
        <v>0</v>
      </c>
      <c r="J99" s="24">
        <f t="shared" si="59"/>
        <v>4.8126923002652575E-3</v>
      </c>
      <c r="K99" s="22">
        <f t="shared" si="60"/>
        <v>6.5643727329092677E-3</v>
      </c>
      <c r="L99" s="22">
        <f t="shared" si="61"/>
        <v>6.0710501760118446E-3</v>
      </c>
      <c r="M99" s="226">
        <f t="shared" si="62"/>
        <v>4.8126923002652575E-3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0.84848484848484851</v>
      </c>
      <c r="I100" s="22">
        <f t="shared" si="58"/>
        <v>5.1539913198387022E-2</v>
      </c>
      <c r="J100" s="24">
        <f t="shared" si="59"/>
        <v>3.4396284046939292E-2</v>
      </c>
      <c r="K100" s="22">
        <f t="shared" si="60"/>
        <v>3.5255548946286241E-2</v>
      </c>
      <c r="L100" s="22">
        <f t="shared" si="61"/>
        <v>2.9913799105939842E-2</v>
      </c>
      <c r="M100" s="226">
        <f t="shared" si="62"/>
        <v>3.4396284046939292E-2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0.84848484848484851</v>
      </c>
      <c r="I101" s="22">
        <f t="shared" si="58"/>
        <v>4.4647461352149021E-3</v>
      </c>
      <c r="J101" s="24">
        <f t="shared" si="59"/>
        <v>4.4647461352149021E-3</v>
      </c>
      <c r="K101" s="22">
        <f t="shared" si="60"/>
        <v>5.262022230788992E-3</v>
      </c>
      <c r="L101" s="22">
        <f t="shared" si="61"/>
        <v>4.4647461352149021E-3</v>
      </c>
      <c r="M101" s="226">
        <f t="shared" si="62"/>
        <v>4.4647461352149021E-3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0.84848484848484851</v>
      </c>
      <c r="I102" s="22">
        <f t="shared" si="58"/>
        <v>1.6742798007055885E-3</v>
      </c>
      <c r="J102" s="24">
        <f t="shared" si="59"/>
        <v>5.7445091734364042E-3</v>
      </c>
      <c r="K102" s="22">
        <f t="shared" si="60"/>
        <v>8.0245839019532118E-3</v>
      </c>
      <c r="L102" s="22">
        <f t="shared" si="61"/>
        <v>6.8087378562027255E-3</v>
      </c>
      <c r="M102" s="226">
        <f t="shared" si="62"/>
        <v>5.7445091734364042E-3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6.9919461963736773E-2</v>
      </c>
      <c r="K103" s="22">
        <f t="shared" si="60"/>
        <v>0.10395124916923654</v>
      </c>
      <c r="L103" s="22">
        <f t="shared" si="61"/>
        <v>8.8201059901170401E-2</v>
      </c>
      <c r="M103" s="226">
        <f t="shared" si="62"/>
        <v>6.9919461963736773E-2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0.84848484848484851</v>
      </c>
      <c r="I104" s="22">
        <f t="shared" si="58"/>
        <v>9.0187871931341011E-3</v>
      </c>
      <c r="J104" s="24">
        <f t="shared" si="59"/>
        <v>1.4354327001300802E-2</v>
      </c>
      <c r="K104" s="22">
        <f t="shared" si="60"/>
        <v>1.8561783419108167E-2</v>
      </c>
      <c r="L104" s="22">
        <f t="shared" si="61"/>
        <v>1.5749391991970566E-2</v>
      </c>
      <c r="M104" s="226">
        <f t="shared" si="62"/>
        <v>1.4354327001300802E-2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1.3405211955841708E-2</v>
      </c>
      <c r="K105" s="22">
        <f t="shared" si="60"/>
        <v>1.9929909199113305E-2</v>
      </c>
      <c r="L105" s="22">
        <f t="shared" si="61"/>
        <v>1.6910225987126441E-2</v>
      </c>
      <c r="M105" s="226">
        <f t="shared" si="62"/>
        <v>1.3405211955841708E-2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0.84848484848484851</v>
      </c>
      <c r="I106" s="22">
        <f t="shared" si="58"/>
        <v>9.3982906146273682E-3</v>
      </c>
      <c r="J106" s="24">
        <f t="shared" si="59"/>
        <v>1.0088459943046942E-2</v>
      </c>
      <c r="K106" s="22">
        <f t="shared" si="60"/>
        <v>1.2102651130814679E-2</v>
      </c>
      <c r="L106" s="22">
        <f t="shared" si="61"/>
        <v>1.0268916110994274E-2</v>
      </c>
      <c r="M106" s="226">
        <f t="shared" si="62"/>
        <v>1.0088459943046942E-2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1.7696649446655721E-2</v>
      </c>
      <c r="K107" s="22">
        <f t="shared" si="60"/>
        <v>2.6310111153944958E-2</v>
      </c>
      <c r="L107" s="22">
        <f t="shared" si="61"/>
        <v>2.2323730676074509E-2</v>
      </c>
      <c r="M107" s="226">
        <f t="shared" si="62"/>
        <v>1.7696649446655721E-2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0.67272727272727284</v>
      </c>
      <c r="I109" s="22">
        <f t="shared" si="58"/>
        <v>2.1965115888285289E-2</v>
      </c>
      <c r="J109" s="24">
        <f t="shared" si="59"/>
        <v>2.1965115888285289E-2</v>
      </c>
      <c r="K109" s="22">
        <f t="shared" si="60"/>
        <v>3.2650847942045695E-2</v>
      </c>
      <c r="L109" s="22">
        <f t="shared" si="61"/>
        <v>2.1965115888285289E-2</v>
      </c>
      <c r="M109" s="226">
        <f t="shared" si="62"/>
        <v>2.1965115888285289E-2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0.67272727272727284</v>
      </c>
      <c r="I110" s="22">
        <f t="shared" si="58"/>
        <v>2.1239435186093749E-2</v>
      </c>
      <c r="J110" s="24">
        <f t="shared" si="59"/>
        <v>2.1239435186093749E-2</v>
      </c>
      <c r="K110" s="22">
        <f t="shared" si="60"/>
        <v>3.1572133384733948E-2</v>
      </c>
      <c r="L110" s="22">
        <f t="shared" si="61"/>
        <v>2.1239435186093749E-2</v>
      </c>
      <c r="M110" s="226">
        <f t="shared" si="62"/>
        <v>2.1239435186093749E-2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0.67272727272727284</v>
      </c>
      <c r="I111" s="22">
        <f t="shared" si="58"/>
        <v>0.23894364584355471</v>
      </c>
      <c r="J111" s="24">
        <f t="shared" si="59"/>
        <v>0.23894364584355471</v>
      </c>
      <c r="K111" s="22">
        <f t="shared" si="60"/>
        <v>0.35518650057825696</v>
      </c>
      <c r="L111" s="22">
        <f t="shared" si="61"/>
        <v>0.23894364584355471</v>
      </c>
      <c r="M111" s="226">
        <f t="shared" si="62"/>
        <v>0.23894364584355471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0.57212121212121214</v>
      </c>
      <c r="I112" s="22">
        <f t="shared" si="58"/>
        <v>1.6392251653353869</v>
      </c>
      <c r="J112" s="24">
        <f t="shared" si="59"/>
        <v>1.6392251653353869</v>
      </c>
      <c r="K112" s="22">
        <f t="shared" si="60"/>
        <v>2.865171104664606</v>
      </c>
      <c r="L112" s="22">
        <f t="shared" si="61"/>
        <v>1.6392251653353869</v>
      </c>
      <c r="M112" s="226">
        <f t="shared" si="62"/>
        <v>1.6392251653353869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0.36500496406133859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0.36500496406133859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1.282773507233701</v>
      </c>
      <c r="L115" s="22">
        <f t="shared" si="61"/>
        <v>0</v>
      </c>
      <c r="M115" s="226">
        <f t="shared" si="62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3.9846442497171166</v>
      </c>
      <c r="J119" s="24">
        <f>SUM(J91:J118)</f>
        <v>4.2039653108674973</v>
      </c>
      <c r="K119" s="22">
        <f>SUM(K91:K118)</f>
        <v>8.4695513846562669</v>
      </c>
      <c r="L119" s="22">
        <f>SUM(L91:L118)</f>
        <v>4.2613104240384487</v>
      </c>
      <c r="M119" s="57">
        <f t="shared" si="49"/>
        <v>4.2039653108674973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0.37830333815956019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0.36458573697815178</v>
      </c>
      <c r="M127" s="57">
        <f t="shared" si="63"/>
        <v>0.37830333815956019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2.9161847813814328</v>
      </c>
      <c r="J128" s="227">
        <f>(J30)</f>
        <v>0.1927897747036903</v>
      </c>
      <c r="K128" s="22">
        <f>(B128)</f>
        <v>0.59584818167738329</v>
      </c>
      <c r="L128" s="22">
        <f>IF(L124=L119,0,(L119-L124)/(B119-B124)*K128)</f>
        <v>0.26385248905604963</v>
      </c>
      <c r="M128" s="57">
        <f t="shared" si="63"/>
        <v>0.1927897747036903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1.756390616880507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3.9846442497171166</v>
      </c>
      <c r="J130" s="227">
        <f>(J119)</f>
        <v>4.2039653108674973</v>
      </c>
      <c r="K130" s="22">
        <f>(B130)</f>
        <v>8.4695513846562669</v>
      </c>
      <c r="L130" s="22">
        <f>(L119)</f>
        <v>4.2613104240384487</v>
      </c>
      <c r="M130" s="57">
        <f t="shared" si="63"/>
        <v>4.2039653108674973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4.2537564577279641E-2</v>
      </c>
      <c r="J6" s="24">
        <f t="shared" ref="J6:J13" si="3">IF(I$32&lt;=1+I$131,I6,B6*H6+J$33*(I6-B6*H6))</f>
        <v>4.4850655667595121E-2</v>
      </c>
      <c r="K6" s="22">
        <f t="shared" ref="K6:K31" si="4">B6</f>
        <v>8.9544227179821689E-2</v>
      </c>
      <c r="L6" s="22">
        <f t="shared" ref="L6:L29" si="5">IF(K6="","",K6*H6)</f>
        <v>4.4772113589910845E-2</v>
      </c>
      <c r="M6" s="177">
        <f t="shared" ref="M6:M31" si="6">J6</f>
        <v>4.4850655667595121E-2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0.17940262267038048</v>
      </c>
      <c r="Z6" s="156">
        <f>Poor!Z6</f>
        <v>0.17</v>
      </c>
      <c r="AA6" s="121">
        <f>$M6*Z6*4</f>
        <v>3.0498445853964686E-2</v>
      </c>
      <c r="AB6" s="156">
        <f>Poor!AB6</f>
        <v>0.17</v>
      </c>
      <c r="AC6" s="121">
        <f t="shared" ref="AC6:AC29" si="7">$M6*AB6*4</f>
        <v>3.0498445853964686E-2</v>
      </c>
      <c r="AD6" s="156">
        <f>Poor!AD6</f>
        <v>0.33</v>
      </c>
      <c r="AE6" s="121">
        <f t="shared" ref="AE6:AE29" si="8">$M6*AD6*4</f>
        <v>5.920286548122556E-2</v>
      </c>
      <c r="AF6" s="122">
        <f>1-SUM(Z6,AB6,AD6)</f>
        <v>0.32999999999999996</v>
      </c>
      <c r="AG6" s="121">
        <f>$M6*AF6*4</f>
        <v>5.9202865481225553E-2</v>
      </c>
      <c r="AH6" s="123">
        <f>SUM(Z6,AB6,AD6,AF6)</f>
        <v>1</v>
      </c>
      <c r="AI6" s="183">
        <f>SUM(AA6,AC6,AE6,AG6)/4</f>
        <v>4.4850655667595121E-2</v>
      </c>
      <c r="AJ6" s="120">
        <f>(AA6+AC6)/2</f>
        <v>3.0498445853964686E-2</v>
      </c>
      <c r="AK6" s="119">
        <f>(AE6+AG6)/2</f>
        <v>5.9202865481225553E-2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7.7762305639565909E-3</v>
      </c>
      <c r="J7" s="24">
        <f t="shared" si="3"/>
        <v>7.7762305639565909E-3</v>
      </c>
      <c r="K7" s="22">
        <f t="shared" si="4"/>
        <v>1.5552461127913182E-2</v>
      </c>
      <c r="L7" s="22">
        <f t="shared" si="5"/>
        <v>7.7762305639565909E-3</v>
      </c>
      <c r="M7" s="177">
        <f t="shared" si="6"/>
        <v>7.7762305639565909E-3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9404.2954636005397</v>
      </c>
      <c r="T7" s="221">
        <f>IF($B$81=0,0,(SUMIF($N$6:$N$28,$U7,M$6:M$28)+SUMIF($N$91:$N$118,$U7,M$91:M$118))*$I$83*Poor!$B$81/$B$81)</f>
        <v>8878.8088213086867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3.1104922255826364E-2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3.1104922255826364E-2</v>
      </c>
      <c r="AH7" s="123">
        <f t="shared" ref="AH7:AH30" si="12">SUM(Z7,AB7,AD7,AF7)</f>
        <v>1</v>
      </c>
      <c r="AI7" s="183">
        <f t="shared" ref="AI7:AI30" si="13">SUM(AA7,AC7,AE7,AG7)/4</f>
        <v>7.7762305639565909E-3</v>
      </c>
      <c r="AJ7" s="120">
        <f t="shared" ref="AJ7:AJ31" si="14">(AA7+AC7)/2</f>
        <v>0</v>
      </c>
      <c r="AK7" s="119">
        <f t="shared" ref="AK7:AK31" si="15">(AE7+AG7)/2</f>
        <v>1.5552461127913182E-2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4.3638055302289036E-2</v>
      </c>
      <c r="J8" s="24">
        <f t="shared" si="3"/>
        <v>4.3638055302289036E-2</v>
      </c>
      <c r="K8" s="22">
        <f t="shared" si="4"/>
        <v>8.7276110604578072E-2</v>
      </c>
      <c r="L8" s="22">
        <f t="shared" si="5"/>
        <v>4.3638055302289036E-2</v>
      </c>
      <c r="M8" s="223">
        <f t="shared" si="6"/>
        <v>4.3638055302289036E-2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28556.454285714284</v>
      </c>
      <c r="T8" s="221">
        <f>IF($B$81=0,0,(SUMIF($N$6:$N$28,$U8,M$6:M$28)+SUMIF($N$91:$N$118,$U8,M$91:M$118))*$I$83*Poor!$B$81/$B$81)</f>
        <v>29210.558286104457</v>
      </c>
      <c r="U8" s="222">
        <v>2</v>
      </c>
      <c r="V8" s="56"/>
      <c r="W8" s="115"/>
      <c r="X8" s="118">
        <f>Poor!X8</f>
        <v>1</v>
      </c>
      <c r="Y8" s="183">
        <f t="shared" si="9"/>
        <v>0.17455222120915614</v>
      </c>
      <c r="Z8" s="125">
        <f>IF($Y8=0,0,AA8/$Y8)</f>
        <v>0.55376236213102503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9.666045033199952E-2</v>
      </c>
      <c r="AB8" s="125">
        <f>IF($Y8=0,0,AC8/$Y8)</f>
        <v>0.40732417242230395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7.1099339048494456E-2</v>
      </c>
      <c r="AD8" s="125">
        <f>IF($Y8=0,0,AE8/$Y8)</f>
        <v>3.8913465446670986E-2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6.7924318286621682E-3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4.3638055302289036E-2</v>
      </c>
      <c r="AJ8" s="120">
        <f t="shared" si="14"/>
        <v>8.3879894690246981E-2</v>
      </c>
      <c r="AK8" s="119">
        <f t="shared" si="15"/>
        <v>3.3962159143310841E-3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0.17648162296151337</v>
      </c>
      <c r="J9" s="24">
        <f t="shared" si="3"/>
        <v>4.2137292435990105E-2</v>
      </c>
      <c r="K9" s="22">
        <f t="shared" si="4"/>
        <v>4.6699016307893013E-2</v>
      </c>
      <c r="L9" s="22">
        <f t="shared" si="5"/>
        <v>4.6699016307893013E-2</v>
      </c>
      <c r="M9" s="223">
        <f t="shared" si="6"/>
        <v>4.2137292435990105E-2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1969.6943178407644</v>
      </c>
      <c r="T9" s="221">
        <f>IF($B$81=0,0,(SUMIF($N$6:$N$28,$U9,M$6:M$28)+SUMIF($N$91:$N$118,$U9,M$91:M$118))*$I$83*Poor!$B$81/$B$81)</f>
        <v>1971.3026937130376</v>
      </c>
      <c r="U9" s="222">
        <v>3</v>
      </c>
      <c r="V9" s="56"/>
      <c r="W9" s="115"/>
      <c r="X9" s="118">
        <f>Poor!X9</f>
        <v>1</v>
      </c>
      <c r="Y9" s="183">
        <f t="shared" si="9"/>
        <v>0.16854916974396042</v>
      </c>
      <c r="Z9" s="125">
        <f>IF($Y9=0,0,AA9/$Y9)</f>
        <v>0.55376236213102514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9.333618637263863E-2</v>
      </c>
      <c r="AB9" s="125">
        <f>IF($Y9=0,0,AC9/$Y9)</f>
        <v>0.40732417242230395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6.865415107842511E-2</v>
      </c>
      <c r="AD9" s="125">
        <f>IF($Y9=0,0,AE9/$Y9)</f>
        <v>3.8913465446670945E-2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6.5588322928966797E-3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4.2137292435990098E-2</v>
      </c>
      <c r="AJ9" s="120">
        <f t="shared" si="14"/>
        <v>8.0995168725531863E-2</v>
      </c>
      <c r="AK9" s="119">
        <f t="shared" si="15"/>
        <v>3.2794161464483398E-3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0.68671900800213503</v>
      </c>
      <c r="J10" s="24">
        <f t="shared" si="3"/>
        <v>0.1482429467500696</v>
      </c>
      <c r="K10" s="22">
        <f t="shared" si="4"/>
        <v>0.15277720223269881</v>
      </c>
      <c r="L10" s="22">
        <f t="shared" si="5"/>
        <v>0.16652715043364172</v>
      </c>
      <c r="M10" s="223">
        <f t="shared" si="6"/>
        <v>0.1482429467500696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969.52653061224487</v>
      </c>
      <c r="T10" s="221">
        <f>IF($B$81=0,0,(SUMIF($N$6:$N$28,$U10,M$6:M$28)+SUMIF($N$91:$N$118,$U10,M$91:M$118))*$I$83*Poor!$B$81/$B$81)</f>
        <v>959.36919800377996</v>
      </c>
      <c r="U10" s="222">
        <v>4</v>
      </c>
      <c r="V10" s="56"/>
      <c r="W10" s="115"/>
      <c r="X10" s="118">
        <f>Poor!X10</f>
        <v>1</v>
      </c>
      <c r="Y10" s="183">
        <f t="shared" si="9"/>
        <v>0.59297178700027842</v>
      </c>
      <c r="Z10" s="125">
        <f>IF($Y10=0,0,AA10/$Y10)</f>
        <v>0.55376236213102514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0.32836545744632928</v>
      </c>
      <c r="AB10" s="125">
        <f>IF($Y10=0,0,AC10/$Y10)</f>
        <v>0.40732417242230395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0.2415317424096631</v>
      </c>
      <c r="AD10" s="125">
        <f>IF($Y10=0,0,AE10/$Y10)</f>
        <v>3.891346544667091E-2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2.3074587144286035E-2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0.1482429467500696</v>
      </c>
      <c r="AJ10" s="120">
        <f t="shared" si="14"/>
        <v>0.2849485999279962</v>
      </c>
      <c r="AK10" s="119">
        <f t="shared" si="15"/>
        <v>1.1537293572143018E-2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2.8087877628535849E-2</v>
      </c>
      <c r="J11" s="24">
        <f t="shared" si="3"/>
        <v>2.8087877628535849E-2</v>
      </c>
      <c r="K11" s="22">
        <f t="shared" si="4"/>
        <v>2.5768695072051234E-2</v>
      </c>
      <c r="L11" s="22">
        <f t="shared" si="5"/>
        <v>2.8087877628535849E-2</v>
      </c>
      <c r="M11" s="223">
        <f t="shared" si="6"/>
        <v>2.8087877628535849E-2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24264.460408163264</v>
      </c>
      <c r="T11" s="221">
        <f>IF($B$81=0,0,(SUMIF($N$6:$N$28,$U11,M$6:M$28)+SUMIF($N$91:$N$118,$U11,M$91:M$118))*$I$83*Poor!$B$81/$B$81)</f>
        <v>24195.645156896418</v>
      </c>
      <c r="U11" s="222">
        <v>5</v>
      </c>
      <c r="V11" s="56"/>
      <c r="W11" s="115"/>
      <c r="X11" s="118">
        <f>Poor!X11</f>
        <v>1</v>
      </c>
      <c r="Y11" s="183">
        <f t="shared" si="9"/>
        <v>0.1123515105141434</v>
      </c>
      <c r="Z11" s="125">
        <f>IF($Y11=0,0,AA11/$Y11)</f>
        <v>0.55376236213102503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6.2216037851300747E-2</v>
      </c>
      <c r="AB11" s="125">
        <f>IF($Y11=0,0,AC11/$Y11)</f>
        <v>0.40732417242230395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4.5763486040569241E-2</v>
      </c>
      <c r="AD11" s="125">
        <f>IF($Y11=0,0,AE11/$Y11)</f>
        <v>3.8913465446670958E-2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4.3719866222734077E-3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2.8087877628535849E-2</v>
      </c>
      <c r="AJ11" s="120">
        <f t="shared" si="14"/>
        <v>5.3989761945934994E-2</v>
      </c>
      <c r="AK11" s="119">
        <f t="shared" si="15"/>
        <v>2.1859933111367039E-3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1</v>
      </c>
      <c r="H12" s="24">
        <f t="shared" si="1"/>
        <v>1</v>
      </c>
      <c r="I12" s="22">
        <f t="shared" si="2"/>
        <v>5.7218084335527476E-2</v>
      </c>
      <c r="J12" s="24">
        <f t="shared" si="3"/>
        <v>6.2667790174767257E-2</v>
      </c>
      <c r="K12" s="22">
        <f t="shared" si="4"/>
        <v>6.2482742892723708E-2</v>
      </c>
      <c r="L12" s="22">
        <f t="shared" si="5"/>
        <v>6.2482742892723708E-2</v>
      </c>
      <c r="M12" s="223">
        <f t="shared" si="6"/>
        <v>6.2667790174767257E-2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33.944257726252275</v>
      </c>
      <c r="U12" s="222">
        <v>6</v>
      </c>
      <c r="V12" s="56"/>
      <c r="W12" s="117"/>
      <c r="X12" s="118"/>
      <c r="Y12" s="183">
        <f t="shared" si="9"/>
        <v>0.25067116069906903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0.16794967766837626</v>
      </c>
      <c r="AF12" s="122">
        <f>1-SUM(Z12,AB12,AD12)</f>
        <v>0.32999999999999996</v>
      </c>
      <c r="AG12" s="121">
        <f>$M12*AF12*4</f>
        <v>8.2721483030692766E-2</v>
      </c>
      <c r="AH12" s="123">
        <f t="shared" si="12"/>
        <v>1</v>
      </c>
      <c r="AI12" s="183">
        <f t="shared" si="13"/>
        <v>6.2667790174767257E-2</v>
      </c>
      <c r="AJ12" s="120">
        <f t="shared" si="14"/>
        <v>0</v>
      </c>
      <c r="AK12" s="119">
        <f t="shared" si="15"/>
        <v>0.12533558034953451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1</v>
      </c>
      <c r="F14" s="22"/>
      <c r="H14" s="24">
        <f t="shared" si="1"/>
        <v>1</v>
      </c>
      <c r="I14" s="22">
        <f t="shared" si="2"/>
        <v>7.8259829745596865E-2</v>
      </c>
      <c r="J14" s="24">
        <f>IF(I$32&lt;=1+I131,I14,B14*H14+J$33*(I14-B14*H14))</f>
        <v>3.9121677592992579E-2</v>
      </c>
      <c r="K14" s="22">
        <f t="shared" si="4"/>
        <v>4.0450631649172744E-2</v>
      </c>
      <c r="L14" s="22">
        <f t="shared" si="5"/>
        <v>4.0450631649172744E-2</v>
      </c>
      <c r="M14" s="224">
        <f t="shared" si="6"/>
        <v>3.9121677592992579E-2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121836.87836734694</v>
      </c>
      <c r="T14" s="221">
        <f>IF($B$81=0,0,(SUMIF($N$6:$N$28,$U14,M$6:M$28)+SUMIF($N$91:$N$118,$U14,M$91:M$118))*$I$83*Poor!$B$81/$B$81)</f>
        <v>121836.87836734694</v>
      </c>
      <c r="U14" s="222">
        <v>8</v>
      </c>
      <c r="V14" s="56"/>
      <c r="W14" s="110"/>
      <c r="X14" s="118"/>
      <c r="Y14" s="183">
        <f>M14*4</f>
        <v>0.15648671037197032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0.15648671037197032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3.9121677592992579E-2</v>
      </c>
      <c r="AJ14" s="120">
        <f t="shared" si="14"/>
        <v>7.8243355185985158E-2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1</v>
      </c>
      <c r="F15" s="22"/>
      <c r="H15" s="24">
        <f t="shared" si="1"/>
        <v>1</v>
      </c>
      <c r="I15" s="22">
        <f t="shared" si="2"/>
        <v>4.1386024328411319E-2</v>
      </c>
      <c r="J15" s="24">
        <f>IF(I$32&lt;=1+I131,I15,B15*H15+J$33*(I15-B15*H15))</f>
        <v>1.8629262870266186E-2</v>
      </c>
      <c r="K15" s="22">
        <f t="shared" si="4"/>
        <v>1.9401979229674435E-2</v>
      </c>
      <c r="L15" s="22">
        <f t="shared" si="5"/>
        <v>1.9401979229674435E-2</v>
      </c>
      <c r="M15" s="225">
        <f t="shared" si="6"/>
        <v>1.8629262870266186E-2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7.4517051481064744E-2</v>
      </c>
      <c r="Z15" s="156">
        <f>Poor!Z15</f>
        <v>0.25</v>
      </c>
      <c r="AA15" s="121">
        <f t="shared" si="16"/>
        <v>1.8629262870266186E-2</v>
      </c>
      <c r="AB15" s="156">
        <f>Poor!AB15</f>
        <v>0.25</v>
      </c>
      <c r="AC15" s="121">
        <f t="shared" si="7"/>
        <v>1.8629262870266186E-2</v>
      </c>
      <c r="AD15" s="156">
        <f>Poor!AD15</f>
        <v>0.25</v>
      </c>
      <c r="AE15" s="121">
        <f t="shared" si="8"/>
        <v>1.8629262870266186E-2</v>
      </c>
      <c r="AF15" s="122">
        <f t="shared" si="10"/>
        <v>0.25</v>
      </c>
      <c r="AG15" s="121">
        <f t="shared" si="11"/>
        <v>1.8629262870266186E-2</v>
      </c>
      <c r="AH15" s="123">
        <f t="shared" si="12"/>
        <v>1</v>
      </c>
      <c r="AI15" s="183">
        <f t="shared" si="13"/>
        <v>1.8629262870266186E-2</v>
      </c>
      <c r="AJ15" s="120">
        <f t="shared" si="14"/>
        <v>1.8629262870266186E-2</v>
      </c>
      <c r="AK15" s="119">
        <f t="shared" si="15"/>
        <v>1.8629262870266186E-2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1</v>
      </c>
      <c r="F16" s="22"/>
      <c r="H16" s="24">
        <f t="shared" si="1"/>
        <v>1</v>
      </c>
      <c r="I16" s="22">
        <f t="shared" si="2"/>
        <v>1.7399039316847539E-2</v>
      </c>
      <c r="J16" s="24">
        <f>IF(I$32&lt;=1+I131,I16,B16*H16+J$33*(I16-B16*H16))</f>
        <v>9.1417778592007889E-3</v>
      </c>
      <c r="K16" s="22">
        <f t="shared" si="4"/>
        <v>9.422156990650141E-3</v>
      </c>
      <c r="L16" s="22">
        <f t="shared" si="5"/>
        <v>9.422156990650141E-3</v>
      </c>
      <c r="M16" s="223">
        <f t="shared" si="6"/>
        <v>9.1417778592007889E-3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778.16440763401113</v>
      </c>
      <c r="U16" s="222">
        <v>10</v>
      </c>
      <c r="V16" s="56"/>
      <c r="W16" s="110"/>
      <c r="X16" s="118"/>
      <c r="Y16" s="183">
        <f t="shared" si="9"/>
        <v>3.6567111436803156E-2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3.6567111436803156E-2</v>
      </c>
      <c r="AH16" s="123">
        <f t="shared" si="12"/>
        <v>1</v>
      </c>
      <c r="AI16" s="183">
        <f t="shared" si="13"/>
        <v>9.1417778592007889E-3</v>
      </c>
      <c r="AJ16" s="120">
        <f t="shared" si="14"/>
        <v>0</v>
      </c>
      <c r="AK16" s="119">
        <f t="shared" si="15"/>
        <v>1.8283555718401578E-2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1</v>
      </c>
      <c r="F17" s="22"/>
      <c r="H17" s="24">
        <f t="shared" si="1"/>
        <v>1</v>
      </c>
      <c r="I17" s="22">
        <f t="shared" si="2"/>
        <v>1.100619089130048E-2</v>
      </c>
      <c r="J17" s="24">
        <f t="shared" ref="J17:J25" si="17">IF(I$32&lt;=1+I131,I17,B17*H17+J$33*(I17-B17*H17))</f>
        <v>6.2867707203530208E-3</v>
      </c>
      <c r="K17" s="22">
        <f t="shared" si="4"/>
        <v>6.4470208148016362E-3</v>
      </c>
      <c r="L17" s="22">
        <f t="shared" si="5"/>
        <v>6.4470208148016362E-3</v>
      </c>
      <c r="M17" s="224">
        <f t="shared" si="6"/>
        <v>6.2867707203530208E-3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2.5147082881412083E-2</v>
      </c>
      <c r="Z17" s="156">
        <f>Poor!Z17</f>
        <v>0.29409999999999997</v>
      </c>
      <c r="AA17" s="121">
        <f t="shared" si="16"/>
        <v>7.3957570754232928E-3</v>
      </c>
      <c r="AB17" s="156">
        <f>Poor!AB17</f>
        <v>0.17649999999999999</v>
      </c>
      <c r="AC17" s="121">
        <f t="shared" si="7"/>
        <v>4.4384601285692325E-3</v>
      </c>
      <c r="AD17" s="156">
        <f>Poor!AD17</f>
        <v>0.23530000000000001</v>
      </c>
      <c r="AE17" s="121">
        <f t="shared" si="8"/>
        <v>5.9171086019962635E-3</v>
      </c>
      <c r="AF17" s="122">
        <f t="shared" si="10"/>
        <v>0.29410000000000003</v>
      </c>
      <c r="AG17" s="121">
        <f t="shared" si="11"/>
        <v>7.3957570754232945E-3</v>
      </c>
      <c r="AH17" s="123">
        <f t="shared" si="12"/>
        <v>1</v>
      </c>
      <c r="AI17" s="183">
        <f t="shared" si="13"/>
        <v>6.2867707203530208E-3</v>
      </c>
      <c r="AJ17" s="120">
        <f t="shared" si="14"/>
        <v>5.9171086019962627E-3</v>
      </c>
      <c r="AK17" s="119">
        <f t="shared" si="15"/>
        <v>6.656432838709779E-3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1.1033878313467353E-2</v>
      </c>
      <c r="J18" s="24">
        <f t="shared" si="17"/>
        <v>9.5421125944175206E-3</v>
      </c>
      <c r="K18" s="22">
        <f t="shared" ref="K18:K25" si="21">B18</f>
        <v>9.5927661892901608E-3</v>
      </c>
      <c r="L18" s="22">
        <f t="shared" ref="L18:L25" si="22">IF(K18="","",K18*H18)</f>
        <v>9.5927661892901608E-3</v>
      </c>
      <c r="M18" s="224">
        <f t="shared" ref="M18:M25" si="23">J18</f>
        <v>9.5421125944175206E-3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1</v>
      </c>
      <c r="F19" s="22"/>
      <c r="H19" s="24">
        <f t="shared" si="19"/>
        <v>1</v>
      </c>
      <c r="I19" s="22">
        <f t="shared" si="20"/>
        <v>5.6893260202810894E-2</v>
      </c>
      <c r="J19" s="24">
        <f t="shared" si="17"/>
        <v>4.3428090021505251E-2</v>
      </c>
      <c r="K19" s="22">
        <f t="shared" si="21"/>
        <v>4.3885306102117064E-2</v>
      </c>
      <c r="L19" s="22">
        <f t="shared" si="22"/>
        <v>4.3885306102117064E-2</v>
      </c>
      <c r="M19" s="224">
        <f t="shared" si="23"/>
        <v>4.3428090021505251E-2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1</v>
      </c>
      <c r="F20" s="22"/>
      <c r="H20" s="24">
        <f t="shared" si="19"/>
        <v>1</v>
      </c>
      <c r="I20" s="22">
        <f t="shared" si="20"/>
        <v>2.1976789539227902E-2</v>
      </c>
      <c r="J20" s="24">
        <f t="shared" si="17"/>
        <v>2.3156465995288797E-2</v>
      </c>
      <c r="K20" s="22">
        <f t="shared" si="21"/>
        <v>2.3116409535669815E-2</v>
      </c>
      <c r="L20" s="22">
        <f t="shared" si="22"/>
        <v>2.3116409535669815E-2</v>
      </c>
      <c r="M20" s="224">
        <f t="shared" si="23"/>
        <v>2.3156465995288797E-2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1</v>
      </c>
      <c r="F21" s="22"/>
      <c r="H21" s="24">
        <f t="shared" si="19"/>
        <v>1</v>
      </c>
      <c r="I21" s="22">
        <f t="shared" si="20"/>
        <v>2.8490499911047852E-3</v>
      </c>
      <c r="J21" s="24">
        <f t="shared" si="17"/>
        <v>3.1382347187218222E-3</v>
      </c>
      <c r="K21" s="22">
        <f t="shared" si="21"/>
        <v>3.1284153175591529E-3</v>
      </c>
      <c r="L21" s="22">
        <f t="shared" si="22"/>
        <v>3.1284153175591529E-3</v>
      </c>
      <c r="M21" s="224">
        <f t="shared" si="23"/>
        <v>3.1382347187218222E-3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1.6576053976127565E-3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1.6576053976127565E-3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238130.6330200177</v>
      </c>
      <c r="T23" s="179">
        <f>SUM(T7:T22)</f>
        <v>238176.07618774366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3.2312661709077525E-2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3.2312661709077525E-2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0.1292506468363101</v>
      </c>
      <c r="Z27" s="156">
        <f>Poor!Z27</f>
        <v>0.25</v>
      </c>
      <c r="AA27" s="121">
        <f t="shared" si="16"/>
        <v>3.2312661709077525E-2</v>
      </c>
      <c r="AB27" s="156">
        <f>Poor!AB27</f>
        <v>0.25</v>
      </c>
      <c r="AC27" s="121">
        <f t="shared" si="7"/>
        <v>3.2312661709077525E-2</v>
      </c>
      <c r="AD27" s="156">
        <f>Poor!AD27</f>
        <v>0.25</v>
      </c>
      <c r="AE27" s="121">
        <f t="shared" si="8"/>
        <v>3.2312661709077525E-2</v>
      </c>
      <c r="AF27" s="122">
        <f t="shared" si="10"/>
        <v>0.25</v>
      </c>
      <c r="AG27" s="121">
        <f t="shared" si="11"/>
        <v>3.2312661709077525E-2</v>
      </c>
      <c r="AH27" s="123">
        <f t="shared" si="12"/>
        <v>1</v>
      </c>
      <c r="AI27" s="183">
        <f t="shared" si="13"/>
        <v>3.2312661709077525E-2</v>
      </c>
      <c r="AJ27" s="120">
        <f t="shared" si="14"/>
        <v>3.2312661709077525E-2</v>
      </c>
      <c r="AK27" s="119">
        <f t="shared" si="15"/>
        <v>3.2312661709077525E-2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2.6133742197341284E-2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2.6133742197341284E-2</v>
      </c>
      <c r="N28" s="228"/>
      <c r="O28" s="2"/>
      <c r="P28" s="22"/>
      <c r="V28" s="56"/>
      <c r="W28" s="110"/>
      <c r="X28" s="118"/>
      <c r="Y28" s="183">
        <f t="shared" si="9"/>
        <v>0.10453496878936513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5.2267484394682567E-2</v>
      </c>
      <c r="AF28" s="122">
        <f t="shared" si="10"/>
        <v>0.5</v>
      </c>
      <c r="AG28" s="121">
        <f t="shared" si="11"/>
        <v>5.2267484394682567E-2</v>
      </c>
      <c r="AH28" s="123">
        <f t="shared" si="12"/>
        <v>1</v>
      </c>
      <c r="AI28" s="183">
        <f t="shared" si="13"/>
        <v>2.6133742197341284E-2</v>
      </c>
      <c r="AJ28" s="120">
        <f t="shared" si="14"/>
        <v>0</v>
      </c>
      <c r="AK28" s="119">
        <f t="shared" si="15"/>
        <v>5.2267484394682567E-2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0.27691982968023221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0.27691982968023221</v>
      </c>
      <c r="N29" s="228"/>
      <c r="P29" s="22"/>
      <c r="V29" s="56"/>
      <c r="W29" s="110"/>
      <c r="X29" s="118"/>
      <c r="Y29" s="183">
        <f t="shared" si="9"/>
        <v>1.1076793187209288</v>
      </c>
      <c r="Z29" s="156">
        <f>Poor!Z29</f>
        <v>0.25</v>
      </c>
      <c r="AA29" s="121">
        <f t="shared" si="16"/>
        <v>0.27691982968023221</v>
      </c>
      <c r="AB29" s="156">
        <f>Poor!AB29</f>
        <v>0.25</v>
      </c>
      <c r="AC29" s="121">
        <f t="shared" si="7"/>
        <v>0.27691982968023221</v>
      </c>
      <c r="AD29" s="156">
        <f>Poor!AD29</f>
        <v>0.25</v>
      </c>
      <c r="AE29" s="121">
        <f t="shared" si="8"/>
        <v>0.27691982968023221</v>
      </c>
      <c r="AF29" s="122">
        <f t="shared" si="10"/>
        <v>0.25</v>
      </c>
      <c r="AG29" s="121">
        <f t="shared" si="11"/>
        <v>0.27691982968023221</v>
      </c>
      <c r="AH29" s="123">
        <f t="shared" si="12"/>
        <v>1</v>
      </c>
      <c r="AI29" s="183">
        <f t="shared" si="13"/>
        <v>0.27691982968023221</v>
      </c>
      <c r="AJ29" s="120">
        <f t="shared" si="14"/>
        <v>0.27691982968023221</v>
      </c>
      <c r="AK29" s="119">
        <f t="shared" si="15"/>
        <v>0.27691982968023221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9.1504184627683056</v>
      </c>
      <c r="J30" s="230">
        <f>IF(I$32&lt;=1,I30,1-SUM(J6:J29))</f>
        <v>7.182533452005635E-2</v>
      </c>
      <c r="K30" s="22">
        <f t="shared" si="4"/>
        <v>0.57492883275217932</v>
      </c>
      <c r="L30" s="22">
        <f>IF(L124=L119,0,IF(K30="",0,(L119-L124)/(B119-B124)*K30))</f>
        <v>0.31982766878956759</v>
      </c>
      <c r="M30" s="175">
        <f t="shared" si="6"/>
        <v>7.182533452005635E-2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0.2873013380802254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1.0175287134083082</v>
      </c>
      <c r="AE30" s="187">
        <f>IF(AE79*4/$I$83+SUM(AE6:AE29)&lt;1,AE79*4/$I$83,1-SUM(AE6:AE29))</f>
        <v>0.29233736089725715</v>
      </c>
      <c r="AF30" s="122">
        <f>IF($Y30=0,0,AG30/($Y$30))</f>
        <v>1.2154928117998844</v>
      </c>
      <c r="AG30" s="187">
        <f>IF(AG79*4/$I$83+SUM(AG6:AG29)&lt;1,AG79*4/$I$83,1-SUM(AG6:AG29))</f>
        <v>0.34921271125700237</v>
      </c>
      <c r="AH30" s="123">
        <f t="shared" si="12"/>
        <v>2.2330215252081924</v>
      </c>
      <c r="AI30" s="183">
        <f t="shared" si="13"/>
        <v>0.16038751803856488</v>
      </c>
      <c r="AJ30" s="120">
        <f t="shared" si="14"/>
        <v>0</v>
      </c>
      <c r="AK30" s="119">
        <f t="shared" si="15"/>
        <v>0.32077503607712976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-0.26984140503657295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10.721761242734878</v>
      </c>
      <c r="J32" s="17"/>
      <c r="L32" s="22">
        <f>SUM(L6:L30)</f>
        <v>1.2698414050365729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3.6457512659259659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-3.5148961710083346E-2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1095.7142857142858</v>
      </c>
      <c r="J37" s="38">
        <f>J91*I$83</f>
        <v>833.96947682473603</v>
      </c>
      <c r="K37" s="40">
        <f t="shared" ref="K37:K52" si="28">(B37/B$65)</f>
        <v>6.8763562108247449E-3</v>
      </c>
      <c r="L37" s="22">
        <f t="shared" ref="L37:L52" si="29">(K37*H37)</f>
        <v>4.0570501643865994E-3</v>
      </c>
      <c r="M37" s="24">
        <f t="shared" ref="M37:M52" si="30">J37/B$65</f>
        <v>4.0142698341214256E-3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833.96947682473603</v>
      </c>
      <c r="AH37" s="123">
        <f>SUM(Z37,AB37,AD37,AF37)</f>
        <v>1</v>
      </c>
      <c r="AI37" s="112">
        <f>SUM(AA37,AC37,AE37,AG37)</f>
        <v>833.96947682473603</v>
      </c>
      <c r="AJ37" s="148">
        <f>(AA37+AC37)</f>
        <v>0</v>
      </c>
      <c r="AK37" s="147">
        <f>(AE37+AG37)</f>
        <v>833.96947682473603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5.4785714285714286</v>
      </c>
      <c r="J38" s="38">
        <f t="shared" ref="J38:J64" si="33">J92*I$83</f>
        <v>5.4785714285714286</v>
      </c>
      <c r="K38" s="40">
        <f t="shared" si="28"/>
        <v>4.4696315370360842E-5</v>
      </c>
      <c r="L38" s="22">
        <f t="shared" si="29"/>
        <v>2.6370826068512896E-5</v>
      </c>
      <c r="M38" s="24">
        <f t="shared" si="30"/>
        <v>2.6370826068512893E-5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5.4785714285714286</v>
      </c>
      <c r="AH38" s="123">
        <f t="shared" ref="AH38:AI58" si="35">SUM(Z38,AB38,AD38,AF38)</f>
        <v>1</v>
      </c>
      <c r="AI38" s="112">
        <f t="shared" si="35"/>
        <v>5.4785714285714286</v>
      </c>
      <c r="AJ38" s="148">
        <f t="shared" ref="AJ38:AJ64" si="36">(AA38+AC38)</f>
        <v>0</v>
      </c>
      <c r="AK38" s="147">
        <f t="shared" ref="AK38:AK64" si="37">(AE38+AG38)</f>
        <v>5.4785714285714286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17531.428571428572</v>
      </c>
      <c r="J39" s="38">
        <f t="shared" si="33"/>
        <v>16589.147259426194</v>
      </c>
      <c r="K39" s="40">
        <f t="shared" si="28"/>
        <v>8.4751090298414974E-2</v>
      </c>
      <c r="L39" s="22">
        <f t="shared" si="29"/>
        <v>8.0005029241703732E-2</v>
      </c>
      <c r="M39" s="24">
        <f t="shared" si="30"/>
        <v>7.9851020052749119E-2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0.55376236213102503</v>
      </c>
      <c r="AA39" s="147">
        <f>$J39*Z39</f>
        <v>9186.4453721192695</v>
      </c>
      <c r="AB39" s="122">
        <f>AB8</f>
        <v>0.40732417242230395</v>
      </c>
      <c r="AC39" s="147">
        <f>$J39*AB39</f>
        <v>6757.160678637506</v>
      </c>
      <c r="AD39" s="122">
        <f>AD8</f>
        <v>3.8913465446670986E-2</v>
      </c>
      <c r="AE39" s="147">
        <f>$J39*AD39</f>
        <v>645.54120866941787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16589.147259426194</v>
      </c>
      <c r="AJ39" s="148">
        <f t="shared" si="36"/>
        <v>15943.606050756774</v>
      </c>
      <c r="AK39" s="147">
        <f t="shared" si="37"/>
        <v>645.54120866941787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1847.5428571428572</v>
      </c>
      <c r="J40" s="38">
        <f t="shared" si="33"/>
        <v>1533.4490864753977</v>
      </c>
      <c r="K40" s="40">
        <f t="shared" si="28"/>
        <v>7.8734278613943331E-3</v>
      </c>
      <c r="L40" s="22">
        <f t="shared" si="29"/>
        <v>7.4325159011562501E-3</v>
      </c>
      <c r="M40" s="24">
        <f t="shared" si="30"/>
        <v>7.3811795048380419E-3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0.55376236213102514</v>
      </c>
      <c r="AA40" s="147">
        <f>$J40*Z40</f>
        <v>849.16638833427885</v>
      </c>
      <c r="AB40" s="122">
        <f>AB9</f>
        <v>0.40732417242230395</v>
      </c>
      <c r="AC40" s="147">
        <f>$J40*AB40</f>
        <v>624.61088010032938</v>
      </c>
      <c r="AD40" s="122">
        <f>AD9</f>
        <v>3.8913465446670945E-2</v>
      </c>
      <c r="AE40" s="147">
        <f>$J40*AD40</f>
        <v>59.671818040789518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1533.4490864753977</v>
      </c>
      <c r="AJ40" s="148">
        <f t="shared" si="36"/>
        <v>1473.7772684346082</v>
      </c>
      <c r="AK40" s="147">
        <f t="shared" si="37"/>
        <v>59.671818040789518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3141.9017142857142</v>
      </c>
      <c r="J41" s="38">
        <f t="shared" si="33"/>
        <v>2624.9731663827793</v>
      </c>
      <c r="K41" s="40">
        <f t="shared" si="28"/>
        <v>1.3474219995111086E-2</v>
      </c>
      <c r="L41" s="22">
        <f t="shared" si="29"/>
        <v>1.2719663675384865E-2</v>
      </c>
      <c r="M41" s="24">
        <f t="shared" si="30"/>
        <v>1.2635175375133163E-2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0.55376236213102503</v>
      </c>
      <c r="AA41" s="147">
        <f>$J41*Z41</f>
        <v>1453.611341146684</v>
      </c>
      <c r="AB41" s="122">
        <f>AB11</f>
        <v>0.40732417242230395</v>
      </c>
      <c r="AC41" s="147">
        <f>$J41*AB41</f>
        <v>1069.2150226276203</v>
      </c>
      <c r="AD41" s="122">
        <f>AD11</f>
        <v>3.8913465446670958E-2</v>
      </c>
      <c r="AE41" s="147">
        <f>$J41*AD41</f>
        <v>102.14680260847474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2624.9731663827793</v>
      </c>
      <c r="AJ41" s="148">
        <f t="shared" si="36"/>
        <v>2522.8263637743044</v>
      </c>
      <c r="AK41" s="147">
        <f t="shared" si="37"/>
        <v>102.14680260847474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0.8</v>
      </c>
      <c r="F42" s="75">
        <f>Middle!F42</f>
        <v>1.18</v>
      </c>
      <c r="G42" s="22">
        <f t="shared" si="32"/>
        <v>1.65</v>
      </c>
      <c r="H42" s="24">
        <f t="shared" si="26"/>
        <v>0.94399999999999995</v>
      </c>
      <c r="I42" s="39">
        <f t="shared" si="27"/>
        <v>80.914285714285711</v>
      </c>
      <c r="J42" s="38">
        <f t="shared" si="33"/>
        <v>80.914285714285697</v>
      </c>
      <c r="K42" s="40">
        <f t="shared" si="28"/>
        <v>4.1258137264948459E-4</v>
      </c>
      <c r="L42" s="22">
        <f t="shared" si="29"/>
        <v>3.8947681578111343E-4</v>
      </c>
      <c r="M42" s="24">
        <f t="shared" si="30"/>
        <v>3.8947681578111343E-4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20.228571428571424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40.457142857142848</v>
      </c>
      <c r="AF42" s="122">
        <f t="shared" si="31"/>
        <v>0.25</v>
      </c>
      <c r="AG42" s="147">
        <f t="shared" si="34"/>
        <v>20.228571428571424</v>
      </c>
      <c r="AH42" s="123">
        <f t="shared" si="35"/>
        <v>1</v>
      </c>
      <c r="AI42" s="112">
        <f t="shared" si="35"/>
        <v>80.914285714285697</v>
      </c>
      <c r="AJ42" s="148">
        <f t="shared" si="36"/>
        <v>20.228571428571424</v>
      </c>
      <c r="AK42" s="147">
        <f t="shared" si="37"/>
        <v>60.685714285714269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1.0900000000000001</v>
      </c>
      <c r="F44" s="75">
        <f>Middle!F44</f>
        <v>1.4</v>
      </c>
      <c r="G44" s="22">
        <f t="shared" si="32"/>
        <v>1.65</v>
      </c>
      <c r="H44" s="24">
        <f t="shared" si="26"/>
        <v>1.526</v>
      </c>
      <c r="I44" s="39">
        <f t="shared" si="27"/>
        <v>0</v>
      </c>
      <c r="J44" s="38">
        <f t="shared" si="33"/>
        <v>9853.4954964310182</v>
      </c>
      <c r="K44" s="40">
        <f t="shared" si="28"/>
        <v>3.0025437485660975E-2</v>
      </c>
      <c r="L44" s="22">
        <f t="shared" si="29"/>
        <v>4.581881760311865E-2</v>
      </c>
      <c r="M44" s="24">
        <f t="shared" si="30"/>
        <v>4.7429301468651951E-2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2463.3738741077545</v>
      </c>
      <c r="AB44" s="156">
        <f>Poor!AB44</f>
        <v>0.25</v>
      </c>
      <c r="AC44" s="147">
        <f t="shared" si="39"/>
        <v>2463.3738741077545</v>
      </c>
      <c r="AD44" s="156">
        <f>Poor!AD44</f>
        <v>0.25</v>
      </c>
      <c r="AE44" s="147">
        <f t="shared" si="40"/>
        <v>2463.3738741077545</v>
      </c>
      <c r="AF44" s="122">
        <f t="shared" si="31"/>
        <v>0.25</v>
      </c>
      <c r="AG44" s="147">
        <f t="shared" si="34"/>
        <v>2463.3738741077545</v>
      </c>
      <c r="AH44" s="123">
        <f t="shared" si="35"/>
        <v>1</v>
      </c>
      <c r="AI44" s="112">
        <f t="shared" si="35"/>
        <v>9853.4954964310182</v>
      </c>
      <c r="AJ44" s="148">
        <f t="shared" si="36"/>
        <v>4926.7477482155091</v>
      </c>
      <c r="AK44" s="147">
        <f t="shared" si="37"/>
        <v>4926.7477482155091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1.0900000000000001</v>
      </c>
      <c r="F45" s="75">
        <f>Middle!F45</f>
        <v>1.4</v>
      </c>
      <c r="G45" s="22">
        <f t="shared" si="32"/>
        <v>1.65</v>
      </c>
      <c r="H45" s="24">
        <f t="shared" si="26"/>
        <v>1.526</v>
      </c>
      <c r="I45" s="39">
        <f t="shared" si="27"/>
        <v>0</v>
      </c>
      <c r="J45" s="38">
        <f t="shared" si="33"/>
        <v>22.340584891627017</v>
      </c>
      <c r="K45" s="40">
        <f t="shared" si="28"/>
        <v>6.807592648716497E-5</v>
      </c>
      <c r="L45" s="22">
        <f t="shared" si="29"/>
        <v>1.0388386381941374E-4</v>
      </c>
      <c r="M45" s="24">
        <f t="shared" si="30"/>
        <v>1.0753527377109781E-4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5.5851462229067543</v>
      </c>
      <c r="AB45" s="156">
        <f>Poor!AB45</f>
        <v>0.25</v>
      </c>
      <c r="AC45" s="147">
        <f t="shared" si="39"/>
        <v>5.5851462229067543</v>
      </c>
      <c r="AD45" s="156">
        <f>Poor!AD45</f>
        <v>0.25</v>
      </c>
      <c r="AE45" s="147">
        <f t="shared" si="40"/>
        <v>5.5851462229067543</v>
      </c>
      <c r="AF45" s="122">
        <f t="shared" si="31"/>
        <v>0.25</v>
      </c>
      <c r="AG45" s="147">
        <f t="shared" si="34"/>
        <v>5.5851462229067543</v>
      </c>
      <c r="AH45" s="123">
        <f t="shared" si="35"/>
        <v>1</v>
      </c>
      <c r="AI45" s="112">
        <f t="shared" si="35"/>
        <v>22.340584891627017</v>
      </c>
      <c r="AJ45" s="148">
        <f t="shared" si="36"/>
        <v>11.170292445813509</v>
      </c>
      <c r="AK45" s="147">
        <f t="shared" si="37"/>
        <v>11.170292445813509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2769.9999999999995</v>
      </c>
      <c r="J46" s="38">
        <f t="shared" si="33"/>
        <v>2484.2988865680168</v>
      </c>
      <c r="K46" s="40">
        <f t="shared" si="28"/>
        <v>8.5748161948984557E-3</v>
      </c>
      <c r="L46" s="22">
        <f t="shared" si="29"/>
        <v>1.2004742672857838E-2</v>
      </c>
      <c r="M46" s="24">
        <f t="shared" si="30"/>
        <v>1.1958046854737885E-2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621.07472164200419</v>
      </c>
      <c r="AB46" s="156">
        <f>Poor!AB46</f>
        <v>0.25</v>
      </c>
      <c r="AC46" s="147">
        <f t="shared" si="39"/>
        <v>621.07472164200419</v>
      </c>
      <c r="AD46" s="156">
        <f>Poor!AD46</f>
        <v>0.25</v>
      </c>
      <c r="AE46" s="147">
        <f t="shared" si="40"/>
        <v>621.07472164200419</v>
      </c>
      <c r="AF46" s="122">
        <f t="shared" si="31"/>
        <v>0.25</v>
      </c>
      <c r="AG46" s="147">
        <f t="shared" si="34"/>
        <v>621.07472164200419</v>
      </c>
      <c r="AH46" s="123">
        <f t="shared" si="35"/>
        <v>1</v>
      </c>
      <c r="AI46" s="112">
        <f t="shared" si="35"/>
        <v>2484.2988865680168</v>
      </c>
      <c r="AJ46" s="148">
        <f t="shared" si="36"/>
        <v>1242.1494432840084</v>
      </c>
      <c r="AK46" s="147">
        <f t="shared" si="37"/>
        <v>1242.1494432840084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2664</v>
      </c>
      <c r="J47" s="38">
        <f t="shared" si="33"/>
        <v>2686.7732771576216</v>
      </c>
      <c r="K47" s="40">
        <f t="shared" si="28"/>
        <v>9.2349463911376318E-3</v>
      </c>
      <c r="L47" s="22">
        <f t="shared" si="29"/>
        <v>1.2928924947592684E-2</v>
      </c>
      <c r="M47" s="24">
        <f t="shared" si="30"/>
        <v>1.2932647078022533E-2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671.69331928940539</v>
      </c>
      <c r="AB47" s="156">
        <f>Poor!AB47</f>
        <v>0.25</v>
      </c>
      <c r="AC47" s="147">
        <f t="shared" si="39"/>
        <v>671.69331928940539</v>
      </c>
      <c r="AD47" s="156">
        <f>Poor!AD47</f>
        <v>0.25</v>
      </c>
      <c r="AE47" s="147">
        <f t="shared" si="40"/>
        <v>671.69331928940539</v>
      </c>
      <c r="AF47" s="122">
        <f t="shared" si="31"/>
        <v>0.25</v>
      </c>
      <c r="AG47" s="147">
        <f t="shared" si="34"/>
        <v>671.69331928940539</v>
      </c>
      <c r="AH47" s="123">
        <f t="shared" si="35"/>
        <v>1</v>
      </c>
      <c r="AI47" s="112">
        <f t="shared" si="35"/>
        <v>2686.7732771576216</v>
      </c>
      <c r="AJ47" s="148">
        <f t="shared" si="36"/>
        <v>1343.3866385788108</v>
      </c>
      <c r="AK47" s="147">
        <f t="shared" si="37"/>
        <v>1343.3866385788108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89.999999999999901</v>
      </c>
      <c r="J48" s="38">
        <f t="shared" si="33"/>
        <v>2874.9647665848083</v>
      </c>
      <c r="K48" s="40">
        <f t="shared" si="28"/>
        <v>9.5595104042885595E-3</v>
      </c>
      <c r="L48" s="22">
        <f t="shared" si="29"/>
        <v>1.3383314566003982E-2</v>
      </c>
      <c r="M48" s="24">
        <f t="shared" si="30"/>
        <v>1.383849728002543E-2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718.74119164620208</v>
      </c>
      <c r="AB48" s="156">
        <f>Poor!AB48</f>
        <v>0.25</v>
      </c>
      <c r="AC48" s="147">
        <f t="shared" si="39"/>
        <v>718.74119164620208</v>
      </c>
      <c r="AD48" s="156">
        <f>Poor!AD48</f>
        <v>0.25</v>
      </c>
      <c r="AE48" s="147">
        <f t="shared" si="40"/>
        <v>718.74119164620208</v>
      </c>
      <c r="AF48" s="122">
        <f t="shared" si="31"/>
        <v>0.25</v>
      </c>
      <c r="AG48" s="147">
        <f t="shared" si="34"/>
        <v>718.74119164620208</v>
      </c>
      <c r="AH48" s="123">
        <f t="shared" si="35"/>
        <v>1</v>
      </c>
      <c r="AI48" s="112">
        <f t="shared" si="35"/>
        <v>2874.9647665848083</v>
      </c>
      <c r="AJ48" s="148">
        <f t="shared" si="36"/>
        <v>1437.4823832924042</v>
      </c>
      <c r="AK48" s="147">
        <f t="shared" si="37"/>
        <v>1437.4823832924042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3330.0742098213382</v>
      </c>
      <c r="K49" s="40">
        <f t="shared" si="28"/>
        <v>1.1060618965111603E-2</v>
      </c>
      <c r="L49" s="22">
        <f t="shared" si="29"/>
        <v>1.5484866551156244E-2</v>
      </c>
      <c r="M49" s="24">
        <f t="shared" si="30"/>
        <v>1.6029143532648584E-2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832.51855245533454</v>
      </c>
      <c r="AB49" s="156">
        <f>Poor!AB49</f>
        <v>0.25</v>
      </c>
      <c r="AC49" s="147">
        <f t="shared" si="39"/>
        <v>832.51855245533454</v>
      </c>
      <c r="AD49" s="156">
        <f>Poor!AD49</f>
        <v>0.25</v>
      </c>
      <c r="AE49" s="147">
        <f t="shared" si="40"/>
        <v>832.51855245533454</v>
      </c>
      <c r="AF49" s="122">
        <f t="shared" si="31"/>
        <v>0.25</v>
      </c>
      <c r="AG49" s="147">
        <f t="shared" si="34"/>
        <v>832.51855245533454</v>
      </c>
      <c r="AH49" s="123">
        <f t="shared" si="35"/>
        <v>1</v>
      </c>
      <c r="AI49" s="112">
        <f t="shared" si="35"/>
        <v>3330.0742098213382</v>
      </c>
      <c r="AJ49" s="148">
        <f t="shared" si="36"/>
        <v>1665.0371049106691</v>
      </c>
      <c r="AK49" s="147">
        <f t="shared" si="37"/>
        <v>1665.0371049106691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2834.6</v>
      </c>
      <c r="J50" s="38">
        <f t="shared" si="33"/>
        <v>3125.8909178252175</v>
      </c>
      <c r="K50" s="40">
        <f t="shared" si="28"/>
        <v>1.0713362976464951E-2</v>
      </c>
      <c r="L50" s="22">
        <f t="shared" si="29"/>
        <v>1.499870816705093E-2</v>
      </c>
      <c r="M50" s="24">
        <f t="shared" si="30"/>
        <v>1.5046317599003666E-2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781.47272945630436</v>
      </c>
      <c r="AB50" s="156">
        <f>Poor!AB55</f>
        <v>0.25</v>
      </c>
      <c r="AC50" s="147">
        <f t="shared" si="39"/>
        <v>781.47272945630436</v>
      </c>
      <c r="AD50" s="156">
        <f>Poor!AD55</f>
        <v>0.25</v>
      </c>
      <c r="AE50" s="147">
        <f t="shared" si="40"/>
        <v>781.47272945630436</v>
      </c>
      <c r="AF50" s="122">
        <f t="shared" si="31"/>
        <v>0.25</v>
      </c>
      <c r="AG50" s="147">
        <f t="shared" si="34"/>
        <v>781.47272945630436</v>
      </c>
      <c r="AH50" s="123">
        <f t="shared" si="35"/>
        <v>1</v>
      </c>
      <c r="AI50" s="112">
        <f t="shared" si="35"/>
        <v>3125.8909178252175</v>
      </c>
      <c r="AJ50" s="148">
        <f t="shared" si="36"/>
        <v>1562.9454589126087</v>
      </c>
      <c r="AK50" s="147">
        <f t="shared" si="37"/>
        <v>1562.9454589126087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688.37405953720531</v>
      </c>
      <c r="K51" s="40">
        <f t="shared" si="28"/>
        <v>2.2863884400992273E-3</v>
      </c>
      <c r="L51" s="22">
        <f t="shared" si="29"/>
        <v>3.2009438161389181E-3</v>
      </c>
      <c r="M51" s="24">
        <f t="shared" si="30"/>
        <v>3.3134536677685129E-3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172.09351488430133</v>
      </c>
      <c r="AB51" s="156">
        <f>Poor!AB56</f>
        <v>0.25</v>
      </c>
      <c r="AC51" s="147">
        <f t="shared" si="39"/>
        <v>172.09351488430133</v>
      </c>
      <c r="AD51" s="156">
        <f>Poor!AD56</f>
        <v>0.25</v>
      </c>
      <c r="AE51" s="147">
        <f t="shared" si="40"/>
        <v>172.09351488430133</v>
      </c>
      <c r="AF51" s="122">
        <f t="shared" si="31"/>
        <v>0.25</v>
      </c>
      <c r="AG51" s="147">
        <f t="shared" si="34"/>
        <v>172.09351488430133</v>
      </c>
      <c r="AH51" s="123">
        <f t="shared" si="35"/>
        <v>1</v>
      </c>
      <c r="AI51" s="112">
        <f t="shared" si="35"/>
        <v>688.37405953720531</v>
      </c>
      <c r="AJ51" s="148">
        <f t="shared" si="36"/>
        <v>344.18702976860266</v>
      </c>
      <c r="AK51" s="147">
        <f t="shared" si="37"/>
        <v>344.18702976860266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345</v>
      </c>
      <c r="J52" s="38">
        <f t="shared" si="33"/>
        <v>194.90340055203788</v>
      </c>
      <c r="K52" s="40">
        <f t="shared" si="28"/>
        <v>6.8763562108247443E-4</v>
      </c>
      <c r="L52" s="22">
        <f t="shared" si="29"/>
        <v>9.6268986951546416E-4</v>
      </c>
      <c r="M52" s="24">
        <f t="shared" si="30"/>
        <v>9.3815764622780793E-4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48.72585013800947</v>
      </c>
      <c r="AB52" s="156">
        <f>Poor!AB57</f>
        <v>0.25</v>
      </c>
      <c r="AC52" s="147">
        <f t="shared" si="39"/>
        <v>48.72585013800947</v>
      </c>
      <c r="AD52" s="156">
        <f>Poor!AD57</f>
        <v>0.25</v>
      </c>
      <c r="AE52" s="147">
        <f t="shared" si="40"/>
        <v>48.72585013800947</v>
      </c>
      <c r="AF52" s="122">
        <f t="shared" si="31"/>
        <v>0.25</v>
      </c>
      <c r="AG52" s="147">
        <f t="shared" si="34"/>
        <v>48.72585013800947</v>
      </c>
      <c r="AH52" s="123">
        <f t="shared" si="35"/>
        <v>1</v>
      </c>
      <c r="AI52" s="112">
        <f t="shared" si="35"/>
        <v>194.90340055203788</v>
      </c>
      <c r="AJ52" s="148">
        <f t="shared" si="36"/>
        <v>97.45170027601894</v>
      </c>
      <c r="AK52" s="147">
        <f t="shared" si="37"/>
        <v>97.45170027601894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298.122900972504</v>
      </c>
      <c r="K53" s="40">
        <f t="shared" ref="K53:K64" si="43">(B53/B$65)</f>
        <v>9.901952943587632E-4</v>
      </c>
      <c r="L53" s="22">
        <f t="shared" ref="L53:L64" si="44">(K53*H53)</f>
        <v>1.3862734121022685E-3</v>
      </c>
      <c r="M53" s="24">
        <f t="shared" ref="M53:M64" si="45">J53/B$65</f>
        <v>1.4349994831839576E-3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106607.26857142856</v>
      </c>
      <c r="J58" s="38">
        <f t="shared" si="33"/>
        <v>106607.26857142858</v>
      </c>
      <c r="K58" s="40">
        <f t="shared" si="43"/>
        <v>0.54358971117811761</v>
      </c>
      <c r="L58" s="22">
        <f t="shared" si="44"/>
        <v>0.51314868735214303</v>
      </c>
      <c r="M58" s="24">
        <f t="shared" si="45"/>
        <v>0.51314868735214314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26651.817142857144</v>
      </c>
      <c r="AB58" s="156">
        <f>Poor!AB58</f>
        <v>0.25</v>
      </c>
      <c r="AC58" s="147">
        <f t="shared" si="39"/>
        <v>26651.817142857144</v>
      </c>
      <c r="AD58" s="156">
        <f>Poor!AD58</f>
        <v>0.25</v>
      </c>
      <c r="AE58" s="147">
        <f t="shared" si="40"/>
        <v>26651.817142857144</v>
      </c>
      <c r="AF58" s="122">
        <f t="shared" si="31"/>
        <v>0.25</v>
      </c>
      <c r="AG58" s="147">
        <f t="shared" si="34"/>
        <v>26651.817142857144</v>
      </c>
      <c r="AH58" s="123">
        <f t="shared" si="35"/>
        <v>1</v>
      </c>
      <c r="AI58" s="112">
        <f t="shared" si="35"/>
        <v>106607.26857142858</v>
      </c>
      <c r="AJ58" s="148">
        <f t="shared" si="36"/>
        <v>53303.634285714288</v>
      </c>
      <c r="AK58" s="147">
        <f t="shared" si="37"/>
        <v>53303.634285714288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680.89385667975978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3.2774480902045956E-3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170.22346416993994</v>
      </c>
      <c r="AB59" s="156">
        <f>Poor!AB59</f>
        <v>0.25</v>
      </c>
      <c r="AC59" s="147">
        <f t="shared" si="39"/>
        <v>170.22346416993994</v>
      </c>
      <c r="AD59" s="156">
        <f>Poor!AD59</f>
        <v>0.25</v>
      </c>
      <c r="AE59" s="147">
        <f t="shared" si="40"/>
        <v>170.22346416993994</v>
      </c>
      <c r="AF59" s="122">
        <f t="shared" si="31"/>
        <v>0.25</v>
      </c>
      <c r="AG59" s="147">
        <f t="shared" si="34"/>
        <v>170.22346416993994</v>
      </c>
      <c r="AH59" s="123">
        <f t="shared" ref="AH59:AI64" si="46">SUM(Z59,AB59,AD59,AF59)</f>
        <v>1</v>
      </c>
      <c r="AI59" s="112">
        <f t="shared" si="46"/>
        <v>680.89385667975978</v>
      </c>
      <c r="AJ59" s="148">
        <f t="shared" si="36"/>
        <v>340.44692833987989</v>
      </c>
      <c r="AK59" s="147">
        <f t="shared" si="37"/>
        <v>340.44692833987989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4.1839758229511345E-2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183103.40828571425</v>
      </c>
      <c r="J65" s="39">
        <f>SUM(J37:J64)</f>
        <v>197782.03506041595</v>
      </c>
      <c r="K65" s="40">
        <f>SUM(K37:K64)</f>
        <v>1</v>
      </c>
      <c r="L65" s="22">
        <f>SUM(L37:L64)</f>
        <v>0.94961469031616996</v>
      </c>
      <c r="M65" s="24">
        <f>SUM(M37:M64)</f>
        <v>0.95201380762407406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55463.446751326679</v>
      </c>
      <c r="AB65" s="137"/>
      <c r="AC65" s="153">
        <f>SUM(AC37:AC64)</f>
        <v>52404.981659663325</v>
      </c>
      <c r="AD65" s="137"/>
      <c r="AE65" s="153">
        <f>SUM(AE37:AE64)</f>
        <v>44801.812050473694</v>
      </c>
      <c r="AF65" s="137"/>
      <c r="AG65" s="153">
        <f>SUM(AG37:AG64)</f>
        <v>44813.671697979749</v>
      </c>
      <c r="AH65" s="137"/>
      <c r="AI65" s="153">
        <f>SUM(AI37:AI64)</f>
        <v>197483.91215944345</v>
      </c>
      <c r="AJ65" s="153">
        <f>SUM(AJ37:AJ64)</f>
        <v>107868.42841099</v>
      </c>
      <c r="AK65" s="153">
        <f>SUM(AK37:AK64)</f>
        <v>89615.483748453451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163958.58910043704</v>
      </c>
      <c r="J74" s="51">
        <f>J128*I$83</f>
        <v>1286.9772631155283</v>
      </c>
      <c r="K74" s="40">
        <f>B74/B$76</f>
        <v>3.0052442019310059E-2</v>
      </c>
      <c r="L74" s="22">
        <f>(L128*G$37*F$9/F$7)/B$130</f>
        <v>2.7584534252104252E-2</v>
      </c>
      <c r="M74" s="24">
        <f>J74/B$76</f>
        <v>6.1947998674902862E-3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1309.5363187236894</v>
      </c>
      <c r="AF74" s="156"/>
      <c r="AG74" s="147">
        <f>AG30*$I$83/4</f>
        <v>1564.3116122668132</v>
      </c>
      <c r="AH74" s="155"/>
      <c r="AI74" s="147">
        <f>SUM(AA74,AC74,AE74,AG74)</f>
        <v>2873.8479309905024</v>
      </c>
      <c r="AJ74" s="148">
        <f>(AA74+AC74)</f>
        <v>0</v>
      </c>
      <c r="AK74" s="147">
        <f>(AE74+AG74)</f>
        <v>2873.8479309905024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99598.858612023163</v>
      </c>
      <c r="K75" s="40">
        <f>B75/B$76</f>
        <v>0.58696126886457367</v>
      </c>
      <c r="L75" s="22">
        <f>(L129*G$37*F$9/F$7)/B$130</f>
        <v>0.45562520931297074</v>
      </c>
      <c r="M75" s="24">
        <f>J75/B$76</f>
        <v>0.47941406100548872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50677.241955007368</v>
      </c>
      <c r="AB75" s="158"/>
      <c r="AC75" s="149">
        <f>AA75+AC65-SUM(AC70,AC74)</f>
        <v>98296.018818351367</v>
      </c>
      <c r="AD75" s="158"/>
      <c r="AE75" s="149">
        <f>AC75+AE65-SUM(AE70,AE74)</f>
        <v>137002.08975378206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175465.24504317567</v>
      </c>
      <c r="AJ75" s="151">
        <f>AJ76-SUM(AJ70,AJ74)</f>
        <v>98296.018818351382</v>
      </c>
      <c r="AK75" s="149">
        <f>AJ75+AK76-SUM(AK70,AK74)</f>
        <v>175465.2450431757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183103.40828571428</v>
      </c>
      <c r="J76" s="51">
        <f>J130*I$83</f>
        <v>197782.03506041595</v>
      </c>
      <c r="K76" s="40">
        <f>SUM(K70:K75)</f>
        <v>0.81256290713409696</v>
      </c>
      <c r="L76" s="22">
        <f>SUM(L70:L75)</f>
        <v>0.7284389207344043</v>
      </c>
      <c r="M76" s="24">
        <f>SUM(M70:M75)</f>
        <v>0.73083803804230829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55463.446751326679</v>
      </c>
      <c r="AB76" s="137"/>
      <c r="AC76" s="153">
        <f>AC65</f>
        <v>52404.981659663325</v>
      </c>
      <c r="AD76" s="137"/>
      <c r="AE76" s="153">
        <f>AE65</f>
        <v>44801.812050473694</v>
      </c>
      <c r="AF76" s="137"/>
      <c r="AG76" s="153">
        <f>AG65</f>
        <v>44813.671697979749</v>
      </c>
      <c r="AH76" s="137"/>
      <c r="AI76" s="153">
        <f>SUM(AA76,AC76,AE76,AG76)</f>
        <v>197483.91215944343</v>
      </c>
      <c r="AJ76" s="154">
        <f>SUM(AA76,AC76)</f>
        <v>107868.42841099</v>
      </c>
      <c r="AK76" s="154">
        <f>SUM(AE76,AG76)</f>
        <v>89615.483748453436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50677.241955007368</v>
      </c>
      <c r="AD78" s="112"/>
      <c r="AE78" s="112">
        <f>AC75</f>
        <v>98296.018818351367</v>
      </c>
      <c r="AF78" s="112"/>
      <c r="AG78" s="112">
        <f>AE75</f>
        <v>137002.08975378206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50677.241955007368</v>
      </c>
      <c r="AB79" s="112"/>
      <c r="AC79" s="112">
        <f>AA79-AA74+AC65-AC70</f>
        <v>98296.018818351367</v>
      </c>
      <c r="AD79" s="112"/>
      <c r="AE79" s="112">
        <f>AC79-AC74+AE65-AE70</f>
        <v>138311.62607250575</v>
      </c>
      <c r="AF79" s="112"/>
      <c r="AG79" s="112">
        <f>AE79-AE74+AG65-AG70</f>
        <v>177029.55665544252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0.3575757575757576</v>
      </c>
      <c r="I91" s="22">
        <f t="shared" ref="I91" si="52">(D91*H91)</f>
        <v>6.1151076530532679E-2</v>
      </c>
      <c r="J91" s="24">
        <f>IF(I$32&lt;=1+I$131,I91,L91+J$33*(I91-L91))</f>
        <v>4.6543274981755429E-2</v>
      </c>
      <c r="K91" s="22">
        <f t="shared" ref="K91" si="53">(B91)</f>
        <v>0.1315505557697248</v>
      </c>
      <c r="L91" s="22">
        <f t="shared" ref="L91" si="54">(K91*H91)</f>
        <v>4.7039289638871294E-2</v>
      </c>
      <c r="M91" s="226">
        <f t="shared" si="50"/>
        <v>4.6543274981755429E-2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0.3575757575757576</v>
      </c>
      <c r="I92" s="22">
        <f t="shared" ref="I92:I118" si="59">(D92*H92)</f>
        <v>3.0575538265266341E-4</v>
      </c>
      <c r="J92" s="24">
        <f t="shared" ref="J92:J118" si="60">IF(I$32&lt;=1+I$131,I92,L92+J$33*(I92-L92))</f>
        <v>3.0575538265266341E-4</v>
      </c>
      <c r="K92" s="22">
        <f t="shared" ref="K92:K118" si="61">(B92)</f>
        <v>8.5507861250321124E-4</v>
      </c>
      <c r="L92" s="22">
        <f t="shared" ref="L92:L118" si="62">(K92*H92)</f>
        <v>3.0575538265266341E-4</v>
      </c>
      <c r="M92" s="226">
        <f t="shared" ref="M92:M118" si="63">(J92)</f>
        <v>3.0575538265266341E-4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0.57212121212121214</v>
      </c>
      <c r="I93" s="22">
        <f t="shared" si="59"/>
        <v>0.97841722448852297</v>
      </c>
      <c r="J93" s="24">
        <f t="shared" si="60"/>
        <v>0.92582913891292484</v>
      </c>
      <c r="K93" s="22">
        <f t="shared" si="61"/>
        <v>1.6213605998618583</v>
      </c>
      <c r="L93" s="22">
        <f t="shared" si="62"/>
        <v>0.92761479167854199</v>
      </c>
      <c r="M93" s="226">
        <f t="shared" si="63"/>
        <v>0.92582913891292484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0.57212121212121214</v>
      </c>
      <c r="I94" s="22">
        <f t="shared" si="59"/>
        <v>0.10311012288840589</v>
      </c>
      <c r="J94" s="24">
        <f t="shared" si="60"/>
        <v>8.5580761029873179E-2</v>
      </c>
      <c r="K94" s="22">
        <f t="shared" si="61"/>
        <v>0.15062538635633491</v>
      </c>
      <c r="L94" s="22">
        <f t="shared" si="62"/>
        <v>8.6175978618412211E-2</v>
      </c>
      <c r="M94" s="226">
        <f t="shared" si="63"/>
        <v>8.5580761029873179E-2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0.57212121212121214</v>
      </c>
      <c r="I95" s="22">
        <f t="shared" si="59"/>
        <v>0.17534741920102775</v>
      </c>
      <c r="J95" s="24">
        <f t="shared" si="60"/>
        <v>0.14649798499562924</v>
      </c>
      <c r="K95" s="22">
        <f t="shared" si="61"/>
        <v>0.25777331403077575</v>
      </c>
      <c r="L95" s="22">
        <f t="shared" si="62"/>
        <v>0.14747758087578927</v>
      </c>
      <c r="M95" s="226">
        <f t="shared" si="63"/>
        <v>0.14649798499562924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0.57212121212121214</v>
      </c>
      <c r="I96" s="22">
        <f t="shared" si="59"/>
        <v>4.5157718053316434E-3</v>
      </c>
      <c r="J96" s="24">
        <f t="shared" si="60"/>
        <v>4.5157718053316434E-3</v>
      </c>
      <c r="K96" s="22">
        <f t="shared" si="61"/>
        <v>7.8930333461834871E-3</v>
      </c>
      <c r="L96" s="22">
        <f t="shared" si="62"/>
        <v>4.5157718053316434E-3</v>
      </c>
      <c r="M96" s="226">
        <f t="shared" si="63"/>
        <v>4.5157718053316434E-3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0.92484848484848492</v>
      </c>
      <c r="I98" s="22">
        <f t="shared" si="59"/>
        <v>0</v>
      </c>
      <c r="J98" s="24">
        <f t="shared" si="60"/>
        <v>0.54991694920059797</v>
      </c>
      <c r="K98" s="22">
        <f t="shared" si="61"/>
        <v>0.5744122130046091</v>
      </c>
      <c r="L98" s="22">
        <f t="shared" si="62"/>
        <v>0.53124426487577792</v>
      </c>
      <c r="M98" s="226">
        <f t="shared" si="63"/>
        <v>0.54991694920059797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0.92484848484848492</v>
      </c>
      <c r="I99" s="22">
        <f t="shared" si="59"/>
        <v>0</v>
      </c>
      <c r="J99" s="24">
        <f t="shared" si="60"/>
        <v>1.2468130006666521E-3</v>
      </c>
      <c r="K99" s="22">
        <f t="shared" si="61"/>
        <v>1.3023505021202753E-3</v>
      </c>
      <c r="L99" s="22">
        <f t="shared" si="62"/>
        <v>1.2044768886276002E-3</v>
      </c>
      <c r="M99" s="226">
        <f t="shared" si="63"/>
        <v>1.2468130006666521E-3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0.84848484848484851</v>
      </c>
      <c r="I100" s="22">
        <f t="shared" si="59"/>
        <v>0.15459183493181597</v>
      </c>
      <c r="J100" s="24">
        <f t="shared" si="60"/>
        <v>0.13864704815654047</v>
      </c>
      <c r="K100" s="22">
        <f t="shared" si="61"/>
        <v>0.16404354304484681</v>
      </c>
      <c r="L100" s="22">
        <f t="shared" si="62"/>
        <v>0.13918846076532457</v>
      </c>
      <c r="M100" s="226">
        <f t="shared" si="63"/>
        <v>0.13864704815654047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0.84848484848484851</v>
      </c>
      <c r="I101" s="22">
        <f t="shared" si="59"/>
        <v>0.14867604630265627</v>
      </c>
      <c r="J101" s="24">
        <f t="shared" si="60"/>
        <v>0.1499470075673521</v>
      </c>
      <c r="K101" s="22">
        <f t="shared" si="61"/>
        <v>0.17667239639874041</v>
      </c>
      <c r="L101" s="22">
        <f t="shared" si="62"/>
        <v>0.14990385148984034</v>
      </c>
      <c r="M101" s="226">
        <f t="shared" si="63"/>
        <v>0.1499470075673521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0.84848484848484851</v>
      </c>
      <c r="I102" s="22">
        <f t="shared" si="59"/>
        <v>5.0228394021167621E-3</v>
      </c>
      <c r="J102" s="24">
        <f t="shared" si="60"/>
        <v>0.16044984788110672</v>
      </c>
      <c r="K102" s="22">
        <f t="shared" si="61"/>
        <v>0.1828815826310714</v>
      </c>
      <c r="L102" s="22">
        <f t="shared" si="62"/>
        <v>0.15517225192939393</v>
      </c>
      <c r="M102" s="226">
        <f t="shared" si="63"/>
        <v>0.16044984788110672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0.185849199478483</v>
      </c>
      <c r="K103" s="22">
        <f t="shared" si="61"/>
        <v>0.21159906895560235</v>
      </c>
      <c r="L103" s="22">
        <f t="shared" si="62"/>
        <v>0.17953860396232926</v>
      </c>
      <c r="M103" s="226">
        <f t="shared" si="63"/>
        <v>0.185849199478483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0.84848484848484851</v>
      </c>
      <c r="I104" s="22">
        <f t="shared" si="59"/>
        <v>0.15819711743600204</v>
      </c>
      <c r="J104" s="24">
        <f t="shared" si="60"/>
        <v>0.1744538674307938</v>
      </c>
      <c r="K104" s="22">
        <f t="shared" si="61"/>
        <v>0.20495576588923123</v>
      </c>
      <c r="L104" s="22">
        <f t="shared" si="62"/>
        <v>0.17390186196662044</v>
      </c>
      <c r="M104" s="226">
        <f t="shared" si="63"/>
        <v>0.1744538674307938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3.8417692773761634E-2</v>
      </c>
      <c r="K105" s="22">
        <f t="shared" si="61"/>
        <v>4.3740559793433491E-2</v>
      </c>
      <c r="L105" s="22">
        <f t="shared" si="62"/>
        <v>3.7113202248973874E-2</v>
      </c>
      <c r="M105" s="226">
        <f t="shared" si="63"/>
        <v>3.8417692773761634E-2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0.84848484848484851</v>
      </c>
      <c r="I106" s="22">
        <f t="shared" si="59"/>
        <v>1.9254217708114266E-2</v>
      </c>
      <c r="J106" s="24">
        <f t="shared" si="60"/>
        <v>1.0877427554436915E-2</v>
      </c>
      <c r="K106" s="22">
        <f t="shared" si="61"/>
        <v>1.3155055576972479E-2</v>
      </c>
      <c r="L106" s="22">
        <f t="shared" si="62"/>
        <v>1.1161865338037254E-2</v>
      </c>
      <c r="M106" s="226">
        <f t="shared" si="63"/>
        <v>1.0877427554436915E-2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1.6638038374200529E-2</v>
      </c>
      <c r="K107" s="22">
        <f t="shared" si="61"/>
        <v>1.8943280030840372E-2</v>
      </c>
      <c r="L107" s="22">
        <f t="shared" si="62"/>
        <v>1.6073086086773648E-2</v>
      </c>
      <c r="M107" s="226">
        <f t="shared" si="63"/>
        <v>1.6638038374200529E-2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0.57212121212121214</v>
      </c>
      <c r="I112" s="22">
        <f t="shared" si="59"/>
        <v>5.9496798792512857</v>
      </c>
      <c r="J112" s="24">
        <f t="shared" si="60"/>
        <v>5.9496798792512857</v>
      </c>
      <c r="K112" s="22">
        <f t="shared" si="61"/>
        <v>10.399334534708284</v>
      </c>
      <c r="L112" s="22">
        <f t="shared" si="62"/>
        <v>5.9496798792512857</v>
      </c>
      <c r="M112" s="226">
        <f t="shared" si="63"/>
        <v>5.9496798792512857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3.8000227688781592E-2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3.8000227688781592E-2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0.80043023944842784</v>
      </c>
      <c r="L115" s="22">
        <f t="shared" si="62"/>
        <v>0</v>
      </c>
      <c r="M115" s="226">
        <f t="shared" si="63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10.218877931103989</v>
      </c>
      <c r="J119" s="24">
        <f>SUM(J91:J118)</f>
        <v>11.038082208136631</v>
      </c>
      <c r="K119" s="22">
        <f>SUM(K91:K118)</f>
        <v>19.130852407360489</v>
      </c>
      <c r="L119" s="22">
        <f>SUM(L91:L118)</f>
        <v>11.010265748060597</v>
      </c>
      <c r="M119" s="57">
        <f t="shared" si="50"/>
        <v>11.038082208136631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9.1504184627683056</v>
      </c>
      <c r="J128" s="227">
        <f>(J30)</f>
        <v>7.182533452005635E-2</v>
      </c>
      <c r="K128" s="22">
        <f>(B128)</f>
        <v>0.57492883275217932</v>
      </c>
      <c r="L128" s="22">
        <f>IF(L124=L119,0,(L119-L124)/(B119-B124)*K128)</f>
        <v>0.31982766878956759</v>
      </c>
      <c r="M128" s="57">
        <f t="shared" si="90"/>
        <v>7.182533452005635E-2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5.5585452382480742</v>
      </c>
      <c r="K129" s="29">
        <f>(B129)</f>
        <v>11.229069403485196</v>
      </c>
      <c r="L129" s="60">
        <f>IF(SUM(L124:L128)&gt;L130,0,L130-SUM(L124:L128))</f>
        <v>5.2827264439025292</v>
      </c>
      <c r="M129" s="57">
        <f t="shared" si="90"/>
        <v>5.5585452382480742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10.218877931103989</v>
      </c>
      <c r="J130" s="227">
        <f>(J119)</f>
        <v>11.038082208136631</v>
      </c>
      <c r="K130" s="22">
        <f>(B130)</f>
        <v>19.130852407360489</v>
      </c>
      <c r="L130" s="22">
        <f>(L119)</f>
        <v>11.010265748060597</v>
      </c>
      <c r="M130" s="57">
        <f t="shared" si="90"/>
        <v>11.038082208136631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6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3890.9032856411359</v>
      </c>
      <c r="G72" s="109">
        <f>Poor!T7</f>
        <v>5916.3443055445323</v>
      </c>
      <c r="H72" s="109">
        <f>Middle!T7</f>
        <v>7126.7901352286126</v>
      </c>
      <c r="I72" s="109">
        <f>Rich!T7</f>
        <v>8878.8088213086867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54.857142857142883</v>
      </c>
      <c r="G73" s="109">
        <f>Poor!T8</f>
        <v>28.999999999999982</v>
      </c>
      <c r="H73" s="109">
        <f>Middle!T8</f>
        <v>5323.5885409337143</v>
      </c>
      <c r="I73" s="109">
        <f>Rich!T8</f>
        <v>29210.558286104457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246.48301097974294</v>
      </c>
      <c r="G74" s="109">
        <f>Poor!T9</f>
        <v>615.61511090225247</v>
      </c>
      <c r="H74" s="109">
        <f>Middle!T9</f>
        <v>1291.4717510840369</v>
      </c>
      <c r="I74" s="109">
        <f>Rich!T9</f>
        <v>1971.3026937130376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0.84285714285714286</v>
      </c>
      <c r="H75" s="109">
        <f>Middle!T10</f>
        <v>574.06217101151969</v>
      </c>
      <c r="I75" s="109">
        <f>Rich!T10</f>
        <v>959.36919800377996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385.88408163265302</v>
      </c>
      <c r="G76" s="109">
        <f>Poor!T11</f>
        <v>2730.2840000000006</v>
      </c>
      <c r="H76" s="109">
        <f>Middle!T11</f>
        <v>11379.280840902671</v>
      </c>
      <c r="I76" s="109">
        <f>Rich!T11</f>
        <v>24195.645156896418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645.11762024323525</v>
      </c>
      <c r="G77" s="109">
        <f>Poor!T12</f>
        <v>379.32228644264376</v>
      </c>
      <c r="H77" s="109">
        <f>Middle!T12</f>
        <v>45.723475964827117</v>
      </c>
      <c r="I77" s="109">
        <f>Rich!T12</f>
        <v>33.944257726252275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6573.8308531625617</v>
      </c>
      <c r="G78" s="109">
        <f>Poor!T13</f>
        <v>7579.2941859256289</v>
      </c>
      <c r="H78" s="109">
        <f>Middle!T13</f>
        <v>6498.3589451109128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33567.869387755105</v>
      </c>
      <c r="I79" s="109">
        <f>Rich!T14</f>
        <v>121836.87836734694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2294.5959183673472</v>
      </c>
      <c r="G81" s="109">
        <f>Poor!T16</f>
        <v>1615.5428571428572</v>
      </c>
      <c r="H81" s="109">
        <f>Middle!T16</f>
        <v>7474.5307835646845</v>
      </c>
      <c r="I81" s="109">
        <f>Rich!T16</f>
        <v>778.16440763401113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22625.127489325554</v>
      </c>
      <c r="G88" s="109">
        <f>Poor!T23</f>
        <v>28370.634877118526</v>
      </c>
      <c r="H88" s="109">
        <f>Middle!T23</f>
        <v>97256.120606895391</v>
      </c>
      <c r="I88" s="109">
        <f>Rich!T23</f>
        <v>238176.07618774366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15131.493683787623</v>
      </c>
      <c r="G98" s="238">
        <f t="shared" si="0"/>
        <v>9385.986295994644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33571.08878582844</v>
      </c>
      <c r="G99" s="238">
        <f t="shared" si="0"/>
        <v>27825.581398035498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67645.250418481475</v>
      </c>
      <c r="G100" s="238">
        <f t="shared" si="0"/>
        <v>61899.743030688493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2016-08-10T09:50:41Z</dcterms:modified>
  <cp:category/>
</cp:coreProperties>
</file>