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1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1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1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<sst xmlns="http://schemas.openxmlformats.org/spreadsheetml/2006/main" count="849" uniqueCount="195">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</sst>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0.000879656071832054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0.00907696949328325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0.0010014311703226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0.00613315601464928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0.279072045101483</c:v>
                </c:pt>
                <c:pt idx="2" formatCode="0.0%">
                  <c:v>0.569143825096391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497496"/>
        <c:axId val="-2012018760"/>
      </c:barChart>
      <c:catAx>
        <c:axId val="-203649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01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01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49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0.00173045731674943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0.048948239673236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0.00185140331830052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0.0123140919975676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0.00368089443947424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0.000208202938709776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0.00146921946592988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0.00019318884556807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0.00219802220665952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0.000519130555155391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0.000421412761717183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0.000387883060575529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0.000556320477514432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0.239509868937984</c:v>
                </c:pt>
                <c:pt idx="2">
                  <c:v>0.239509868937984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0.0731997668520411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748968"/>
        <c:axId val="-2056117432"/>
      </c:barChart>
      <c:catAx>
        <c:axId val="-20567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1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1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74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0.00164262526015824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0.0501145474945851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0.0046824571777294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0.00801090532617931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0.0120976734019147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2.74287535549742E-5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0.00241175747117828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0.0025849234076151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0.00257129927897365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0.00297098653826101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0.002988721217609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0.000614145492055819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0.000198216581902995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0.000265975792048235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0.384861515514107</c:v>
                </c:pt>
                <c:pt idx="2">
                  <c:v>0.384861515514107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0.00332750548208211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75272"/>
        <c:axId val="-2055917368"/>
      </c:barChart>
      <c:catAx>
        <c:axId val="213407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1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91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07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0.000471727778653775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0.0138763446947976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0.0593143220256535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400968"/>
        <c:axId val="-2055253128"/>
      </c:barChart>
      <c:catAx>
        <c:axId val="-206840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53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Affected Area with Grants</a:t>
            </a:r>
          </a:p>
        </c:rich>
      </c:tx>
      <c:layout>
        <c:manualLayout>
          <c:xMode val="edge"/>
          <c:yMode val="edge"/>
          <c:x val="0.344351651639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890.370923648229</c:v>
                </c:pt>
                <c:pt idx="5">
                  <c:v>1312.767803123964</c:v>
                </c:pt>
                <c:pt idx="6">
                  <c:v>1750.207895580285</c:v>
                </c:pt>
                <c:pt idx="7">
                  <c:v>2334.908726197233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17.32937038020578</c:v>
                </c:pt>
                <c:pt idx="5">
                  <c:v>5.799999999999995</c:v>
                </c:pt>
                <c:pt idx="6">
                  <c:v>1030.985351459931</c:v>
                </c:pt>
                <c:pt idx="7">
                  <c:v>6346.770951822545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515.0938274608647</c:v>
                </c:pt>
                <c:pt idx="7">
                  <c:v>787.1331280033166</c:v>
                </c:pt>
              </c:numCache>
            </c:numRef>
          </c:val>
        </c:ser>
        <c:ser>
          <c:idx val="16"/>
          <c:order val="4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0.337142857142857</c:v>
                </c:pt>
                <c:pt idx="6">
                  <c:v>241.4255319290531</c:v>
                </c:pt>
                <c:pt idx="7">
                  <c:v>392.5129589936426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6916.775433164234</c:v>
                </c:pt>
                <c:pt idx="7">
                  <c:v>15361.93989161082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531.0127457114139</c:v>
                </c:pt>
                <c:pt idx="5">
                  <c:v>386.8797964094774</c:v>
                </c:pt>
                <c:pt idx="6">
                  <c:v>47.38769001652157</c:v>
                </c:pt>
                <c:pt idx="7">
                  <c:v>34.59345705160441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3229.0119033614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25175.90204081632</c:v>
                </c:pt>
                <c:pt idx="7">
                  <c:v>91377.6587755102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2178.968256155548</c:v>
                </c:pt>
                <c:pt idx="5">
                  <c:v>1615.542857142857</c:v>
                </c:pt>
                <c:pt idx="6">
                  <c:v>7694.339142888325</c:v>
                </c:pt>
                <c:pt idx="7">
                  <c:v>790.0495327758833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177960"/>
        <c:axId val="-2014050120"/>
      </c:barChart>
      <c:lineChart>
        <c:grouping val="standard"/>
        <c:varyColors val="0"/>
        <c:ser>
          <c:idx val="13"/>
          <c:order val="3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5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77960"/>
        <c:axId val="-2014050120"/>
      </c:lineChart>
      <c:catAx>
        <c:axId val="-20141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5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05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17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139496"/>
        <c:axId val="-20108166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39496"/>
        <c:axId val="-2010816632"/>
      </c:lineChart>
      <c:catAx>
        <c:axId val="-201413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81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81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13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269992"/>
        <c:axId val="-20132930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69992"/>
        <c:axId val="-2013293032"/>
      </c:lineChart>
      <c:catAx>
        <c:axId val="2138269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9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29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26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0.139749706455729</c:v>
                </c:pt>
                <c:pt idx="2">
                  <c:v>0.285007702793692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-0.272717425096472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605192"/>
        <c:axId val="-2010601832"/>
      </c:barChart>
      <c:catAx>
        <c:axId val="-201060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0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60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0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0.0526654034259963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0.321358821045118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53944"/>
        <c:axId val="-2098266152"/>
      </c:barChart>
      <c:catAx>
        <c:axId val="-201345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26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26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5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0.250604825958776</c:v>
                </c:pt>
                <c:pt idx="2">
                  <c:v>0.231412502242589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62392"/>
        <c:axId val="-2014676728"/>
      </c:barChart>
      <c:catAx>
        <c:axId val="-201806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7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7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6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0.447192002370905</c:v>
                </c:pt>
                <c:pt idx="2">
                  <c:v>0.460388561345015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0.170156405976179</c:v>
                </c:pt>
                <c:pt idx="2">
                  <c:v>0.337515522567332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-0.379076486560898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345608"/>
        <c:axId val="-2014342264"/>
      </c:barChart>
      <c:catAx>
        <c:axId val="-201434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34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34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34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0.0121141891489988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0.0429406184304369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0.00375971338271625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0.00904328375284103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0.00442476850078392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0.00178473995845067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0.00335589779265792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0.00117286678710646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0.000967851128003184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0.00926745087124594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-2.28711083451601E-6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0.00231409068907216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0.0112011506065126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0.0133761877827481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0.0119925450188167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0.229303278525707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0.255362093000194</c:v>
                </c:pt>
                <c:pt idx="2" formatCode="0.0%">
                  <c:v>0.518935193982466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857624"/>
        <c:axId val="2130941304"/>
      </c:barChart>
      <c:catAx>
        <c:axId val="-21378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4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4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8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69352"/>
        <c:axId val="-20316664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69352"/>
        <c:axId val="-20316664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969352"/>
        <c:axId val="-2031666456"/>
      </c:scatterChart>
      <c:catAx>
        <c:axId val="-201496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66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666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6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996696"/>
        <c:axId val="-20152422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96696"/>
        <c:axId val="-2015242232"/>
      </c:lineChart>
      <c:catAx>
        <c:axId val="-2017996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42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4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96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23352"/>
        <c:axId val="-2015120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29016"/>
        <c:axId val="-2011965208"/>
      </c:scatterChart>
      <c:valAx>
        <c:axId val="-2015123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20248"/>
        <c:crosses val="autoZero"/>
        <c:crossBetween val="midCat"/>
      </c:valAx>
      <c:valAx>
        <c:axId val="-2015120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23352"/>
        <c:crosses val="autoZero"/>
        <c:crossBetween val="midCat"/>
      </c:valAx>
      <c:valAx>
        <c:axId val="21150290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1965208"/>
        <c:crosses val="autoZero"/>
        <c:crossBetween val="midCat"/>
      </c:valAx>
      <c:valAx>
        <c:axId val="-20119652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0290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506952"/>
        <c:axId val="-2031192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506952"/>
        <c:axId val="-2031192744"/>
      </c:lineChart>
      <c:catAx>
        <c:axId val="-203650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192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192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5069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0.0178724843067314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0.0103957304545031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0.0516574882441503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0.012453714671326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0.00839774659916106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0.00405926073105921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0.00194933229032332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0.00132649812944068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0.00193027830271232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0.00888289552914473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0.00461400981917956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0.000623410112978862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0.00168930785269393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0.0299456058764197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0.0242193215453275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0.273093330184169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0.240814575641627</c:v>
                </c:pt>
                <c:pt idx="2" formatCode="0.0%">
                  <c:v>0.457287676882835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117352"/>
        <c:axId val="-2036466904"/>
      </c:barChart>
      <c:catAx>
        <c:axId val="-201211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46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46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11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0.00122094841158328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0.000742323824354939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0.00176193063458054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0.00103780103837741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0.305249156539457</c:v>
                </c:pt>
                <c:pt idx="2" formatCode="0.0%">
                  <c:v>0.605480163920922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654472"/>
        <c:axId val="-2014918024"/>
      </c:barChart>
      <c:catAx>
        <c:axId val="-20316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91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1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65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0.00656475676496636</c:v>
                </c:pt>
                <c:pt idx="1">
                  <c:v>0.00725451253101797</c:v>
                </c:pt>
                <c:pt idx="2">
                  <c:v>0.000601339359059255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0.00897462053129585</c:v>
                </c:pt>
                <c:pt idx="1">
                  <c:v>0.00991757949858338</c:v>
                </c:pt>
                <c:pt idx="2">
                  <c:v>0.000822085684406483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0.0593430625375112</c:v>
                </c:pt>
                <c:pt idx="1">
                  <c:v>0.0655782089451968</c:v>
                </c:pt>
                <c:pt idx="2">
                  <c:v>0.00543589358578512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0.0479446890352377</c:v>
                </c:pt>
                <c:pt idx="3">
                  <c:v>2.228630611350327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257128"/>
        <c:axId val="2121008584"/>
      </c:barChart>
      <c:catAx>
        <c:axId val="-201525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008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100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5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0.544436882454453</c:v>
                </c:pt>
                <c:pt idx="1">
                  <c:v>0.650978647289976</c:v>
                </c:pt>
                <c:pt idx="2">
                  <c:v>0.646958131790782</c:v>
                </c:pt>
                <c:pt idx="3">
                  <c:v>0.617287246999098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417288"/>
        <c:axId val="-2058137064"/>
      </c:barChart>
      <c:catAx>
        <c:axId val="-203141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137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13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41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0.00823764862131918</c:v>
                </c:pt>
                <c:pt idx="1">
                  <c:v>0.00823764862131918</c:v>
                </c:pt>
                <c:pt idx="2">
                  <c:v>0.0159907296766784</c:v>
                </c:pt>
                <c:pt idx="3">
                  <c:v>0.0159907296766784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0.171762473721748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0.015038853530865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0.024236000457614</c:v>
                </c:pt>
                <c:pt idx="3">
                  <c:v>0.0119371345537502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0.0176990740031357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0.00178473995845067</c:v>
                </c:pt>
                <c:pt idx="1">
                  <c:v>0.00178473995845067</c:v>
                </c:pt>
                <c:pt idx="2">
                  <c:v>0.00178473995845067</c:v>
                </c:pt>
                <c:pt idx="3">
                  <c:v>0.00178473995845067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0.0134235911706317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0.00137976048835204</c:v>
                </c:pt>
                <c:pt idx="1">
                  <c:v>0.000828043951697162</c:v>
                </c:pt>
                <c:pt idx="2">
                  <c:v>0.0011039022200246</c:v>
                </c:pt>
                <c:pt idx="3">
                  <c:v>0.00137976048835204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0.0239850900376333</c:v>
                </c:pt>
                <c:pt idx="3">
                  <c:v>0.0239850900376333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0.229303278525707</c:v>
                </c:pt>
                <c:pt idx="1">
                  <c:v>0.229303278525707</c:v>
                </c:pt>
                <c:pt idx="2">
                  <c:v>0.229303278525707</c:v>
                </c:pt>
                <c:pt idx="3">
                  <c:v>0.229303278525707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0.408512219474158</c:v>
                </c:pt>
                <c:pt idx="1">
                  <c:v>0.634450759367286</c:v>
                </c:pt>
                <c:pt idx="2">
                  <c:v>0.595899803551488</c:v>
                </c:pt>
                <c:pt idx="3">
                  <c:v>0.579483050651511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48728"/>
        <c:axId val="-2140457672"/>
      </c:barChart>
      <c:catAx>
        <c:axId val="-2055548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57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4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4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0.0121532893285774</c:v>
                </c:pt>
                <c:pt idx="1">
                  <c:v>0.0121532893285774</c:v>
                </c:pt>
                <c:pt idx="2">
                  <c:v>0.0235916792848854</c:v>
                </c:pt>
                <c:pt idx="3">
                  <c:v>0.0235916792848854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0.0415829218180124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0.206629952976601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0.0333759553191537</c:v>
                </c:pt>
                <c:pt idx="3">
                  <c:v>0.0164389033661503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0.0335909863966442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0.00405926073105921</c:v>
                </c:pt>
                <c:pt idx="1">
                  <c:v>0.00405926073105921</c:v>
                </c:pt>
                <c:pt idx="2">
                  <c:v>0.00405926073105921</c:v>
                </c:pt>
                <c:pt idx="3">
                  <c:v>0.00405926073105921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0.00779732916129327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0.00156049239947402</c:v>
                </c:pt>
                <c:pt idx="1">
                  <c:v>0.000936507679385123</c:v>
                </c:pt>
                <c:pt idx="2">
                  <c:v>0.00124850003942957</c:v>
                </c:pt>
                <c:pt idx="3">
                  <c:v>0.00156049239947402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0.0484386430906551</c:v>
                </c:pt>
                <c:pt idx="3">
                  <c:v>0.0484386430906551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0.273093330184169</c:v>
                </c:pt>
                <c:pt idx="1">
                  <c:v>0.273093330184169</c:v>
                </c:pt>
                <c:pt idx="2">
                  <c:v>0.273093330184169</c:v>
                </c:pt>
                <c:pt idx="3">
                  <c:v>0.273093330184169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0.276565913306795</c:v>
                </c:pt>
                <c:pt idx="1">
                  <c:v>0.592555108994978</c:v>
                </c:pt>
                <c:pt idx="2">
                  <c:v>0.532581114665461</c:v>
                </c:pt>
                <c:pt idx="3">
                  <c:v>0.528966876194796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39576"/>
        <c:axId val="-2010857896"/>
      </c:barChart>
      <c:catAx>
        <c:axId val="2135739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857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85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73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478776"/>
        <c:axId val="2135692936"/>
      </c:barChart>
      <c:catAx>
        <c:axId val="-209847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9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9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47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194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890.370923648229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17.329370380205777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531.01274571141391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1.2209484115832769E-3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1.2209484115832769E-3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2178.9682561555478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7.423238243549397E-4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7.423238243549397E-4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1.7619306345805453E-3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1.7619306345805453E-3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1.0378010383774129E-3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1.0378010383774129E-3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41765.384868119072</v>
      </c>
      <c r="T23" s="179">
        <f>SUM(T7:T22)</f>
        <v>42270.479578476799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0.83668923536337969</v>
      </c>
      <c r="J30" s="230">
        <f>IF(I$32&lt;=1,I30,1-SUM(J6:J29))</f>
        <v>0.60548016392092252</v>
      </c>
      <c r="K30" s="22">
        <f t="shared" si="4"/>
        <v>0.64712844882837317</v>
      </c>
      <c r="L30" s="22">
        <f>IF(L124=L119,0,IF(K30="",0,(L119-L124)/(B119-B124)*K30))</f>
        <v>0.30524915653945656</v>
      </c>
      <c r="M30" s="175">
        <f t="shared" si="6"/>
        <v>0.60548016392092252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2.4219206556836901</v>
      </c>
      <c r="Z30" s="122">
        <f>IF($Y30=0,0,AA30/($Y$30))</f>
        <v>0.22479550730812975</v>
      </c>
      <c r="AA30" s="187">
        <f>IF(AA79*4/$I$83+SUM(AA6:AA29)&lt;1,AA79*4/$I$83,1-SUM(AA6:AA29))</f>
        <v>0.54443688245445332</v>
      </c>
      <c r="AB30" s="122">
        <f>IF($Y30=0,0,AC30/($Y$30))</f>
        <v>0.2687861164081819</v>
      </c>
      <c r="AC30" s="187">
        <f>IF(AC79*4/$I$83+SUM(AC6:AC29)&lt;1,AC79*4/$I$83,1-SUM(AC6:AC29))</f>
        <v>0.65097864728997656</v>
      </c>
      <c r="AD30" s="122">
        <f>IF($Y30=0,0,AE30/($Y$30))</f>
        <v>0.26712606388343912</v>
      </c>
      <c r="AE30" s="187">
        <f>IF(AE79*4/$I$83+SUM(AE6:AE29)&lt;1,AE79*4/$I$83,1-SUM(AE6:AE29))</f>
        <v>0.64695813179078221</v>
      </c>
      <c r="AF30" s="122">
        <f>IF($Y30=0,0,AG30/($Y$30))</f>
        <v>0.25487509078815895</v>
      </c>
      <c r="AG30" s="187">
        <f>IF(AG79*4/$I$83+SUM(AG6:AG29)&lt;1,AG79*4/$I$83,1-SUM(AG6:AG29))</f>
        <v>0.61728724699909798</v>
      </c>
      <c r="AH30" s="123">
        <f t="shared" si="12"/>
        <v>1.0155827783879097</v>
      </c>
      <c r="AI30" s="183">
        <f t="shared" si="13"/>
        <v>0.61491522713357749</v>
      </c>
      <c r="AJ30" s="120">
        <f t="shared" si="14"/>
        <v>0.59770776487221489</v>
      </c>
      <c r="AK30" s="119">
        <f t="shared" si="15"/>
        <v>0.6321226893949401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0.29678265537413107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14430.831407034922</v>
      </c>
      <c r="T31" s="233">
        <f>IF(T25&gt;T$23,T25-T$23,0)</f>
        <v>13925.736696677195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1.2314022137426748</v>
      </c>
      <c r="J32" s="17"/>
      <c r="L32" s="22">
        <f>SUM(L6:L30)</f>
        <v>0.70321734462586893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48504.993039687964</v>
      </c>
      <c r="T32" s="233">
        <f t="shared" si="24"/>
        <v>47999.898329330237</v>
      </c>
      <c r="V32" s="56"/>
      <c r="W32" s="110"/>
      <c r="X32" s="118"/>
      <c r="Y32" s="115">
        <f>SUM(Y6:Y31)</f>
        <v>3.9622597471493801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0.69765222376738834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12185.01960959256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15.163199082680055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4.7172777865377564E-4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3.7907997706700138</v>
      </c>
      <c r="AB52" s="156">
        <f>Poor!AB57</f>
        <v>0.25</v>
      </c>
      <c r="AC52" s="147">
        <f t="shared" si="41"/>
        <v>3.7907997706700138</v>
      </c>
      <c r="AD52" s="156">
        <f>Poor!AD57</f>
        <v>0.25</v>
      </c>
      <c r="AE52" s="147">
        <f t="shared" si="42"/>
        <v>3.7907997706700138</v>
      </c>
      <c r="AF52" s="122">
        <f t="shared" si="29"/>
        <v>0.25</v>
      </c>
      <c r="AG52" s="147">
        <f t="shared" si="36"/>
        <v>3.7907997706700138</v>
      </c>
      <c r="AH52" s="123">
        <f t="shared" si="37"/>
        <v>1</v>
      </c>
      <c r="AI52" s="112">
        <f t="shared" si="37"/>
        <v>15.163199082680055</v>
      </c>
      <c r="AJ52" s="148">
        <f t="shared" si="38"/>
        <v>7.5815995413400277</v>
      </c>
      <c r="AK52" s="147">
        <f t="shared" si="39"/>
        <v>7.5815995413400277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446.04067572102383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1.387634469479763E-2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1906.5972241361044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5.9314322025653551E-2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476.6493060340261</v>
      </c>
      <c r="AB59" s="156">
        <f>Poor!AB59</f>
        <v>0.25</v>
      </c>
      <c r="AC59" s="147">
        <f t="shared" si="41"/>
        <v>476.6493060340261</v>
      </c>
      <c r="AD59" s="156">
        <f>Poor!AD59</f>
        <v>0.25</v>
      </c>
      <c r="AE59" s="147">
        <f t="shared" si="42"/>
        <v>476.6493060340261</v>
      </c>
      <c r="AF59" s="122">
        <f t="shared" si="29"/>
        <v>0.25</v>
      </c>
      <c r="AG59" s="147">
        <f t="shared" si="36"/>
        <v>476.6493060340261</v>
      </c>
      <c r="AH59" s="123">
        <f t="shared" ref="AH59:AI64" si="43">SUM(Z59,AB59,AD59,AF59)</f>
        <v>1</v>
      </c>
      <c r="AI59" s="112">
        <f t="shared" si="43"/>
        <v>1906.5972241361044</v>
      </c>
      <c r="AJ59" s="148">
        <f t="shared" si="38"/>
        <v>953.29861206805219</v>
      </c>
      <c r="AK59" s="147">
        <f t="shared" si="39"/>
        <v>953.29861206805219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34136.744101484968</v>
      </c>
      <c r="J65" s="39">
        <f>SUM(J37:J64)</f>
        <v>33943.530914710493</v>
      </c>
      <c r="K65" s="40">
        <f>SUM(K37:K64)</f>
        <v>0.99999999999999989</v>
      </c>
      <c r="L65" s="22">
        <f>SUM(L37:L64)</f>
        <v>1.0427881544595969</v>
      </c>
      <c r="M65" s="24">
        <f>SUM(M37:M64)</f>
        <v>1.0559847134337068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7663.4984526045091</v>
      </c>
      <c r="AB65" s="137"/>
      <c r="AC65" s="153">
        <f>SUM(AC37:AC64)</f>
        <v>7652.9627383187944</v>
      </c>
      <c r="AD65" s="137"/>
      <c r="AE65" s="153">
        <f>SUM(AE37:AE64)</f>
        <v>7674.0341668902238</v>
      </c>
      <c r="AF65" s="137"/>
      <c r="AG65" s="153">
        <f>SUM(AG37:AG64)</f>
        <v>7782.3413097473658</v>
      </c>
      <c r="AH65" s="137"/>
      <c r="AI65" s="153">
        <f>SUM(AI37:AI64)</f>
        <v>30772.836667560892</v>
      </c>
      <c r="AJ65" s="153">
        <f>SUM(AJ37:AJ64)</f>
        <v>15316.461190923304</v>
      </c>
      <c r="AK65" s="153">
        <f>SUM(AK37:AK64)</f>
        <v>15456.37547663759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14991.92491620771</v>
      </c>
      <c r="J71" s="51">
        <f t="shared" si="44"/>
        <v>14798.711729433237</v>
      </c>
      <c r="K71" s="40">
        <f t="shared" ref="K71:K72" si="47">B71/B$76</f>
        <v>0.42538095367676371</v>
      </c>
      <c r="L71" s="22">
        <f t="shared" si="45"/>
        <v>0.44719200237090501</v>
      </c>
      <c r="M71" s="24">
        <f t="shared" ref="M71:M72" si="48">J71/B$76</f>
        <v>0.4603885613450146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14991.92491620771</v>
      </c>
      <c r="J74" s="51">
        <f t="shared" si="44"/>
        <v>10849.085624740073</v>
      </c>
      <c r="K74" s="40">
        <f>B74/B$76</f>
        <v>0.2186252804617024</v>
      </c>
      <c r="L74" s="22">
        <f t="shared" si="45"/>
        <v>0.17015640597617906</v>
      </c>
      <c r="M74" s="24">
        <f>J74/B$76</f>
        <v>0.3375155225673318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2438.8257068427824</v>
      </c>
      <c r="AB74" s="156"/>
      <c r="AC74" s="147">
        <f>AC30*$I$83/4</f>
        <v>2916.0835916537185</v>
      </c>
      <c r="AD74" s="156"/>
      <c r="AE74" s="147">
        <f>AE30*$I$83/4</f>
        <v>2898.0735396712184</v>
      </c>
      <c r="AF74" s="156"/>
      <c r="AG74" s="147">
        <f>AG30*$I$83/4</f>
        <v>2765.1616835741365</v>
      </c>
      <c r="AH74" s="155"/>
      <c r="AI74" s="147">
        <f>SUM(AA74,AC74,AE74,AG74)</f>
        <v>11018.144521741857</v>
      </c>
      <c r="AJ74" s="148">
        <f>(AA74+AC74)</f>
        <v>5354.9092984965009</v>
      </c>
      <c r="AK74" s="147">
        <f>(AE74+AG74)</f>
        <v>5663.235223245355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669.44277929633063</v>
      </c>
      <c r="AB75" s="158"/>
      <c r="AC75" s="149">
        <f>AA75+AC65-SUM(AC70,AC74)</f>
        <v>620.11712964209437</v>
      </c>
      <c r="AD75" s="158"/>
      <c r="AE75" s="149">
        <f>AC75+AE65-SUM(AE70,AE74)</f>
        <v>609.8729605417866</v>
      </c>
      <c r="AF75" s="158"/>
      <c r="AG75" s="149">
        <f>IF(SUM(AG6:AG29)+((AG65-AG70-$J$75)*4/I$83)&lt;1,0,AG65-AG70-$J$75-(1-SUM(AG6:AG29))*I$83/4)</f>
        <v>230.97482985391662</v>
      </c>
      <c r="AH75" s="134"/>
      <c r="AI75" s="149">
        <f>AI76-SUM(AI70,AI74)</f>
        <v>609.87296054178296</v>
      </c>
      <c r="AJ75" s="151">
        <f>AJ76-SUM(AJ70,AJ74)</f>
        <v>389.14229978817639</v>
      </c>
      <c r="AK75" s="149">
        <f>AJ75+AK76-SUM(AK70,AK74)</f>
        <v>609.87296054178478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34136.744101484961</v>
      </c>
      <c r="J76" s="51">
        <f t="shared" si="44"/>
        <v>33943.530914710485</v>
      </c>
      <c r="K76" s="40">
        <f>SUM(K70:K75)</f>
        <v>1.8893594673001592</v>
      </c>
      <c r="L76" s="22">
        <f>SUM(L70:L75)</f>
        <v>1.212944560435776</v>
      </c>
      <c r="M76" s="24">
        <f>SUM(M70:M75)</f>
        <v>1.3935002360010385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7663.4984526045091</v>
      </c>
      <c r="AB76" s="137"/>
      <c r="AC76" s="153">
        <f>AC65</f>
        <v>7652.9627383187944</v>
      </c>
      <c r="AD76" s="137"/>
      <c r="AE76" s="153">
        <f>AE65</f>
        <v>7674.0341668902238</v>
      </c>
      <c r="AF76" s="137"/>
      <c r="AG76" s="153">
        <f>AG65</f>
        <v>7782.3413097473658</v>
      </c>
      <c r="AH76" s="137"/>
      <c r="AI76" s="153">
        <f>SUM(AA76,AC76,AE76,AG76)</f>
        <v>30772.836667560892</v>
      </c>
      <c r="AJ76" s="154">
        <f>SUM(AA76,AC76)</f>
        <v>15316.461190923303</v>
      </c>
      <c r="AK76" s="154">
        <f>SUM(AE76,AG76)</f>
        <v>15456.37547663759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16134.64571428572</v>
      </c>
      <c r="J77" s="100">
        <f t="shared" si="44"/>
        <v>12185.01960959256</v>
      </c>
      <c r="K77" s="40"/>
      <c r="L77" s="22">
        <f>-(L131*G$37*F$9/F$7)/B$130</f>
        <v>-0.50194952533858128</v>
      </c>
      <c r="M77" s="24">
        <f>-J77/B$76</f>
        <v>-0.37907648656089854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230.97482985391662</v>
      </c>
      <c r="AB78" s="112"/>
      <c r="AC78" s="112">
        <f>IF(AA75&lt;0,0,AA75)</f>
        <v>669.44277929633063</v>
      </c>
      <c r="AD78" s="112"/>
      <c r="AE78" s="112">
        <f>AC75</f>
        <v>620.11712964209437</v>
      </c>
      <c r="AF78" s="112"/>
      <c r="AG78" s="112">
        <f>AE75</f>
        <v>609.8729605417866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3108.2684861391131</v>
      </c>
      <c r="AB79" s="112"/>
      <c r="AC79" s="112">
        <f>AA79-AA74+AC65-AC70</f>
        <v>3536.2007212958124</v>
      </c>
      <c r="AD79" s="112"/>
      <c r="AE79" s="112">
        <f>AC79-AC74+AE65-AE70</f>
        <v>3507.9465002130055</v>
      </c>
      <c r="AF79" s="112"/>
      <c r="AG79" s="112">
        <f>AE79-AE74+AG65-AG70</f>
        <v>3606.0094739698397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8.4624793127362414E-4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8.4624793127362414E-4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2.489322978842606E-2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2.489322978842606E-2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0.10640590734841417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0.10640590734841417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1.9051487036990638</v>
      </c>
      <c r="J119" s="24">
        <f>SUM(J91:J118)</f>
        <v>1.8943656058375151</v>
      </c>
      <c r="K119" s="22">
        <f>SUM(K91:K118)</f>
        <v>2.9599891076719906</v>
      </c>
      <c r="L119" s="22">
        <f>SUM(L91:L118)</f>
        <v>1.870691865945324</v>
      </c>
      <c r="M119" s="57">
        <f t="shared" si="49"/>
        <v>1.8943656058375151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0.83668923536337969</v>
      </c>
      <c r="J125" s="236">
        <f>IF(SUMPRODUCT($B$124:$B125,$H$124:$H125)&lt;J$119,($B125*$H125),IF(SUMPRODUCT($B$124:$B124,$H$124:$H124)&lt;J$119,J$119-SUMPRODUCT($B$124:$B124,$H$124:$H124),0))</f>
        <v>0.82590613750183106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0.80223239760963994</v>
      </c>
      <c r="M125" s="239">
        <f t="shared" si="66"/>
        <v>0.82590613750183106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0.83668923536337969</v>
      </c>
      <c r="J128" s="227">
        <f>(J30)</f>
        <v>0.60548016392092252</v>
      </c>
      <c r="K128" s="29">
        <f>(B128)</f>
        <v>0.64712844882837317</v>
      </c>
      <c r="L128" s="29">
        <f>IF(L124=L119,0,(L119-L124)/(B119-B124)*K128)</f>
        <v>0.30524915653945656</v>
      </c>
      <c r="M128" s="239">
        <f t="shared" si="66"/>
        <v>0.60548016392092252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1.9051487036990638</v>
      </c>
      <c r="J130" s="227">
        <f>(J119)</f>
        <v>1.8943656058375151</v>
      </c>
      <c r="K130" s="29">
        <f>(B130)</f>
        <v>2.9599891076719906</v>
      </c>
      <c r="L130" s="29">
        <f>(L119)</f>
        <v>1.870691865945324</v>
      </c>
      <c r="M130" s="239">
        <f t="shared" si="66"/>
        <v>1.8943656058375151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0.9004637136989857</v>
      </c>
      <c r="J131" s="236">
        <f>IF(SUMPRODUCT($B124:$B125,$H124:$H125)&gt;(J119-J128),SUMPRODUCT($B124:$B125,$H124:$H125)+J128-J119,0)</f>
        <v>0.68003774011807727</v>
      </c>
      <c r="K131" s="29"/>
      <c r="L131" s="29">
        <f>IF(I131&lt;SUM(L126:L127),0,I131-(SUM(L126:L127)))</f>
        <v>0.9004637136989857</v>
      </c>
      <c r="M131" s="236">
        <f>IF(I131&lt;SUM(M126:M127),0,I131-(SUM(M126:M127)))</f>
        <v>0.9004637136989857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1312.7678031239641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0.45523437477587642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6.5647567649663582E-3</v>
      </c>
      <c r="AB8" s="125">
        <f>IF($Y8=0,0,AC8/$Y8)</f>
        <v>0.50306562673973676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7.2545125310179729E-3</v>
      </c>
      <c r="AD8" s="125">
        <f>IF($Y8=0,0,AE8/$Y8)</f>
        <v>4.1699998484386942E-2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6.0133935905925476E-4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3.6051521637608967E-3</v>
      </c>
      <c r="AJ8" s="120">
        <f t="shared" si="14"/>
        <v>6.9096346479921656E-3</v>
      </c>
      <c r="AK8" s="119">
        <f t="shared" si="15"/>
        <v>3.0066967952962738E-4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0.45523437477587642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8.9746205312958502E-3</v>
      </c>
      <c r="AB9" s="125">
        <f>IF($Y9=0,0,AC9/$Y9)</f>
        <v>0.50306562673973676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9.9175794985833822E-3</v>
      </c>
      <c r="AD9" s="125">
        <f>IF($Y9=0,0,AE9/$Y9)</f>
        <v>4.1699998484386817E-2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8.2208568440648305E-4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4.9285714285714289E-3</v>
      </c>
      <c r="AJ9" s="120">
        <f t="shared" si="14"/>
        <v>9.4461000149396162E-3</v>
      </c>
      <c r="AK9" s="119">
        <f t="shared" si="15"/>
        <v>4.1104284220324153E-4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0.45523437477587642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5.9343062537511197E-2</v>
      </c>
      <c r="AB10" s="125">
        <f>IF($Y10=0,0,AC10/$Y10)</f>
        <v>0.50306562673973676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6.5578208945196823E-2</v>
      </c>
      <c r="AD10" s="125">
        <f>IF($Y10=0,0,AE10/$Y10)</f>
        <v>4.169999848438681E-2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5.4358935857851259E-3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6.2460635741354006E-2</v>
      </c>
      <c r="AK10" s="119">
        <f t="shared" si="15"/>
        <v>2.717946792892563E-3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386.87979640947736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8.7965607183205401E-4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8.7965607183205401E-4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3.5186242873282161E-3</v>
      </c>
      <c r="Z18" s="116">
        <v>1.2941</v>
      </c>
      <c r="AA18" s="121">
        <f t="shared" ref="AA18:AA20" si="25">$M18*Z18*4</f>
        <v>4.5534516902314441E-3</v>
      </c>
      <c r="AB18" s="116">
        <v>1.1765000000000001</v>
      </c>
      <c r="AC18" s="121">
        <f t="shared" ref="AC18:AC20" si="26">$M18*AB18*4</f>
        <v>4.1396614740416464E-3</v>
      </c>
      <c r="AD18" s="116">
        <v>1.2353000000000001</v>
      </c>
      <c r="AE18" s="121">
        <f t="shared" ref="AE18:AE20" si="27">$M18*AD18*4</f>
        <v>4.3465565821365452E-3</v>
      </c>
      <c r="AF18" s="122">
        <f t="shared" ref="AF18:AF20" si="28">1-SUM(Z18,AB18,AD18)</f>
        <v>-2.7059000000000002</v>
      </c>
      <c r="AG18" s="121">
        <f t="shared" ref="AG18:AG20" si="29">$M18*AF18*4</f>
        <v>-9.521045459081421E-3</v>
      </c>
      <c r="AH18" s="123">
        <f t="shared" ref="AH18:AH20" si="30">SUM(Z18,AB18,AD18,AF18)</f>
        <v>1</v>
      </c>
      <c r="AI18" s="183">
        <f t="shared" ref="AI18:AI20" si="31">SUM(AA18,AC18,AE18,AG18)/4</f>
        <v>8.7965607183205369E-4</v>
      </c>
      <c r="AJ18" s="120">
        <f t="shared" ref="AJ18:AJ20" si="32">(AA18+AC18)/2</f>
        <v>4.3465565821365452E-3</v>
      </c>
      <c r="AK18" s="119">
        <f t="shared" ref="AK18:AK20" si="33">(AE18+AG18)/2</f>
        <v>-2.5872444384724379E-3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9.0769694932832483E-3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9.0769694932832483E-3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3.6307877973132993E-2</v>
      </c>
      <c r="Z19" s="116">
        <v>2.2940999999999998</v>
      </c>
      <c r="AA19" s="121">
        <f t="shared" si="25"/>
        <v>8.329390285816439E-2</v>
      </c>
      <c r="AB19" s="116">
        <v>2.1764999999999999</v>
      </c>
      <c r="AC19" s="121">
        <f t="shared" si="26"/>
        <v>7.9024096408523953E-2</v>
      </c>
      <c r="AD19" s="116">
        <v>2.2353000000000001</v>
      </c>
      <c r="AE19" s="121">
        <f t="shared" si="27"/>
        <v>8.1158999633344178E-2</v>
      </c>
      <c r="AF19" s="122">
        <f t="shared" si="28"/>
        <v>-5.7058999999999997</v>
      </c>
      <c r="AG19" s="121">
        <f t="shared" si="29"/>
        <v>-0.20716912092689954</v>
      </c>
      <c r="AH19" s="123">
        <f t="shared" si="30"/>
        <v>1</v>
      </c>
      <c r="AI19" s="183">
        <f t="shared" si="31"/>
        <v>9.0769694932832379E-3</v>
      </c>
      <c r="AJ19" s="120">
        <f t="shared" si="32"/>
        <v>8.1158999633344164E-2</v>
      </c>
      <c r="AK19" s="119">
        <f t="shared" si="33"/>
        <v>-6.3005060646777689E-2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1.0014311703225955E-3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1.0014311703225955E-3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4.0057246812903822E-3</v>
      </c>
      <c r="Z21" s="116">
        <v>4.2941000000000003</v>
      </c>
      <c r="AA21" s="121">
        <f t="shared" ref="AA21:AA25" si="41">$M21*Z21*4</f>
        <v>1.7200982353929032E-2</v>
      </c>
      <c r="AB21" s="116">
        <v>4.1764999999999999</v>
      </c>
      <c r="AC21" s="121">
        <f t="shared" ref="AC21:AC25" si="42">$M21*AB21*4</f>
        <v>1.672990913140928E-2</v>
      </c>
      <c r="AD21" s="116">
        <v>4.2352999999999996</v>
      </c>
      <c r="AE21" s="121">
        <f t="shared" ref="AE21:AE25" si="43">$M21*AD21*4</f>
        <v>1.6965445742669154E-2</v>
      </c>
      <c r="AF21" s="122">
        <f t="shared" ref="AF21:AF25" si="44">1-SUM(Z21,AB21,AD21)</f>
        <v>-11.7059</v>
      </c>
      <c r="AG21" s="121">
        <f t="shared" ref="AG21:AG25" si="45">$M21*AF21*4</f>
        <v>-4.6890612546717086E-2</v>
      </c>
      <c r="AH21" s="123">
        <f t="shared" ref="AH21:AH25" si="46">SUM(Z21,AB21,AD21,AF21)</f>
        <v>1</v>
      </c>
      <c r="AI21" s="183">
        <f t="shared" ref="AI21:AI25" si="47">SUM(AA21,AC21,AE21,AG21)/4</f>
        <v>1.0014311703225968E-3</v>
      </c>
      <c r="AJ21" s="120">
        <f t="shared" ref="AJ21:AJ25" si="48">(AA21+AC21)/2</f>
        <v>1.6965445742669158E-2</v>
      </c>
      <c r="AK21" s="119">
        <f t="shared" ref="AK21:AK25" si="49">(AE21+AG21)/2</f>
        <v>-1.4962583402023966E-2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6.1331560146492799E-3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6.1331560146492799E-3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2.453262405859712E-2</v>
      </c>
      <c r="Z22" s="116">
        <v>5.2941000000000003</v>
      </c>
      <c r="AA22" s="121">
        <f t="shared" si="41"/>
        <v>0.12987816502861901</v>
      </c>
      <c r="AB22" s="116">
        <v>5.1764999999999999</v>
      </c>
      <c r="AC22" s="121">
        <f t="shared" si="42"/>
        <v>0.12699312843932797</v>
      </c>
      <c r="AD22" s="116">
        <v>5.2352999999999996</v>
      </c>
      <c r="AE22" s="121">
        <f t="shared" si="43"/>
        <v>0.12843564673397348</v>
      </c>
      <c r="AF22" s="122">
        <f t="shared" si="44"/>
        <v>-14.7059</v>
      </c>
      <c r="AG22" s="121">
        <f t="shared" si="45"/>
        <v>-0.36077431614332339</v>
      </c>
      <c r="AH22" s="123">
        <f t="shared" si="46"/>
        <v>1</v>
      </c>
      <c r="AI22" s="183">
        <f t="shared" si="47"/>
        <v>6.1331560146492686E-3</v>
      </c>
      <c r="AJ22" s="120">
        <f t="shared" si="48"/>
        <v>0.12843564673397351</v>
      </c>
      <c r="AK22" s="119">
        <f t="shared" si="49"/>
        <v>-0.11616933470467496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44803.769612159296</v>
      </c>
      <c r="T23" s="179">
        <f>SUM(T7:T22)</f>
        <v>45043.940956300597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0.9250066842626854</v>
      </c>
      <c r="J30" s="230">
        <f>IF(I$32&lt;=1,I30,1-SUM(J6:J29))</f>
        <v>0.56914382509639128</v>
      </c>
      <c r="K30" s="22">
        <f t="shared" si="4"/>
        <v>0.61940969298167581</v>
      </c>
      <c r="L30" s="22">
        <f>IF(L124=L119,0,IF(K30="",0,(L119-L124)/(B119-B124)*K30))</f>
        <v>0.2790720451014827</v>
      </c>
      <c r="M30" s="175">
        <f t="shared" si="6"/>
        <v>0.56914382509639128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2.2765753003855651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2.1060005802187934E-2</v>
      </c>
      <c r="AE30" s="187">
        <f>IF(AE79*4/$I$83+SUM(AE6:AE29)&lt;1,AE79*4/$I$83,1-SUM(AE6:AE29))</f>
        <v>4.7944689035237742E-2</v>
      </c>
      <c r="AF30" s="122">
        <f>IF($Y30=0,0,AG30/($Y$30))</f>
        <v>0.97893999419781219</v>
      </c>
      <c r="AG30" s="187">
        <f>IF(AG79*4/$I$83+SUM(AG6:AG29)&lt;1,AG79*4/$I$83,1-SUM(AG6:AG29))</f>
        <v>2.2286306113503276</v>
      </c>
      <c r="AH30" s="123">
        <f t="shared" si="12"/>
        <v>1.0000000000000002</v>
      </c>
      <c r="AI30" s="183">
        <f t="shared" si="13"/>
        <v>0.56914382509639139</v>
      </c>
      <c r="AJ30" s="120">
        <f t="shared" si="14"/>
        <v>0</v>
      </c>
      <c r="AK30" s="119">
        <f t="shared" si="15"/>
        <v>1.1382876501927828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0.26828391144919317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11392.446662994727</v>
      </c>
      <c r="T31" s="233">
        <f>IF(T25&gt;T$23,T25-T$23,0)</f>
        <v>11152.275318853426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1.3580776990136094</v>
      </c>
      <c r="J32" s="17"/>
      <c r="L32" s="22">
        <f>SUM(L6:L30)</f>
        <v>0.73171608855080683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45466.608295647726</v>
      </c>
      <c r="T32" s="233">
        <f t="shared" si="50"/>
        <v>45226.436951506425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0.61952946083295657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11152.275318853423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0.33714285714285719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</v>
      </c>
      <c r="AK38" s="147">
        <f t="shared" ref="AK38:AK64" si="63">(AE38+AG38)</f>
        <v>0.33714285714285719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0.45523437477587642</v>
      </c>
      <c r="AA39" s="147">
        <f t="shared" ref="AA39:AA64" si="64">$J39*Z39</f>
        <v>556.36143945823187</v>
      </c>
      <c r="AB39" s="122">
        <f>AB8</f>
        <v>0.50306562673973676</v>
      </c>
      <c r="AC39" s="147">
        <f t="shared" ref="AC39:AC64" si="65">$J39*AB39</f>
        <v>614.8180623940641</v>
      </c>
      <c r="AD39" s="122">
        <f>AD8</f>
        <v>4.1699998484386942E-2</v>
      </c>
      <c r="AE39" s="147">
        <f t="shared" ref="AE39:AE64" si="66">$J39*AD39</f>
        <v>50.963355290561481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1222.1428571428573</v>
      </c>
      <c r="AJ39" s="148">
        <f t="shared" si="62"/>
        <v>1171.179501852296</v>
      </c>
      <c r="AK39" s="147">
        <f t="shared" si="63"/>
        <v>50.963355290561481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0.45523437477587642</v>
      </c>
      <c r="AA40" s="147">
        <f t="shared" si="64"/>
        <v>28.777315834046469</v>
      </c>
      <c r="AB40" s="122">
        <f>AB9</f>
        <v>0.50306562673973676</v>
      </c>
      <c r="AC40" s="147">
        <f t="shared" si="65"/>
        <v>31.800934261761928</v>
      </c>
      <c r="AD40" s="122">
        <f>AD9</f>
        <v>4.1699998484386817E-2</v>
      </c>
      <c r="AE40" s="147">
        <f t="shared" si="66"/>
        <v>2.6360356184773095</v>
      </c>
      <c r="AF40" s="122">
        <f t="shared" si="57"/>
        <v>0</v>
      </c>
      <c r="AG40" s="147">
        <f t="shared" si="60"/>
        <v>0</v>
      </c>
      <c r="AH40" s="123">
        <f t="shared" si="61"/>
        <v>0.99999999999999989</v>
      </c>
      <c r="AI40" s="112">
        <f t="shared" si="61"/>
        <v>63.214285714285708</v>
      </c>
      <c r="AJ40" s="148">
        <f t="shared" si="62"/>
        <v>60.5782500958084</v>
      </c>
      <c r="AK40" s="147">
        <f t="shared" si="63"/>
        <v>2.6360356184773095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40821.976659711392</v>
      </c>
      <c r="J65" s="39">
        <f>SUM(J37:J64)</f>
        <v>40821.976659711399</v>
      </c>
      <c r="K65" s="40">
        <f>SUM(K37:K64)</f>
        <v>1</v>
      </c>
      <c r="L65" s="22">
        <f>SUM(L37:L64)</f>
        <v>0.99433714993043565</v>
      </c>
      <c r="M65" s="24">
        <f>SUM(M37:M64)</f>
        <v>0.99825946218922301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10364.098455934416</v>
      </c>
      <c r="AB65" s="137"/>
      <c r="AC65" s="153">
        <f>SUM(AC37:AC64)</f>
        <v>10370.79298301225</v>
      </c>
      <c r="AD65" s="137"/>
      <c r="AE65" s="153">
        <f>SUM(AE37:AE64)</f>
        <v>9887.3448058368904</v>
      </c>
      <c r="AF65" s="137"/>
      <c r="AG65" s="153">
        <f>SUM(AG37:AG64)</f>
        <v>9932.654700642137</v>
      </c>
      <c r="AH65" s="137"/>
      <c r="AI65" s="153">
        <f>SUM(AI37:AI64)</f>
        <v>40554.890945425686</v>
      </c>
      <c r="AJ65" s="153">
        <f>SUM(AJ37:AJ64)</f>
        <v>20734.891438946663</v>
      </c>
      <c r="AK65" s="153">
        <f>SUM(AK37:AK64)</f>
        <v>19819.999506479024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18942.183305108843</v>
      </c>
      <c r="J74" s="51">
        <f t="shared" si="75"/>
        <v>11654.863521921414</v>
      </c>
      <c r="K74" s="40">
        <f>B74/B$76</f>
        <v>0.18798734850327262</v>
      </c>
      <c r="L74" s="22">
        <f t="shared" si="76"/>
        <v>0.1397497064557286</v>
      </c>
      <c r="M74" s="24">
        <f>J74/B$76</f>
        <v>0.28500770279369214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245.45149339537346</v>
      </c>
      <c r="AF74" s="156"/>
      <c r="AG74" s="147">
        <f>AG30*$I$83/4</f>
        <v>11409.412028526041</v>
      </c>
      <c r="AH74" s="155"/>
      <c r="AI74" s="147">
        <f>SUM(AA74,AC74,AE74,AG74)</f>
        <v>11654.863521921416</v>
      </c>
      <c r="AJ74" s="148">
        <f>(AA74+AC74)</f>
        <v>0</v>
      </c>
      <c r="AK74" s="147">
        <f>(AE74+AG74)</f>
        <v>11654.863521921416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4894.1501172837761</v>
      </c>
      <c r="AB75" s="158"/>
      <c r="AC75" s="149">
        <f>AA75+AC65-SUM(AC70,AC74)</f>
        <v>9794.9947616453865</v>
      </c>
      <c r="AD75" s="158"/>
      <c r="AE75" s="149">
        <f>AC75+AE65-SUM(AE70,AE74)</f>
        <v>13966.939735436263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7020.2340689017146</v>
      </c>
      <c r="AJ75" s="151">
        <f>AJ76-SUM(AJ70,AJ74)</f>
        <v>9794.9947616453865</v>
      </c>
      <c r="AK75" s="149">
        <f>AJ75+AK76-SUM(AK70,AK74)</f>
        <v>7020.2340689017183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40821.976659711399</v>
      </c>
      <c r="J76" s="51">
        <f t="shared" si="75"/>
        <v>40821.976659711399</v>
      </c>
      <c r="K76" s="40">
        <f>SUM(K70:K75)</f>
        <v>1.7092698103325998</v>
      </c>
      <c r="L76" s="22">
        <f>SUM(L70:L75)</f>
        <v>1.1257188909477314</v>
      </c>
      <c r="M76" s="24">
        <f>SUM(M70:M75)</f>
        <v>1.2709768872856948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10364.098455934416</v>
      </c>
      <c r="AB76" s="137"/>
      <c r="AC76" s="153">
        <f>AC65</f>
        <v>10370.79298301225</v>
      </c>
      <c r="AD76" s="137"/>
      <c r="AE76" s="153">
        <f>AE65</f>
        <v>9887.3448058368904</v>
      </c>
      <c r="AF76" s="137"/>
      <c r="AG76" s="153">
        <f>AG65</f>
        <v>9932.654700642137</v>
      </c>
      <c r="AH76" s="137"/>
      <c r="AI76" s="153">
        <f>SUM(AA76,AC76,AE76,AG76)</f>
        <v>40554.890945425694</v>
      </c>
      <c r="AJ76" s="154">
        <f>SUM(AA76,AC76)</f>
        <v>20734.891438946666</v>
      </c>
      <c r="AK76" s="154">
        <f>SUM(AE76,AG76)</f>
        <v>19819.999506479027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11152.275318853423</v>
      </c>
      <c r="K77" s="40"/>
      <c r="L77" s="22">
        <f>-(L131*G$37*F$9/F$7)/B$130</f>
        <v>-0.450921336881693</v>
      </c>
      <c r="M77" s="24">
        <f>-J77/B$76</f>
        <v>-0.27271742509647179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1.1367511391966291E-12</v>
      </c>
      <c r="AH77" s="110"/>
      <c r="AI77" s="154">
        <f>SUM(AA77,AC77,AE77,AG77)</f>
        <v>1.1367511391966291E-12</v>
      </c>
      <c r="AJ77" s="153">
        <f>SUM(AA77,AC77)</f>
        <v>0</v>
      </c>
      <c r="AK77" s="160">
        <f>SUM(AE77,AG77)</f>
        <v>1.1367511391966291E-12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4894.1501172837761</v>
      </c>
      <c r="AD78" s="112"/>
      <c r="AE78" s="112">
        <f>AC75</f>
        <v>9794.9947616453865</v>
      </c>
      <c r="AF78" s="112"/>
      <c r="AG78" s="112">
        <f>AE75</f>
        <v>13966.939735436263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4894.1501172837761</v>
      </c>
      <c r="AB79" s="112"/>
      <c r="AC79" s="112">
        <f>AA79-AA74+AC65-AC70</f>
        <v>9794.9947616453865</v>
      </c>
      <c r="AD79" s="112"/>
      <c r="AE79" s="112">
        <f>AC79-AC74+AE65-AE70</f>
        <v>14212.391228831635</v>
      </c>
      <c r="AF79" s="112"/>
      <c r="AG79" s="112">
        <f>AE79-AE74+AG65-AG70</f>
        <v>18429.646097427758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1.9934661525983688</v>
      </c>
      <c r="J119" s="24">
        <f>SUM(J91:J118)</f>
        <v>1.9934661525983688</v>
      </c>
      <c r="K119" s="22">
        <f>SUM(K91:K118)</f>
        <v>3.2949541440598207</v>
      </c>
      <c r="L119" s="22">
        <f>SUM(L91:L118)</f>
        <v>1.985633522882376</v>
      </c>
      <c r="M119" s="57">
        <f t="shared" si="80"/>
        <v>1.9934661525983688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0.9250066842626854</v>
      </c>
      <c r="J128" s="227">
        <f>(J30)</f>
        <v>0.56914382509639128</v>
      </c>
      <c r="K128" s="29">
        <f>(B128)</f>
        <v>0.61940969298167581</v>
      </c>
      <c r="L128" s="29">
        <f>IF(L124=L119,0,(L119-L124)/(B119-B124)*K128)</f>
        <v>0.2790720451014827</v>
      </c>
      <c r="M128" s="239">
        <f t="shared" si="93"/>
        <v>0.56914382509639128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1.9934661525983688</v>
      </c>
      <c r="J130" s="227">
        <f>(J119)</f>
        <v>1.9934661525983688</v>
      </c>
      <c r="K130" s="29">
        <f>(B130)</f>
        <v>3.2949541440598207</v>
      </c>
      <c r="L130" s="29">
        <f>(L119)</f>
        <v>1.985633522882376</v>
      </c>
      <c r="M130" s="239">
        <f t="shared" si="93"/>
        <v>1.9934661525983688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0.54460085453269302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1.2114189148998793E-2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1.2114189148998793E-2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4.8456756595995173E-2</v>
      </c>
      <c r="Z6" s="156">
        <f>Poor!Z6</f>
        <v>0.17</v>
      </c>
      <c r="AA6" s="121">
        <f>$M6*Z6*4</f>
        <v>8.2376486213191803E-3</v>
      </c>
      <c r="AB6" s="156">
        <f>Poor!AB6</f>
        <v>0.17</v>
      </c>
      <c r="AC6" s="121">
        <f t="shared" ref="AC6:AC29" si="7">$M6*AB6*4</f>
        <v>8.2376486213191803E-3</v>
      </c>
      <c r="AD6" s="156">
        <f>Poor!AD6</f>
        <v>0.33</v>
      </c>
      <c r="AE6" s="121">
        <f t="shared" ref="AE6:AE29" si="8">$M6*AD6*4</f>
        <v>1.5990729676678406E-2</v>
      </c>
      <c r="AF6" s="122">
        <f>1-SUM(Z6,AB6,AD6)</f>
        <v>0.32999999999999996</v>
      </c>
      <c r="AG6" s="121">
        <f>$M6*AF6*4</f>
        <v>1.5990729676678406E-2</v>
      </c>
      <c r="AH6" s="123">
        <f>SUM(Z6,AB6,AD6,AF6)</f>
        <v>1</v>
      </c>
      <c r="AI6" s="183">
        <f>SUM(AA6,AC6,AE6,AG6)/4</f>
        <v>1.2114189148998793E-2</v>
      </c>
      <c r="AJ6" s="120">
        <f>(AA6+AC6)/2</f>
        <v>8.2376486213191803E-3</v>
      </c>
      <c r="AK6" s="119">
        <f>(AE6+AG6)/2</f>
        <v>1.5990729676678406E-2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1750.2078955802847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1030.9853514599313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515.09382746086476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4.2940618430436922E-2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4.2940618430436922E-2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241.42553192905308</v>
      </c>
      <c r="U10" s="222">
        <v>4</v>
      </c>
      <c r="V10" s="56"/>
      <c r="W10" s="115"/>
      <c r="X10" s="118">
        <f>Poor!X10</f>
        <v>1</v>
      </c>
      <c r="Y10" s="183">
        <f t="shared" si="9"/>
        <v>0.17176247372174769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0.17176247372174769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4.2940618430436922E-2</v>
      </c>
      <c r="AJ10" s="120">
        <f t="shared" si="14"/>
        <v>8.5881236860873844E-2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3.7597133827162559E-3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3.7597133827162559E-3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6916.7754331642336</v>
      </c>
      <c r="U11" s="222">
        <v>5</v>
      </c>
      <c r="V11" s="56"/>
      <c r="W11" s="115"/>
      <c r="X11" s="118">
        <f>Poor!X11</f>
        <v>1</v>
      </c>
      <c r="Y11" s="183">
        <f t="shared" si="9"/>
        <v>1.5038853530865023E-2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1.5038853530865023E-2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3.7597133827162559E-3</v>
      </c>
      <c r="AJ11" s="120">
        <f t="shared" si="14"/>
        <v>7.5194267654325117E-3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9.043283752841037E-3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9.043283752841037E-3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47.387690016521567</v>
      </c>
      <c r="U12" s="222">
        <v>6</v>
      </c>
      <c r="V12" s="56"/>
      <c r="W12" s="117"/>
      <c r="X12" s="118"/>
      <c r="Y12" s="183">
        <f t="shared" si="9"/>
        <v>3.6173135011364148E-2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2.4236000457613982E-2</v>
      </c>
      <c r="AF12" s="122">
        <f>1-SUM(Z12,AB12,AD12)</f>
        <v>0.32999999999999996</v>
      </c>
      <c r="AG12" s="121">
        <f>$M12*AF12*4</f>
        <v>1.1937134553750168E-2</v>
      </c>
      <c r="AH12" s="123">
        <f t="shared" si="12"/>
        <v>1</v>
      </c>
      <c r="AI12" s="183">
        <f t="shared" si="13"/>
        <v>9.043283752841037E-3</v>
      </c>
      <c r="AJ12" s="120">
        <f t="shared" si="14"/>
        <v>0</v>
      </c>
      <c r="AK12" s="119">
        <f t="shared" si="15"/>
        <v>1.8086567505682074E-2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3229.0119033613996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4.4247685007839169E-3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4.4247685007839169E-3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25175.902040816323</v>
      </c>
      <c r="T14" s="221">
        <f>IF($B$81=0,0,(SUMIF($N$6:$N$28,$U14,M$6:M$28)+SUMIF($N$91:$N$118,$U14,M$91:M$118))*$I$83*Poor!$B$81/$B$81)</f>
        <v>25175.902040816323</v>
      </c>
      <c r="U14" s="222">
        <v>8</v>
      </c>
      <c r="V14" s="56"/>
      <c r="W14" s="110"/>
      <c r="X14" s="118"/>
      <c r="Y14" s="183">
        <f>M14*4</f>
        <v>1.7699074003135667E-2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1.7699074003135667E-2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4.4247685007839169E-3</v>
      </c>
      <c r="AJ14" s="120">
        <f t="shared" si="14"/>
        <v>8.8495370015678337E-3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1.7847399584506687E-3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1.7847399584506687E-3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7.1389598338026748E-3</v>
      </c>
      <c r="Z15" s="156">
        <f>Poor!Z15</f>
        <v>0.25</v>
      </c>
      <c r="AA15" s="121">
        <f t="shared" si="16"/>
        <v>1.7847399584506687E-3</v>
      </c>
      <c r="AB15" s="156">
        <f>Poor!AB15</f>
        <v>0.25</v>
      </c>
      <c r="AC15" s="121">
        <f t="shared" si="7"/>
        <v>1.7847399584506687E-3</v>
      </c>
      <c r="AD15" s="156">
        <f>Poor!AD15</f>
        <v>0.25</v>
      </c>
      <c r="AE15" s="121">
        <f t="shared" si="8"/>
        <v>1.7847399584506687E-3</v>
      </c>
      <c r="AF15" s="122">
        <f t="shared" si="10"/>
        <v>0.25</v>
      </c>
      <c r="AG15" s="121">
        <f t="shared" si="11"/>
        <v>1.7847399584506687E-3</v>
      </c>
      <c r="AH15" s="123">
        <f t="shared" si="12"/>
        <v>1</v>
      </c>
      <c r="AI15" s="183">
        <f t="shared" si="13"/>
        <v>1.7847399584506687E-3</v>
      </c>
      <c r="AJ15" s="120">
        <f t="shared" si="14"/>
        <v>1.7847399584506687E-3</v>
      </c>
      <c r="AK15" s="119">
        <f t="shared" si="15"/>
        <v>1.7847399584506687E-3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3.3558977926579229E-3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3.3558977926579229E-3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7694.3391428883251</v>
      </c>
      <c r="U16" s="222">
        <v>10</v>
      </c>
      <c r="V16" s="56"/>
      <c r="W16" s="110"/>
      <c r="X16" s="118"/>
      <c r="Y16" s="183">
        <f t="shared" si="9"/>
        <v>1.3423591170631691E-2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1.3423591170631691E-2</v>
      </c>
      <c r="AH16" s="123">
        <f t="shared" si="12"/>
        <v>1</v>
      </c>
      <c r="AI16" s="183">
        <f t="shared" si="13"/>
        <v>3.3558977926579229E-3</v>
      </c>
      <c r="AJ16" s="120">
        <f t="shared" si="14"/>
        <v>0</v>
      </c>
      <c r="AK16" s="119">
        <f t="shared" si="15"/>
        <v>6.7117955853158457E-3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1.1728667871064619E-3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1.1728667871064619E-3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4.6914671484258475E-3</v>
      </c>
      <c r="Z17" s="156">
        <f>Poor!Z17</f>
        <v>0.29409999999999997</v>
      </c>
      <c r="AA17" s="121">
        <f t="shared" si="16"/>
        <v>1.3797604883520416E-3</v>
      </c>
      <c r="AB17" s="156">
        <f>Poor!AB17</f>
        <v>0.17649999999999999</v>
      </c>
      <c r="AC17" s="121">
        <f t="shared" si="7"/>
        <v>8.2804395169716204E-4</v>
      </c>
      <c r="AD17" s="156">
        <f>Poor!AD17</f>
        <v>0.23530000000000001</v>
      </c>
      <c r="AE17" s="121">
        <f t="shared" si="8"/>
        <v>1.103902220024602E-3</v>
      </c>
      <c r="AF17" s="122">
        <f t="shared" si="10"/>
        <v>0.29410000000000003</v>
      </c>
      <c r="AG17" s="121">
        <f t="shared" si="11"/>
        <v>1.3797604883520418E-3</v>
      </c>
      <c r="AH17" s="123">
        <f t="shared" si="12"/>
        <v>1</v>
      </c>
      <c r="AI17" s="183">
        <f t="shared" si="13"/>
        <v>1.1728667871064619E-3</v>
      </c>
      <c r="AJ17" s="120">
        <f t="shared" si="14"/>
        <v>1.1039022200246018E-3</v>
      </c>
      <c r="AK17" s="119">
        <f t="shared" si="15"/>
        <v>1.241831354188322E-3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9.6785112800318427E-4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9.6785112800318427E-4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9.2674508712459434E-3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9.2674508712459434E-3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-2.2871108345160131E-6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-2.2871108345160131E-6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2.3140906890721648E-3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2.3140906890721648E-3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89666.641056685243</v>
      </c>
      <c r="T23" s="179">
        <f>SUM(T7:T22)</f>
        <v>89361.525422415987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1.1201150606512623E-2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1.1201150606512623E-2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1.3376187782748104E-2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1.3376187782748104E-2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5.3504751130992415E-2</v>
      </c>
      <c r="Z27" s="156">
        <f>Poor!Z27</f>
        <v>0.25</v>
      </c>
      <c r="AA27" s="121">
        <f t="shared" si="16"/>
        <v>1.3376187782748104E-2</v>
      </c>
      <c r="AB27" s="156">
        <f>Poor!AB27</f>
        <v>0.25</v>
      </c>
      <c r="AC27" s="121">
        <f t="shared" si="7"/>
        <v>1.3376187782748104E-2</v>
      </c>
      <c r="AD27" s="156">
        <f>Poor!AD27</f>
        <v>0.25</v>
      </c>
      <c r="AE27" s="121">
        <f t="shared" si="8"/>
        <v>1.3376187782748104E-2</v>
      </c>
      <c r="AF27" s="122">
        <f t="shared" si="10"/>
        <v>0.25</v>
      </c>
      <c r="AG27" s="121">
        <f t="shared" si="11"/>
        <v>1.3376187782748104E-2</v>
      </c>
      <c r="AH27" s="123">
        <f t="shared" si="12"/>
        <v>1</v>
      </c>
      <c r="AI27" s="183">
        <f t="shared" si="13"/>
        <v>1.3376187782748104E-2</v>
      </c>
      <c r="AJ27" s="120">
        <f t="shared" si="14"/>
        <v>1.3376187782748104E-2</v>
      </c>
      <c r="AK27" s="119">
        <f t="shared" si="15"/>
        <v>1.3376187782748104E-2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1.1992545018816653E-2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1.1992545018816653E-2</v>
      </c>
      <c r="N28" s="228"/>
      <c r="O28" s="2"/>
      <c r="P28" s="22"/>
      <c r="V28" s="56"/>
      <c r="W28" s="110"/>
      <c r="X28" s="118"/>
      <c r="Y28" s="183">
        <f t="shared" si="9"/>
        <v>4.7970180075266614E-2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2.3985090037633307E-2</v>
      </c>
      <c r="AF28" s="122">
        <f t="shared" si="10"/>
        <v>0.5</v>
      </c>
      <c r="AG28" s="121">
        <f t="shared" si="11"/>
        <v>2.3985090037633307E-2</v>
      </c>
      <c r="AH28" s="123">
        <f t="shared" si="12"/>
        <v>1</v>
      </c>
      <c r="AI28" s="183">
        <f t="shared" si="13"/>
        <v>1.1992545018816653E-2</v>
      </c>
      <c r="AJ28" s="120">
        <f t="shared" si="14"/>
        <v>0</v>
      </c>
      <c r="AK28" s="119">
        <f t="shared" si="15"/>
        <v>2.3985090037633307E-2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0.22930327852570728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0.22930327852570728</v>
      </c>
      <c r="N29" s="228"/>
      <c r="P29" s="22"/>
      <c r="V29" s="56"/>
      <c r="W29" s="110"/>
      <c r="X29" s="118"/>
      <c r="Y29" s="183">
        <f t="shared" si="9"/>
        <v>0.91721311410282913</v>
      </c>
      <c r="Z29" s="156">
        <f>Poor!Z29</f>
        <v>0.25</v>
      </c>
      <c r="AA29" s="121">
        <f t="shared" si="16"/>
        <v>0.22930327852570728</v>
      </c>
      <c r="AB29" s="156">
        <f>Poor!AB29</f>
        <v>0.25</v>
      </c>
      <c r="AC29" s="121">
        <f t="shared" si="7"/>
        <v>0.22930327852570728</v>
      </c>
      <c r="AD29" s="156">
        <f>Poor!AD29</f>
        <v>0.25</v>
      </c>
      <c r="AE29" s="121">
        <f t="shared" si="8"/>
        <v>0.22930327852570728</v>
      </c>
      <c r="AF29" s="122">
        <f t="shared" si="10"/>
        <v>0.25</v>
      </c>
      <c r="AG29" s="121">
        <f t="shared" si="11"/>
        <v>0.22930327852570728</v>
      </c>
      <c r="AH29" s="123">
        <f t="shared" si="12"/>
        <v>1</v>
      </c>
      <c r="AI29" s="183">
        <f t="shared" si="13"/>
        <v>0.22930327852570728</v>
      </c>
      <c r="AJ29" s="120">
        <f t="shared" si="14"/>
        <v>0.22930327852570728</v>
      </c>
      <c r="AK29" s="119">
        <f t="shared" si="15"/>
        <v>0.22930327852570728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3.0314087665870728</v>
      </c>
      <c r="J30" s="230">
        <f>IF(I$32&lt;=1,I30,1-SUM(J6:J29))</f>
        <v>0.51893519398246635</v>
      </c>
      <c r="K30" s="22">
        <f t="shared" si="4"/>
        <v>0.59584818167738329</v>
      </c>
      <c r="L30" s="22">
        <f>IF(L124=L119,0,IF(K30="",0,(L119-L124)/(B119-B124)*K30))</f>
        <v>0.25536209300019441</v>
      </c>
      <c r="M30" s="175">
        <f t="shared" si="6"/>
        <v>0.51893519398246635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2.0757407759298654</v>
      </c>
      <c r="Z30" s="122">
        <f>IF($Y30=0,0,AA30/($Y$30))</f>
        <v>0.19680309998783799</v>
      </c>
      <c r="AA30" s="187">
        <f>IF(AA79*4/$I$84+SUM(AA6:AA29)&lt;1,AA79*4/$I$84,1-SUM(AA6:AA29))</f>
        <v>0.40851221947415772</v>
      </c>
      <c r="AB30" s="122">
        <f>IF($Y30=0,0,AC30/($Y$30))</f>
        <v>0.30565028481606654</v>
      </c>
      <c r="AC30" s="187">
        <f>IF(AC79*4/$I$84+SUM(AC6:AC29)&lt;1,AC79*4/$I$84,1-SUM(AC6:AC29))</f>
        <v>0.63445075936728634</v>
      </c>
      <c r="AD30" s="122">
        <f>IF($Y30=0,0,AE30/($Y$30))</f>
        <v>0.28707814119253117</v>
      </c>
      <c r="AE30" s="187">
        <f>IF(AE79*4/$I$84+SUM(AE6:AE29)&lt;1,AE79*4/$I$84,1-SUM(AE6:AE29))</f>
        <v>0.59589980355148808</v>
      </c>
      <c r="AF30" s="122">
        <f>IF($Y30=0,0,AG30/($Y$30))</f>
        <v>0.27916927651619755</v>
      </c>
      <c r="AG30" s="187">
        <f>IF(AG79*4/$I$84+SUM(AG6:AG29)&lt;1,AG79*4/$I$84,1-SUM(AG6:AG29))</f>
        <v>0.57948305065151107</v>
      </c>
      <c r="AH30" s="123">
        <f t="shared" si="12"/>
        <v>1.0687008025126332</v>
      </c>
      <c r="AI30" s="183">
        <f t="shared" si="13"/>
        <v>0.55458645826111086</v>
      </c>
      <c r="AJ30" s="120">
        <f t="shared" si="14"/>
        <v>0.52148148942072203</v>
      </c>
      <c r="AK30" s="119">
        <f t="shared" si="15"/>
        <v>0.58769142710149957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0.25293164806232149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3.4935886899689632</v>
      </c>
      <c r="J32" s="17"/>
      <c r="L32" s="22">
        <f>SUM(L6:L30)</f>
        <v>0.74706835193767851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603.73685112179373</v>
      </c>
      <c r="T32" s="233">
        <f t="shared" si="24"/>
        <v>908.85248539104941</v>
      </c>
      <c r="V32" s="56"/>
      <c r="W32" s="110"/>
      <c r="X32" s="118"/>
      <c r="Y32" s="115">
        <f>SUM(Y6:Y31)</f>
        <v>3.8573949428854224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0.36040547259629307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159.15876900935001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1.7304573167494263E-3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159.15876900935001</v>
      </c>
      <c r="AH37" s="123">
        <f>SUM(Z37,AB37,AD37,AF37)</f>
        <v>1</v>
      </c>
      <c r="AI37" s="112">
        <f>SUM(AA37,AC37,AE37,AG37)</f>
        <v>159.15876900935001</v>
      </c>
      <c r="AJ37" s="148">
        <f>(AA37+AC37)</f>
        <v>0</v>
      </c>
      <c r="AK37" s="147">
        <f>(AE37+AG37)</f>
        <v>159.15876900935001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4502.0131361581289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4.8948239673235965E-2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4502.0131361581289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4502.0131361581289</v>
      </c>
      <c r="AJ39" s="148">
        <f t="shared" si="38"/>
        <v>4502.0131361581289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170.28277451769421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1.8514033183005207E-3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170.28277451769421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170.28277451769421</v>
      </c>
      <c r="AJ40" s="148">
        <f t="shared" si="38"/>
        <v>170.28277451769421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1132.5883076285957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1.2314091997567639E-2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1132.5883076285957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1132.5883076285957</v>
      </c>
      <c r="AJ41" s="148">
        <f t="shared" si="38"/>
        <v>1132.5883076285957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338.55017524533014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3.6808944394742435E-3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84.637543811332534</v>
      </c>
      <c r="AB44" s="156">
        <f>Poor!AB44</f>
        <v>0.25</v>
      </c>
      <c r="AC44" s="147">
        <f t="shared" si="41"/>
        <v>84.637543811332534</v>
      </c>
      <c r="AD44" s="156">
        <f>Poor!AD44</f>
        <v>0.25</v>
      </c>
      <c r="AE44" s="147">
        <f t="shared" si="42"/>
        <v>84.637543811332534</v>
      </c>
      <c r="AF44" s="122">
        <f t="shared" si="29"/>
        <v>0.25</v>
      </c>
      <c r="AG44" s="147">
        <f t="shared" si="36"/>
        <v>84.637543811332534</v>
      </c>
      <c r="AH44" s="123">
        <f t="shared" si="37"/>
        <v>1</v>
      </c>
      <c r="AI44" s="112">
        <f t="shared" si="37"/>
        <v>338.55017524533014</v>
      </c>
      <c r="AJ44" s="148">
        <f t="shared" si="38"/>
        <v>169.27508762266507</v>
      </c>
      <c r="AK44" s="147">
        <f t="shared" si="39"/>
        <v>169.27508762266507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19.149460150466986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2.0820293870977644E-4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4.7873650376167465</v>
      </c>
      <c r="AB45" s="156">
        <f>Poor!AB45</f>
        <v>0.25</v>
      </c>
      <c r="AC45" s="147">
        <f t="shared" si="41"/>
        <v>4.7873650376167465</v>
      </c>
      <c r="AD45" s="156">
        <f>Poor!AD45</f>
        <v>0.25</v>
      </c>
      <c r="AE45" s="147">
        <f t="shared" si="42"/>
        <v>4.7873650376167465</v>
      </c>
      <c r="AF45" s="122">
        <f t="shared" si="29"/>
        <v>0.25</v>
      </c>
      <c r="AG45" s="147">
        <f t="shared" si="36"/>
        <v>4.7873650376167465</v>
      </c>
      <c r="AH45" s="123">
        <f t="shared" si="37"/>
        <v>1</v>
      </c>
      <c r="AI45" s="112">
        <f t="shared" si="37"/>
        <v>19.149460150466986</v>
      </c>
      <c r="AJ45" s="148">
        <f t="shared" si="38"/>
        <v>9.574730075233493</v>
      </c>
      <c r="AK45" s="147">
        <f t="shared" si="39"/>
        <v>9.574730075233493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135.13142412621266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1.4692194659298818E-3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33.782856031553166</v>
      </c>
      <c r="AB46" s="156">
        <f>Poor!AB46</f>
        <v>0.25</v>
      </c>
      <c r="AC46" s="147">
        <f t="shared" si="41"/>
        <v>33.782856031553166</v>
      </c>
      <c r="AD46" s="156">
        <f>Poor!AD46</f>
        <v>0.25</v>
      </c>
      <c r="AE46" s="147">
        <f t="shared" si="42"/>
        <v>33.782856031553166</v>
      </c>
      <c r="AF46" s="122">
        <f t="shared" si="29"/>
        <v>0.25</v>
      </c>
      <c r="AG46" s="147">
        <f t="shared" si="36"/>
        <v>33.782856031553166</v>
      </c>
      <c r="AH46" s="123">
        <f t="shared" si="37"/>
        <v>1</v>
      </c>
      <c r="AI46" s="112">
        <f t="shared" si="37"/>
        <v>135.13142412621266</v>
      </c>
      <c r="AJ46" s="148">
        <f t="shared" si="38"/>
        <v>67.565712063106332</v>
      </c>
      <c r="AK46" s="147">
        <f t="shared" si="39"/>
        <v>67.565712063106332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17.768539304228206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1.9318884556807008E-4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4.4421348260570515</v>
      </c>
      <c r="AB48" s="156">
        <f>Poor!AB48</f>
        <v>0.25</v>
      </c>
      <c r="AC48" s="147">
        <f t="shared" si="41"/>
        <v>4.4421348260570515</v>
      </c>
      <c r="AD48" s="156">
        <f>Poor!AD48</f>
        <v>0.25</v>
      </c>
      <c r="AE48" s="147">
        <f t="shared" si="42"/>
        <v>4.4421348260570515</v>
      </c>
      <c r="AF48" s="122">
        <f t="shared" si="29"/>
        <v>0.25</v>
      </c>
      <c r="AG48" s="147">
        <f t="shared" si="36"/>
        <v>4.4421348260570515</v>
      </c>
      <c r="AH48" s="123">
        <f t="shared" si="37"/>
        <v>1</v>
      </c>
      <c r="AI48" s="112">
        <f t="shared" si="37"/>
        <v>17.768539304228206</v>
      </c>
      <c r="AJ48" s="148">
        <f t="shared" si="38"/>
        <v>8.8842696521141029</v>
      </c>
      <c r="AK48" s="147">
        <f t="shared" si="39"/>
        <v>8.8842696521141029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202.16303822176366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2.1980222066595233E-3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50.540759555440914</v>
      </c>
      <c r="AB49" s="156">
        <f>Poor!AB49</f>
        <v>0.25</v>
      </c>
      <c r="AC49" s="147">
        <f t="shared" si="41"/>
        <v>50.540759555440914</v>
      </c>
      <c r="AD49" s="156">
        <f>Poor!AD49</f>
        <v>0.25</v>
      </c>
      <c r="AE49" s="147">
        <f t="shared" si="42"/>
        <v>50.540759555440914</v>
      </c>
      <c r="AF49" s="122">
        <f t="shared" si="29"/>
        <v>0.25</v>
      </c>
      <c r="AG49" s="147">
        <f t="shared" si="36"/>
        <v>50.540759555440914</v>
      </c>
      <c r="AH49" s="123">
        <f t="shared" si="37"/>
        <v>1</v>
      </c>
      <c r="AI49" s="112">
        <f t="shared" si="37"/>
        <v>202.16303822176366</v>
      </c>
      <c r="AJ49" s="148">
        <f t="shared" si="38"/>
        <v>101.08151911088183</v>
      </c>
      <c r="AK49" s="147">
        <f t="shared" si="39"/>
        <v>101.08151911088183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47.7470200009774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5.1913055515539119E-4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11.93675500024435</v>
      </c>
      <c r="AB50" s="156">
        <f>Poor!AB55</f>
        <v>0.25</v>
      </c>
      <c r="AC50" s="147">
        <f t="shared" si="41"/>
        <v>11.93675500024435</v>
      </c>
      <c r="AD50" s="156">
        <f>Poor!AD55</f>
        <v>0.25</v>
      </c>
      <c r="AE50" s="147">
        <f t="shared" si="42"/>
        <v>11.93675500024435</v>
      </c>
      <c r="AF50" s="122">
        <f t="shared" si="29"/>
        <v>0.25</v>
      </c>
      <c r="AG50" s="147">
        <f t="shared" si="36"/>
        <v>11.93675500024435</v>
      </c>
      <c r="AH50" s="123">
        <f t="shared" si="37"/>
        <v>1</v>
      </c>
      <c r="AI50" s="112">
        <f t="shared" si="37"/>
        <v>47.7470200009774</v>
      </c>
      <c r="AJ50" s="148">
        <f t="shared" si="38"/>
        <v>23.8735100004887</v>
      </c>
      <c r="AK50" s="147">
        <f t="shared" si="39"/>
        <v>23.8735100004887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38.759428360664636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4.2141276171718268E-4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9.6898570901661589</v>
      </c>
      <c r="AB51" s="156">
        <f>Poor!AB56</f>
        <v>0.25</v>
      </c>
      <c r="AC51" s="147">
        <f t="shared" si="41"/>
        <v>9.6898570901661589</v>
      </c>
      <c r="AD51" s="156">
        <f>Poor!AD56</f>
        <v>0.25</v>
      </c>
      <c r="AE51" s="147">
        <f t="shared" si="42"/>
        <v>9.6898570901661589</v>
      </c>
      <c r="AF51" s="122">
        <f t="shared" si="29"/>
        <v>0.25</v>
      </c>
      <c r="AG51" s="147">
        <f t="shared" si="36"/>
        <v>9.6898570901661589</v>
      </c>
      <c r="AH51" s="123">
        <f t="shared" si="37"/>
        <v>1</v>
      </c>
      <c r="AI51" s="112">
        <f t="shared" si="37"/>
        <v>38.759428360664636</v>
      </c>
      <c r="AJ51" s="148">
        <f t="shared" si="38"/>
        <v>19.379714180332318</v>
      </c>
      <c r="AK51" s="147">
        <f t="shared" si="39"/>
        <v>19.379714180332318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35.675534925499548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3.8788306057552929E-4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8.918883731374887</v>
      </c>
      <c r="AB52" s="156">
        <f>Poor!AB57</f>
        <v>0.25</v>
      </c>
      <c r="AC52" s="147">
        <f t="shared" si="41"/>
        <v>8.918883731374887</v>
      </c>
      <c r="AD52" s="156">
        <f>Poor!AD57</f>
        <v>0.25</v>
      </c>
      <c r="AE52" s="147">
        <f t="shared" si="42"/>
        <v>8.918883731374887</v>
      </c>
      <c r="AF52" s="122">
        <f t="shared" si="29"/>
        <v>0.25</v>
      </c>
      <c r="AG52" s="147">
        <f t="shared" si="36"/>
        <v>8.918883731374887</v>
      </c>
      <c r="AH52" s="123">
        <f t="shared" si="37"/>
        <v>1</v>
      </c>
      <c r="AI52" s="112">
        <f t="shared" si="37"/>
        <v>35.675534925499548</v>
      </c>
      <c r="AJ52" s="148">
        <f t="shared" si="38"/>
        <v>17.837767462749774</v>
      </c>
      <c r="AK52" s="147">
        <f t="shared" si="39"/>
        <v>17.837767462749774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51.167562192296543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5.5632047751443252E-4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22028.914285714283</v>
      </c>
      <c r="J58" s="38">
        <f t="shared" si="32"/>
        <v>22028.914285714283</v>
      </c>
      <c r="K58" s="40">
        <f t="shared" si="33"/>
        <v>0.33829077533613516</v>
      </c>
      <c r="L58" s="22">
        <f t="shared" si="34"/>
        <v>0.23950986893798368</v>
      </c>
      <c r="M58" s="24">
        <f t="shared" si="35"/>
        <v>0.23950986893798371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5507.2285714285708</v>
      </c>
      <c r="AB58" s="156">
        <f>Poor!AB58</f>
        <v>0.25</v>
      </c>
      <c r="AC58" s="147">
        <f t="shared" si="41"/>
        <v>5507.2285714285708</v>
      </c>
      <c r="AD58" s="156">
        <f>Poor!AD58</f>
        <v>0.25</v>
      </c>
      <c r="AE58" s="147">
        <f t="shared" si="42"/>
        <v>5507.2285714285708</v>
      </c>
      <c r="AF58" s="122">
        <f t="shared" si="29"/>
        <v>0.25</v>
      </c>
      <c r="AG58" s="147">
        <f t="shared" si="36"/>
        <v>5507.2285714285708</v>
      </c>
      <c r="AH58" s="123">
        <f t="shared" si="37"/>
        <v>1</v>
      </c>
      <c r="AI58" s="112">
        <f t="shared" si="37"/>
        <v>22028.914285714283</v>
      </c>
      <c r="AJ58" s="148">
        <f t="shared" si="38"/>
        <v>11014.457142857142</v>
      </c>
      <c r="AK58" s="147">
        <f t="shared" si="39"/>
        <v>11014.457142857142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6732.5467500272844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7.319976685204109E-2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1683.1366875068211</v>
      </c>
      <c r="AB59" s="156">
        <f>Poor!AB59</f>
        <v>0.25</v>
      </c>
      <c r="AC59" s="147">
        <f t="shared" si="41"/>
        <v>1683.1366875068211</v>
      </c>
      <c r="AD59" s="156">
        <f>Poor!AD59</f>
        <v>0.25</v>
      </c>
      <c r="AE59" s="147">
        <f t="shared" si="42"/>
        <v>1683.1366875068211</v>
      </c>
      <c r="AF59" s="122">
        <f t="shared" si="29"/>
        <v>0.25</v>
      </c>
      <c r="AG59" s="147">
        <f t="shared" si="36"/>
        <v>1683.1366875068211</v>
      </c>
      <c r="AH59" s="123">
        <f t="shared" ref="AH59:AI64" si="43">SUM(Z59,AB59,AD59,AF59)</f>
        <v>1</v>
      </c>
      <c r="AI59" s="112">
        <f t="shared" si="43"/>
        <v>6732.5467500272844</v>
      </c>
      <c r="AJ59" s="148">
        <f t="shared" si="38"/>
        <v>3366.2733750136422</v>
      </c>
      <c r="AK59" s="147">
        <f t="shared" si="39"/>
        <v>3366.2733750136422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73462.062312314083</v>
      </c>
      <c r="J65" s="39">
        <f>SUM(J37:J64)</f>
        <v>74134.794232182554</v>
      </c>
      <c r="K65" s="40">
        <f>SUM(K37:K64)</f>
        <v>1</v>
      </c>
      <c r="L65" s="22">
        <f>SUM(L37:L64)</f>
        <v>0.81015376246470849</v>
      </c>
      <c r="M65" s="24">
        <f>SUM(M37:M64)</f>
        <v>0.80603222746248471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22189.811210402109</v>
      </c>
      <c r="AB65" s="137"/>
      <c r="AC65" s="153">
        <f>SUM(AC37:AC64)</f>
        <v>16351.212706383407</v>
      </c>
      <c r="AD65" s="137"/>
      <c r="AE65" s="153">
        <f>SUM(AE37:AE64)</f>
        <v>16418.641277811977</v>
      </c>
      <c r="AF65" s="137"/>
      <c r="AG65" s="153">
        <f>SUM(AG37:AG64)</f>
        <v>16596.174332535615</v>
      </c>
      <c r="AH65" s="137"/>
      <c r="AI65" s="153">
        <f>SUM(AI37:AI64)</f>
        <v>71555.839527133125</v>
      </c>
      <c r="AJ65" s="153">
        <f>SUM(AJ37:AJ64)</f>
        <v>38541.023916785525</v>
      </c>
      <c r="AK65" s="153">
        <f>SUM(AK37:AK64)</f>
        <v>33014.815610347592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29556.969636161935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0.32135882104511843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5.2665403425996356E-2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54317.243127036811</v>
      </c>
      <c r="J74" s="51">
        <f t="shared" si="44"/>
        <v>9298.35969645765</v>
      </c>
      <c r="K74" s="40">
        <f>B74/B$76</f>
        <v>7.0351799595530243E-2</v>
      </c>
      <c r="L74" s="22">
        <f t="shared" si="45"/>
        <v>4.9748497212455479E-2</v>
      </c>
      <c r="M74" s="24">
        <f>J74/B$76</f>
        <v>0.10109662615924014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3374.0089939660652</v>
      </c>
      <c r="AB74" s="156"/>
      <c r="AC74" s="147">
        <f>AC30*$I$84/4</f>
        <v>5240.0943381553852</v>
      </c>
      <c r="AD74" s="156"/>
      <c r="AE74" s="147">
        <f>AE30*$I$84/4</f>
        <v>4921.691936836959</v>
      </c>
      <c r="AF74" s="156"/>
      <c r="AG74" s="147">
        <f>AG30*$I$84/4</f>
        <v>4786.1016918069818</v>
      </c>
      <c r="AH74" s="155"/>
      <c r="AI74" s="147">
        <f>SUM(AA74,AC74,AE74,AG74)</f>
        <v>18321.896960765393</v>
      </c>
      <c r="AJ74" s="148">
        <f>(AA74+AC74)</f>
        <v>8614.1033321214509</v>
      </c>
      <c r="AK74" s="147">
        <f>(AE74+AG74)</f>
        <v>9707.7936286439399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23243.750607085578</v>
      </c>
      <c r="AB75" s="158"/>
      <c r="AC75" s="149">
        <f>AA75+AC65-SUM(AC70,AC74)</f>
        <v>29568.664178994288</v>
      </c>
      <c r="AD75" s="158"/>
      <c r="AE75" s="149">
        <f>AC75+AE65-SUM(AE70,AE74)</f>
        <v>36279.408723649991</v>
      </c>
      <c r="AF75" s="158"/>
      <c r="AG75" s="149">
        <f>IF(SUM(AG6:AG29)+((AG65-AG70-$J$75)*4/I$83)&lt;1,0,AG65-AG70-$J$75-(1-SUM(AG6:AG29))*I$83/4)</f>
        <v>9214.1531869688497</v>
      </c>
      <c r="AH75" s="134"/>
      <c r="AI75" s="149">
        <f>AI76-SUM(AI70,AI74)</f>
        <v>34089.123381090467</v>
      </c>
      <c r="AJ75" s="151">
        <f>AJ76-SUM(AJ70,AJ74)</f>
        <v>20354.51099202544</v>
      </c>
      <c r="AK75" s="149">
        <f>AJ75+AK76-SUM(AK70,AK74)</f>
        <v>34089.123381090467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73462.062312314054</v>
      </c>
      <c r="J76" s="51">
        <f t="shared" si="44"/>
        <v>74134.794232182554</v>
      </c>
      <c r="K76" s="40">
        <f>SUM(K70:K75)</f>
        <v>1</v>
      </c>
      <c r="L76" s="22">
        <f>SUM(L70:L75)</f>
        <v>0.81015376246470849</v>
      </c>
      <c r="M76" s="24">
        <f>SUM(M70:M75)</f>
        <v>0.80603222746248471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22189.811210402109</v>
      </c>
      <c r="AB76" s="137"/>
      <c r="AC76" s="153">
        <f>AC65</f>
        <v>16351.212706383407</v>
      </c>
      <c r="AD76" s="137"/>
      <c r="AE76" s="153">
        <f>AE65</f>
        <v>16418.641277811977</v>
      </c>
      <c r="AF76" s="137"/>
      <c r="AG76" s="153">
        <f>AG65</f>
        <v>16596.174332535615</v>
      </c>
      <c r="AH76" s="137"/>
      <c r="AI76" s="153">
        <f>SUM(AA76,AC76,AE76,AG76)</f>
        <v>71555.83952713311</v>
      </c>
      <c r="AJ76" s="154">
        <f>SUM(AA76,AC76)</f>
        <v>38541.023916785518</v>
      </c>
      <c r="AK76" s="154">
        <f>SUM(AE76,AG76)</f>
        <v>33014.815610347592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9214.1531869688497</v>
      </c>
      <c r="AB78" s="112"/>
      <c r="AC78" s="112">
        <f>IF(AA75&lt;0,0,AA75)</f>
        <v>23243.750607085578</v>
      </c>
      <c r="AD78" s="112"/>
      <c r="AE78" s="112">
        <f>AC75</f>
        <v>29568.664178994288</v>
      </c>
      <c r="AF78" s="112"/>
      <c r="AG78" s="112">
        <f>AE75</f>
        <v>36279.408723649991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26617.759601051643</v>
      </c>
      <c r="AB79" s="112"/>
      <c r="AC79" s="112">
        <f>AA79-AA74+AC65-AC70</f>
        <v>34808.758517149676</v>
      </c>
      <c r="AD79" s="112"/>
      <c r="AE79" s="112">
        <f>AC79-AC74+AE65-AE70</f>
        <v>41201.100660486954</v>
      </c>
      <c r="AF79" s="112"/>
      <c r="AG79" s="112">
        <f>AE79-AE74+AG65-AG70</f>
        <v>48089.378259866302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8.8825437352507107E-3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8.8825437352507107E-3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0.25125432187935909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0.25125432187935909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9.5033669927693243E-3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9.5033669927693243E-3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6.3208990865929487E-2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6.3208990865929487E-2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1.8894257331286447E-2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1.8894257331286447E-2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1.0687184774781158E-3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1.0687184774781158E-3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7.541593795169923E-3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7.541593795169923E-3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9.9165021483708709E-4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9.9165021483708709E-4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1.1282583044799024E-2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1.1282583044799024E-2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2.6647290377174063E-3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2.6647290377174063E-3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2.1631375997052038E-3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2.1631375997052038E-3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1.9910275835043549E-3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1.9910275835043549E-3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2.8556271943303018E-3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2.8556271943303018E-3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0.42909090909090908</v>
      </c>
      <c r="I112" s="22">
        <f t="shared" si="58"/>
        <v>1.2294188740015399</v>
      </c>
      <c r="J112" s="24">
        <f t="shared" si="59"/>
        <v>1.2294188740015399</v>
      </c>
      <c r="K112" s="22">
        <f t="shared" si="60"/>
        <v>2.865171104664606</v>
      </c>
      <c r="L112" s="22">
        <f t="shared" si="61"/>
        <v>1.2294188740015399</v>
      </c>
      <c r="M112" s="226">
        <f t="shared" si="62"/>
        <v>1.2294188740015399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0.37573890102922464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0.37573890102922464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4.0998682349227566</v>
      </c>
      <c r="J119" s="24">
        <f>SUM(J91:J118)</f>
        <v>4.1374129504136139</v>
      </c>
      <c r="K119" s="22">
        <f>SUM(K91:K118)</f>
        <v>8.4695513846562669</v>
      </c>
      <c r="L119" s="22">
        <f>SUM(L91:L118)</f>
        <v>4.1585690428287618</v>
      </c>
      <c r="M119" s="57">
        <f t="shared" si="49"/>
        <v>4.1374129504136139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1.6495545743964777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1.6495545743964777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0.27033475182432021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3.0314087665870728</v>
      </c>
      <c r="J128" s="227">
        <f>(J30)</f>
        <v>0.51893519398246635</v>
      </c>
      <c r="K128" s="22">
        <f>(B128)</f>
        <v>0.59584818167738329</v>
      </c>
      <c r="L128" s="22">
        <f>IF(L124=L119,0,(L119-L124)/(B119-B124)*K128)</f>
        <v>0.25536209300019441</v>
      </c>
      <c r="M128" s="57">
        <f t="shared" si="63"/>
        <v>0.51893519398246635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4.0998682349227566</v>
      </c>
      <c r="J130" s="227">
        <f>(J119)</f>
        <v>4.1374129504136139</v>
      </c>
      <c r="K130" s="22">
        <f>(B130)</f>
        <v>8.4695513846562669</v>
      </c>
      <c r="L130" s="22">
        <f>(L119)</f>
        <v>4.1585690428287618</v>
      </c>
      <c r="M130" s="57">
        <f t="shared" si="63"/>
        <v>4.1374129504136139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1.7872484306731402E-2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1.7872484306731402E-2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7.1489937226925607E-2</v>
      </c>
      <c r="Z6" s="156">
        <f>Poor!Z6</f>
        <v>0.17</v>
      </c>
      <c r="AA6" s="121">
        <f>$M6*Z6*4</f>
        <v>1.2153289328577354E-2</v>
      </c>
      <c r="AB6" s="156">
        <f>Poor!AB6</f>
        <v>0.17</v>
      </c>
      <c r="AC6" s="121">
        <f t="shared" ref="AC6:AC29" si="7">$M6*AB6*4</f>
        <v>1.2153289328577354E-2</v>
      </c>
      <c r="AD6" s="156">
        <f>Poor!AD6</f>
        <v>0.33</v>
      </c>
      <c r="AE6" s="121">
        <f t="shared" ref="AE6:AE29" si="8">$M6*AD6*4</f>
        <v>2.3591679284885453E-2</v>
      </c>
      <c r="AF6" s="122">
        <f>1-SUM(Z6,AB6,AD6)</f>
        <v>0.32999999999999996</v>
      </c>
      <c r="AG6" s="121">
        <f>$M6*AF6*4</f>
        <v>2.3591679284885446E-2</v>
      </c>
      <c r="AH6" s="123">
        <f>SUM(Z6,AB6,AD6,AF6)</f>
        <v>1</v>
      </c>
      <c r="AI6" s="183">
        <f>SUM(AA6,AC6,AE6,AG6)/4</f>
        <v>1.7872484306731402E-2</v>
      </c>
      <c r="AJ6" s="120">
        <f>(AA6+AC6)/2</f>
        <v>1.2153289328577354E-2</v>
      </c>
      <c r="AK6" s="119">
        <f>(AE6+AG6)/2</f>
        <v>2.3591679284885449E-2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2334.9087261972327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6346.7709518225447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1.0395730454503095E-2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1.0395730454503095E-2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787.13312800331664</v>
      </c>
      <c r="U9" s="222">
        <v>3</v>
      </c>
      <c r="V9" s="56"/>
      <c r="W9" s="115"/>
      <c r="X9" s="118">
        <f>Poor!X9</f>
        <v>1</v>
      </c>
      <c r="Y9" s="183">
        <f t="shared" si="9"/>
        <v>4.1582921818012382E-2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4.1582921818012382E-2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1.0395730454503095E-2</v>
      </c>
      <c r="AJ9" s="120">
        <f t="shared" si="14"/>
        <v>2.0791460909006191E-2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5.1657488244150312E-2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5.1657488244150312E-2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392.5129589936426</v>
      </c>
      <c r="U10" s="222">
        <v>4</v>
      </c>
      <c r="V10" s="56"/>
      <c r="W10" s="115"/>
      <c r="X10" s="118">
        <f>Poor!X10</f>
        <v>1</v>
      </c>
      <c r="Y10" s="183">
        <f t="shared" si="9"/>
        <v>0.20662995297660125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0.20662995297660125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5.1657488244150312E-2</v>
      </c>
      <c r="AJ10" s="120">
        <f t="shared" si="14"/>
        <v>0.10331497648830062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15361.939891610817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1.2453714671326013E-2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1.2453714671326013E-2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34.59345705160441</v>
      </c>
      <c r="U12" s="222">
        <v>6</v>
      </c>
      <c r="V12" s="56"/>
      <c r="W12" s="117"/>
      <c r="X12" s="118"/>
      <c r="Y12" s="183">
        <f t="shared" si="9"/>
        <v>4.9814858685304053E-2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3.3375955319153716E-2</v>
      </c>
      <c r="AF12" s="122">
        <f>1-SUM(Z12,AB12,AD12)</f>
        <v>0.32999999999999996</v>
      </c>
      <c r="AG12" s="121">
        <f>$M12*AF12*4</f>
        <v>1.6438903366150337E-2</v>
      </c>
      <c r="AH12" s="123">
        <f t="shared" si="12"/>
        <v>1</v>
      </c>
      <c r="AI12" s="183">
        <f t="shared" si="13"/>
        <v>1.2453714671326013E-2</v>
      </c>
      <c r="AJ12" s="120">
        <f t="shared" si="14"/>
        <v>0</v>
      </c>
      <c r="AK12" s="119">
        <f t="shared" si="15"/>
        <v>2.4907429342652027E-2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8.3977465991610586E-3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8.3977465991610586E-3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91377.658775510194</v>
      </c>
      <c r="T14" s="221">
        <f>IF($B$81=0,0,(SUMIF($N$6:$N$28,$U14,M$6:M$28)+SUMIF($N$91:$N$118,$U14,M$91:M$118))*$I$83*Poor!$B$81/$B$81)</f>
        <v>91377.658775510194</v>
      </c>
      <c r="U14" s="222">
        <v>8</v>
      </c>
      <c r="V14" s="56"/>
      <c r="W14" s="110"/>
      <c r="X14" s="118"/>
      <c r="Y14" s="183">
        <f>M14*4</f>
        <v>3.3590986396644235E-2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3.3590986396644235E-2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8.3977465991610586E-3</v>
      </c>
      <c r="AJ14" s="120">
        <f t="shared" si="14"/>
        <v>1.6795493198322117E-2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4.0592607310592074E-3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4.0592607310592074E-3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1.623704292423683E-2</v>
      </c>
      <c r="Z15" s="156">
        <f>Poor!Z15</f>
        <v>0.25</v>
      </c>
      <c r="AA15" s="121">
        <f t="shared" si="16"/>
        <v>4.0592607310592074E-3</v>
      </c>
      <c r="AB15" s="156">
        <f>Poor!AB15</f>
        <v>0.25</v>
      </c>
      <c r="AC15" s="121">
        <f t="shared" si="7"/>
        <v>4.0592607310592074E-3</v>
      </c>
      <c r="AD15" s="156">
        <f>Poor!AD15</f>
        <v>0.25</v>
      </c>
      <c r="AE15" s="121">
        <f t="shared" si="8"/>
        <v>4.0592607310592074E-3</v>
      </c>
      <c r="AF15" s="122">
        <f t="shared" si="10"/>
        <v>0.25</v>
      </c>
      <c r="AG15" s="121">
        <f t="shared" si="11"/>
        <v>4.0592607310592074E-3</v>
      </c>
      <c r="AH15" s="123">
        <f t="shared" si="12"/>
        <v>1</v>
      </c>
      <c r="AI15" s="183">
        <f t="shared" si="13"/>
        <v>4.0592607310592074E-3</v>
      </c>
      <c r="AJ15" s="120">
        <f t="shared" si="14"/>
        <v>4.0592607310592074E-3</v>
      </c>
      <c r="AK15" s="119">
        <f t="shared" si="15"/>
        <v>4.0592607310592074E-3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1.9493322903233171E-3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1.9493322903233171E-3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790.04953277588334</v>
      </c>
      <c r="U16" s="222">
        <v>10</v>
      </c>
      <c r="V16" s="56"/>
      <c r="W16" s="110"/>
      <c r="X16" s="118"/>
      <c r="Y16" s="183">
        <f t="shared" si="9"/>
        <v>7.7973291612932682E-3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7.7973291612932682E-3</v>
      </c>
      <c r="AH16" s="123">
        <f t="shared" si="12"/>
        <v>1</v>
      </c>
      <c r="AI16" s="183">
        <f t="shared" si="13"/>
        <v>1.9493322903233171E-3</v>
      </c>
      <c r="AJ16" s="120">
        <f t="shared" si="14"/>
        <v>0</v>
      </c>
      <c r="AK16" s="119">
        <f t="shared" si="15"/>
        <v>3.8986645806466341E-3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1.3264981294406845E-3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1.3264981294406845E-3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5.3059925177627379E-3</v>
      </c>
      <c r="Z17" s="156">
        <f>Poor!Z17</f>
        <v>0.29409999999999997</v>
      </c>
      <c r="AA17" s="121">
        <f t="shared" si="16"/>
        <v>1.560492399474021E-3</v>
      </c>
      <c r="AB17" s="156">
        <f>Poor!AB17</f>
        <v>0.17649999999999999</v>
      </c>
      <c r="AC17" s="121">
        <f t="shared" si="7"/>
        <v>9.3650767938512319E-4</v>
      </c>
      <c r="AD17" s="156">
        <f>Poor!AD17</f>
        <v>0.23530000000000001</v>
      </c>
      <c r="AE17" s="121">
        <f t="shared" si="8"/>
        <v>1.2485000394295723E-3</v>
      </c>
      <c r="AF17" s="122">
        <f t="shared" si="10"/>
        <v>0.29410000000000003</v>
      </c>
      <c r="AG17" s="121">
        <f t="shared" si="11"/>
        <v>1.5604923994740213E-3</v>
      </c>
      <c r="AH17" s="123">
        <f t="shared" si="12"/>
        <v>1</v>
      </c>
      <c r="AI17" s="183">
        <f t="shared" si="13"/>
        <v>1.3264981294406845E-3</v>
      </c>
      <c r="AJ17" s="120">
        <f t="shared" si="14"/>
        <v>1.2485000394295721E-3</v>
      </c>
      <c r="AK17" s="119">
        <f t="shared" si="15"/>
        <v>1.4044962194517969E-3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1.9302783027123174E-3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1.9302783027123174E-3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8.8828955291447281E-3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8.8828955291447281E-3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4.6140098191795641E-3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4.6140098191795641E-3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6.2341011297886207E-4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6.2341011297886207E-4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1.6893078526939291E-3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1.6893078526939291E-3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179429.18686318447</v>
      </c>
      <c r="T23" s="179">
        <f>SUM(T7:T22)</f>
        <v>179459.10730851797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2.9945605876419729E-2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2.9945605876419729E-2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0.11978242350567891</v>
      </c>
      <c r="Z27" s="156">
        <f>Poor!Z27</f>
        <v>0.25</v>
      </c>
      <c r="AA27" s="121">
        <f t="shared" si="16"/>
        <v>2.9945605876419729E-2</v>
      </c>
      <c r="AB27" s="156">
        <f>Poor!AB27</f>
        <v>0.25</v>
      </c>
      <c r="AC27" s="121">
        <f t="shared" si="7"/>
        <v>2.9945605876419729E-2</v>
      </c>
      <c r="AD27" s="156">
        <f>Poor!AD27</f>
        <v>0.25</v>
      </c>
      <c r="AE27" s="121">
        <f t="shared" si="8"/>
        <v>2.9945605876419729E-2</v>
      </c>
      <c r="AF27" s="122">
        <f t="shared" si="10"/>
        <v>0.25</v>
      </c>
      <c r="AG27" s="121">
        <f t="shared" si="11"/>
        <v>2.9945605876419729E-2</v>
      </c>
      <c r="AH27" s="123">
        <f t="shared" si="12"/>
        <v>1</v>
      </c>
      <c r="AI27" s="183">
        <f t="shared" si="13"/>
        <v>2.9945605876419729E-2</v>
      </c>
      <c r="AJ27" s="120">
        <f t="shared" si="14"/>
        <v>2.9945605876419729E-2</v>
      </c>
      <c r="AK27" s="119">
        <f t="shared" si="15"/>
        <v>2.9945605876419729E-2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2.4219321545327535E-2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2.4219321545327535E-2</v>
      </c>
      <c r="N28" s="228"/>
      <c r="O28" s="2"/>
      <c r="P28" s="22"/>
      <c r="V28" s="56"/>
      <c r="W28" s="110"/>
      <c r="X28" s="118"/>
      <c r="Y28" s="183">
        <f t="shared" si="9"/>
        <v>9.687728618131014E-2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4.843864309065507E-2</v>
      </c>
      <c r="AF28" s="122">
        <f t="shared" si="10"/>
        <v>0.5</v>
      </c>
      <c r="AG28" s="121">
        <f t="shared" si="11"/>
        <v>4.843864309065507E-2</v>
      </c>
      <c r="AH28" s="123">
        <f t="shared" si="12"/>
        <v>1</v>
      </c>
      <c r="AI28" s="183">
        <f t="shared" si="13"/>
        <v>2.4219321545327535E-2</v>
      </c>
      <c r="AJ28" s="120">
        <f t="shared" si="14"/>
        <v>0</v>
      </c>
      <c r="AK28" s="119">
        <f t="shared" si="15"/>
        <v>4.843864309065507E-2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0.27309333018416876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0.27309333018416876</v>
      </c>
      <c r="N29" s="228"/>
      <c r="P29" s="22"/>
      <c r="V29" s="56"/>
      <c r="W29" s="110"/>
      <c r="X29" s="118"/>
      <c r="Y29" s="183">
        <f t="shared" si="9"/>
        <v>1.092373320736675</v>
      </c>
      <c r="Z29" s="156">
        <f>Poor!Z29</f>
        <v>0.25</v>
      </c>
      <c r="AA29" s="121">
        <f t="shared" si="16"/>
        <v>0.27309333018416876</v>
      </c>
      <c r="AB29" s="156">
        <f>Poor!AB29</f>
        <v>0.25</v>
      </c>
      <c r="AC29" s="121">
        <f t="shared" si="7"/>
        <v>0.27309333018416876</v>
      </c>
      <c r="AD29" s="156">
        <f>Poor!AD29</f>
        <v>0.25</v>
      </c>
      <c r="AE29" s="121">
        <f t="shared" si="8"/>
        <v>0.27309333018416876</v>
      </c>
      <c r="AF29" s="122">
        <f t="shared" si="10"/>
        <v>0.25</v>
      </c>
      <c r="AG29" s="121">
        <f t="shared" si="11"/>
        <v>0.27309333018416876</v>
      </c>
      <c r="AH29" s="123">
        <f t="shared" si="12"/>
        <v>1</v>
      </c>
      <c r="AI29" s="183">
        <f t="shared" si="13"/>
        <v>0.27309333018416876</v>
      </c>
      <c r="AJ29" s="120">
        <f t="shared" si="14"/>
        <v>0.27309333018416876</v>
      </c>
      <c r="AK29" s="119">
        <f t="shared" si="15"/>
        <v>0.27309333018416876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7.3369381958039099</v>
      </c>
      <c r="J30" s="230">
        <f>IF(I$32&lt;=1,I30,1-SUM(J6:J29))</f>
        <v>0.45728767688283545</v>
      </c>
      <c r="K30" s="22">
        <f t="shared" si="4"/>
        <v>0.57492883275217932</v>
      </c>
      <c r="L30" s="22">
        <f>IF(L124=L119,0,IF(K30="",0,(L119-L124)/(B119-B124)*K30))</f>
        <v>0.24081457564162678</v>
      </c>
      <c r="M30" s="175">
        <f t="shared" si="6"/>
        <v>0.45728767688283545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1.8291507075313418</v>
      </c>
      <c r="Z30" s="122">
        <f>IF($Y30=0,0,AA30/($Y$30))</f>
        <v>0.15119908500052154</v>
      </c>
      <c r="AA30" s="187">
        <f>IF(AA79*4/$I$83+SUM(AA6:AA29)&lt;1,AA79*4/$I$83,1-SUM(AA6:AA29))</f>
        <v>0.27656591330679547</v>
      </c>
      <c r="AB30" s="122">
        <f>IF($Y30=0,0,AC30/($Y$30))</f>
        <v>0.32395094977969413</v>
      </c>
      <c r="AC30" s="187">
        <f>IF(AC79*4/$I$83+SUM(AC6:AC29)&lt;1,AC79*4/$I$83,1-SUM(AC6:AC29))</f>
        <v>0.59255510899497765</v>
      </c>
      <c r="AD30" s="122">
        <f>IF($Y30=0,0,AE30/($Y$30))</f>
        <v>0.29116305861108766</v>
      </c>
      <c r="AE30" s="187">
        <f>IF(AE79*4/$I$83+SUM(AE6:AE29)&lt;1,AE79*4/$I$83,1-SUM(AE6:AE29))</f>
        <v>0.53258111466546054</v>
      </c>
      <c r="AF30" s="122">
        <f>IF($Y30=0,0,AG30/($Y$30))</f>
        <v>0.28918714790248196</v>
      </c>
      <c r="AG30" s="187">
        <f>IF(AG79*4/$I$83+SUM(AG6:AG29)&lt;1,AG79*4/$I$83,1-SUM(AG6:AG29))</f>
        <v>0.52896687619479565</v>
      </c>
      <c r="AH30" s="123">
        <f t="shared" si="12"/>
        <v>1.0555002412937853</v>
      </c>
      <c r="AI30" s="183">
        <f t="shared" si="13"/>
        <v>0.48266725329050736</v>
      </c>
      <c r="AJ30" s="120">
        <f t="shared" si="14"/>
        <v>0.43456051115088656</v>
      </c>
      <c r="AK30" s="119">
        <f t="shared" si="15"/>
        <v>0.53077399543012804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0.21963594267945574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7.9542358042548855</v>
      </c>
      <c r="J32" s="17"/>
      <c r="L32" s="22">
        <f>SUM(L6:L30)</f>
        <v>0.78036405732054426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3.8984816943693126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4.0680612762797982E-2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341.25741054800869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1.6426252601582385E-3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341.25741054800869</v>
      </c>
      <c r="AH37" s="123">
        <f>SUM(Z37,AB37,AD37,AF37)</f>
        <v>1</v>
      </c>
      <c r="AI37" s="112">
        <f>SUM(AA37,AC37,AE37,AG37)</f>
        <v>341.25741054800869</v>
      </c>
      <c r="AJ37" s="148">
        <f>(AA37+AC37)</f>
        <v>0</v>
      </c>
      <c r="AK37" s="147">
        <f>(AE37+AG37)</f>
        <v>341.25741054800869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10411.358648618267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5.0114547494585091E-2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10411.358648618267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10411.358648618267</v>
      </c>
      <c r="AJ39" s="148">
        <f t="shared" si="36"/>
        <v>10411.358648618267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972.78621620608783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4.6824571777294042E-3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972.78621620608783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972.78621620608783</v>
      </c>
      <c r="AJ40" s="148">
        <f t="shared" si="36"/>
        <v>972.78621620608783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1664.2753974779685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8.0109053261793132E-3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1664.2753974779685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1664.2753974779685</v>
      </c>
      <c r="AJ41" s="148">
        <f t="shared" si="36"/>
        <v>1664.2753974779685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2513.3064728319368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1.2097673401914744E-2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628.32661820798421</v>
      </c>
      <c r="AB44" s="156">
        <f>Poor!AB44</f>
        <v>0.25</v>
      </c>
      <c r="AC44" s="147">
        <f t="shared" si="39"/>
        <v>628.32661820798421</v>
      </c>
      <c r="AD44" s="156">
        <f>Poor!AD44</f>
        <v>0.25</v>
      </c>
      <c r="AE44" s="147">
        <f t="shared" si="40"/>
        <v>628.32661820798421</v>
      </c>
      <c r="AF44" s="122">
        <f t="shared" si="31"/>
        <v>0.25</v>
      </c>
      <c r="AG44" s="147">
        <f t="shared" si="34"/>
        <v>628.32661820798421</v>
      </c>
      <c r="AH44" s="123">
        <f t="shared" si="35"/>
        <v>1</v>
      </c>
      <c r="AI44" s="112">
        <f t="shared" si="35"/>
        <v>2513.3064728319368</v>
      </c>
      <c r="AJ44" s="148">
        <f t="shared" si="36"/>
        <v>1256.6532364159684</v>
      </c>
      <c r="AK44" s="147">
        <f t="shared" si="37"/>
        <v>1256.6532364159684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5.6983571601889791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2.7428753554974197E-5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1.4245892900472448</v>
      </c>
      <c r="AB45" s="156">
        <f>Poor!AB45</f>
        <v>0.25</v>
      </c>
      <c r="AC45" s="147">
        <f t="shared" si="39"/>
        <v>1.4245892900472448</v>
      </c>
      <c r="AD45" s="156">
        <f>Poor!AD45</f>
        <v>0.25</v>
      </c>
      <c r="AE45" s="147">
        <f t="shared" si="40"/>
        <v>1.4245892900472448</v>
      </c>
      <c r="AF45" s="122">
        <f t="shared" si="31"/>
        <v>0.25</v>
      </c>
      <c r="AG45" s="147">
        <f t="shared" si="34"/>
        <v>1.4245892900472448</v>
      </c>
      <c r="AH45" s="123">
        <f t="shared" si="35"/>
        <v>1</v>
      </c>
      <c r="AI45" s="112">
        <f t="shared" si="35"/>
        <v>5.6983571601889791</v>
      </c>
      <c r="AJ45" s="148">
        <f t="shared" si="36"/>
        <v>2.8491785800944895</v>
      </c>
      <c r="AK45" s="147">
        <f t="shared" si="37"/>
        <v>2.8491785800944895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501.04556982450629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2.4117574711782766E-3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125.26139245612657</v>
      </c>
      <c r="AB46" s="156">
        <f>Poor!AB46</f>
        <v>0.25</v>
      </c>
      <c r="AC46" s="147">
        <f t="shared" si="39"/>
        <v>125.26139245612657</v>
      </c>
      <c r="AD46" s="156">
        <f>Poor!AD46</f>
        <v>0.25</v>
      </c>
      <c r="AE46" s="147">
        <f t="shared" si="40"/>
        <v>125.26139245612657</v>
      </c>
      <c r="AF46" s="122">
        <f t="shared" si="31"/>
        <v>0.25</v>
      </c>
      <c r="AG46" s="147">
        <f t="shared" si="34"/>
        <v>125.26139245612657</v>
      </c>
      <c r="AH46" s="123">
        <f t="shared" si="35"/>
        <v>1</v>
      </c>
      <c r="AI46" s="112">
        <f t="shared" si="35"/>
        <v>501.04556982450629</v>
      </c>
      <c r="AJ46" s="148">
        <f t="shared" si="36"/>
        <v>250.52278491225314</v>
      </c>
      <c r="AK46" s="147">
        <f t="shared" si="37"/>
        <v>250.52278491225314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537.02100530384371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2.5849234076151034E-3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134.25525132596093</v>
      </c>
      <c r="AB47" s="156">
        <f>Poor!AB47</f>
        <v>0.25</v>
      </c>
      <c r="AC47" s="147">
        <f t="shared" si="39"/>
        <v>134.25525132596093</v>
      </c>
      <c r="AD47" s="156">
        <f>Poor!AD47</f>
        <v>0.25</v>
      </c>
      <c r="AE47" s="147">
        <f t="shared" si="40"/>
        <v>134.25525132596093</v>
      </c>
      <c r="AF47" s="122">
        <f t="shared" si="31"/>
        <v>0.25</v>
      </c>
      <c r="AG47" s="147">
        <f t="shared" si="34"/>
        <v>134.25525132596093</v>
      </c>
      <c r="AH47" s="123">
        <f t="shared" si="35"/>
        <v>1</v>
      </c>
      <c r="AI47" s="112">
        <f t="shared" si="35"/>
        <v>537.02100530384371</v>
      </c>
      <c r="AJ47" s="148">
        <f t="shared" si="36"/>
        <v>268.51050265192185</v>
      </c>
      <c r="AK47" s="147">
        <f t="shared" si="37"/>
        <v>268.51050265192185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534.19057588459361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2.5712992789736506E-3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133.5476439711484</v>
      </c>
      <c r="AB48" s="156">
        <f>Poor!AB48</f>
        <v>0.25</v>
      </c>
      <c r="AC48" s="147">
        <f t="shared" si="39"/>
        <v>133.5476439711484</v>
      </c>
      <c r="AD48" s="156">
        <f>Poor!AD48</f>
        <v>0.25</v>
      </c>
      <c r="AE48" s="147">
        <f t="shared" si="40"/>
        <v>133.5476439711484</v>
      </c>
      <c r="AF48" s="122">
        <f t="shared" si="31"/>
        <v>0.25</v>
      </c>
      <c r="AG48" s="147">
        <f t="shared" si="34"/>
        <v>133.5476439711484</v>
      </c>
      <c r="AH48" s="123">
        <f t="shared" si="35"/>
        <v>1</v>
      </c>
      <c r="AI48" s="112">
        <f t="shared" si="35"/>
        <v>534.19057588459361</v>
      </c>
      <c r="AJ48" s="148">
        <f t="shared" si="36"/>
        <v>267.09528794229681</v>
      </c>
      <c r="AK48" s="147">
        <f t="shared" si="37"/>
        <v>267.09528794229681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617.22609374841568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2.9709865382610097E-3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154.30652343710392</v>
      </c>
      <c r="AB49" s="156">
        <f>Poor!AB49</f>
        <v>0.25</v>
      </c>
      <c r="AC49" s="147">
        <f t="shared" si="39"/>
        <v>154.30652343710392</v>
      </c>
      <c r="AD49" s="156">
        <f>Poor!AD49</f>
        <v>0.25</v>
      </c>
      <c r="AE49" s="147">
        <f t="shared" si="40"/>
        <v>154.30652343710392</v>
      </c>
      <c r="AF49" s="122">
        <f t="shared" si="31"/>
        <v>0.25</v>
      </c>
      <c r="AG49" s="147">
        <f t="shared" si="34"/>
        <v>154.30652343710392</v>
      </c>
      <c r="AH49" s="123">
        <f t="shared" si="35"/>
        <v>1</v>
      </c>
      <c r="AI49" s="112">
        <f t="shared" si="35"/>
        <v>617.22609374841568</v>
      </c>
      <c r="AJ49" s="148">
        <f t="shared" si="36"/>
        <v>308.61304687420784</v>
      </c>
      <c r="AK49" s="147">
        <f t="shared" si="37"/>
        <v>308.61304687420784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620.91049511370966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2.988721217608997E-3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155.22762377842741</v>
      </c>
      <c r="AB50" s="156">
        <f>Poor!AB55</f>
        <v>0.25</v>
      </c>
      <c r="AC50" s="147">
        <f t="shared" si="39"/>
        <v>155.22762377842741</v>
      </c>
      <c r="AD50" s="156">
        <f>Poor!AD55</f>
        <v>0.25</v>
      </c>
      <c r="AE50" s="147">
        <f t="shared" si="40"/>
        <v>155.22762377842741</v>
      </c>
      <c r="AF50" s="122">
        <f t="shared" si="31"/>
        <v>0.25</v>
      </c>
      <c r="AG50" s="147">
        <f t="shared" si="34"/>
        <v>155.22762377842741</v>
      </c>
      <c r="AH50" s="123">
        <f t="shared" si="35"/>
        <v>1</v>
      </c>
      <c r="AI50" s="112">
        <f t="shared" si="35"/>
        <v>620.91049511370966</v>
      </c>
      <c r="AJ50" s="148">
        <f t="shared" si="36"/>
        <v>310.45524755685483</v>
      </c>
      <c r="AK50" s="147">
        <f t="shared" si="37"/>
        <v>310.45524755685483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127.58947850254783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6.1414549205581945E-4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31.897369625636959</v>
      </c>
      <c r="AB51" s="156">
        <f>Poor!AB56</f>
        <v>0.25</v>
      </c>
      <c r="AC51" s="147">
        <f t="shared" si="39"/>
        <v>31.897369625636959</v>
      </c>
      <c r="AD51" s="156">
        <f>Poor!AD56</f>
        <v>0.25</v>
      </c>
      <c r="AE51" s="147">
        <f t="shared" si="40"/>
        <v>31.897369625636959</v>
      </c>
      <c r="AF51" s="122">
        <f t="shared" si="31"/>
        <v>0.25</v>
      </c>
      <c r="AG51" s="147">
        <f t="shared" si="34"/>
        <v>31.897369625636959</v>
      </c>
      <c r="AH51" s="123">
        <f t="shared" si="35"/>
        <v>1</v>
      </c>
      <c r="AI51" s="112">
        <f t="shared" si="35"/>
        <v>127.58947850254783</v>
      </c>
      <c r="AJ51" s="148">
        <f t="shared" si="36"/>
        <v>63.794739251273917</v>
      </c>
      <c r="AK51" s="147">
        <f t="shared" si="37"/>
        <v>63.794739251273917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41.179737770121129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1.982165819029947E-4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10.294934442530282</v>
      </c>
      <c r="AB52" s="156">
        <f>Poor!AB57</f>
        <v>0.25</v>
      </c>
      <c r="AC52" s="147">
        <f t="shared" si="39"/>
        <v>10.294934442530282</v>
      </c>
      <c r="AD52" s="156">
        <f>Poor!AD57</f>
        <v>0.25</v>
      </c>
      <c r="AE52" s="147">
        <f t="shared" si="40"/>
        <v>10.294934442530282</v>
      </c>
      <c r="AF52" s="122">
        <f t="shared" si="31"/>
        <v>0.25</v>
      </c>
      <c r="AG52" s="147">
        <f t="shared" si="34"/>
        <v>10.294934442530282</v>
      </c>
      <c r="AH52" s="123">
        <f t="shared" si="35"/>
        <v>1</v>
      </c>
      <c r="AI52" s="112">
        <f t="shared" si="35"/>
        <v>41.179737770121129</v>
      </c>
      <c r="AJ52" s="148">
        <f t="shared" si="36"/>
        <v>20.589868885060564</v>
      </c>
      <c r="AK52" s="147">
        <f t="shared" si="37"/>
        <v>20.589868885060564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55.256796704862836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2.6597579204823467E-4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79955.451428571425</v>
      </c>
      <c r="J58" s="38">
        <f t="shared" si="33"/>
        <v>79955.451428571425</v>
      </c>
      <c r="K58" s="40">
        <f t="shared" si="43"/>
        <v>0.54358971117811761</v>
      </c>
      <c r="L58" s="22">
        <f t="shared" si="44"/>
        <v>0.38486151551410724</v>
      </c>
      <c r="M58" s="24">
        <f t="shared" si="45"/>
        <v>0.3848615155141073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19988.862857142856</v>
      </c>
      <c r="AB58" s="156">
        <f>Poor!AB58</f>
        <v>0.25</v>
      </c>
      <c r="AC58" s="147">
        <f t="shared" si="39"/>
        <v>19988.862857142856</v>
      </c>
      <c r="AD58" s="156">
        <f>Poor!AD58</f>
        <v>0.25</v>
      </c>
      <c r="AE58" s="147">
        <f t="shared" si="40"/>
        <v>19988.862857142856</v>
      </c>
      <c r="AF58" s="122">
        <f t="shared" si="31"/>
        <v>0.25</v>
      </c>
      <c r="AG58" s="147">
        <f t="shared" si="34"/>
        <v>19988.862857142856</v>
      </c>
      <c r="AH58" s="123">
        <f t="shared" si="35"/>
        <v>1</v>
      </c>
      <c r="AI58" s="112">
        <f t="shared" si="35"/>
        <v>79955.451428571425</v>
      </c>
      <c r="AJ58" s="148">
        <f t="shared" si="36"/>
        <v>39977.725714285712</v>
      </c>
      <c r="AK58" s="147">
        <f t="shared" si="37"/>
        <v>39977.725714285712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691.29334117889789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3.3275054820821122E-3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172.82333529472447</v>
      </c>
      <c r="AB59" s="156">
        <f>Poor!AB59</f>
        <v>0.25</v>
      </c>
      <c r="AC59" s="147">
        <f t="shared" si="39"/>
        <v>172.82333529472447</v>
      </c>
      <c r="AD59" s="156">
        <f>Poor!AD59</f>
        <v>0.25</v>
      </c>
      <c r="AE59" s="147">
        <f t="shared" si="40"/>
        <v>172.82333529472447</v>
      </c>
      <c r="AF59" s="122">
        <f t="shared" si="31"/>
        <v>0.25</v>
      </c>
      <c r="AG59" s="147">
        <f t="shared" si="34"/>
        <v>172.82333529472447</v>
      </c>
      <c r="AH59" s="123">
        <f t="shared" ref="AH59:AI64" si="46">SUM(Z59,AB59,AD59,AF59)</f>
        <v>1</v>
      </c>
      <c r="AI59" s="112">
        <f t="shared" si="46"/>
        <v>691.29334117889789</v>
      </c>
      <c r="AJ59" s="148">
        <f t="shared" si="36"/>
        <v>345.64667058944895</v>
      </c>
      <c r="AK59" s="147">
        <f t="shared" si="37"/>
        <v>345.64667058944895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150609.19316945691</v>
      </c>
      <c r="J65" s="39">
        <f>SUM(J37:J64)</f>
        <v>153166.18019490229</v>
      </c>
      <c r="K65" s="40">
        <f>SUM(K37:K64)</f>
        <v>1</v>
      </c>
      <c r="L65" s="22">
        <f>SUM(L37:L64)</f>
        <v>0.73777957644615433</v>
      </c>
      <c r="M65" s="24">
        <f>SUM(M37:M64)</f>
        <v>0.73725765013006295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47978.183836496239</v>
      </c>
      <c r="AB65" s="137"/>
      <c r="AC65" s="153">
        <f>SUM(AC37:AC64)</f>
        <v>34917.120717051053</v>
      </c>
      <c r="AD65" s="137"/>
      <c r="AE65" s="153">
        <f>SUM(AE37:AE64)</f>
        <v>34942.406431336771</v>
      </c>
      <c r="AF65" s="137"/>
      <c r="AG65" s="153">
        <f>SUM(AG37:AG64)</f>
        <v>35273.212413313347</v>
      </c>
      <c r="AH65" s="137"/>
      <c r="AI65" s="153">
        <f>SUM(AI37:AI64)</f>
        <v>153110.92339819742</v>
      </c>
      <c r="AJ65" s="153">
        <f>SUM(AJ37:AJ64)</f>
        <v>82895.304553547292</v>
      </c>
      <c r="AK65" s="153">
        <f>SUM(AK37:AK64)</f>
        <v>70215.618844650118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131464.37398417969</v>
      </c>
      <c r="J74" s="51">
        <f>J128*I$83</f>
        <v>8193.750113155309</v>
      </c>
      <c r="K74" s="40">
        <f>B74/B$76</f>
        <v>3.0052442019310059E-2</v>
      </c>
      <c r="L74" s="22">
        <f>(L128*G$37*F$9/F$7)/B$130</f>
        <v>2.0769803736283503E-2</v>
      </c>
      <c r="M74" s="24">
        <f>J74/B$76</f>
        <v>3.944020113637902E-2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1238.8875198320027</v>
      </c>
      <c r="AB74" s="156"/>
      <c r="AC74" s="147">
        <f>AC30*$I$83/4</f>
        <v>2654.3731314141382</v>
      </c>
      <c r="AD74" s="156"/>
      <c r="AE74" s="147">
        <f>AE30*$I$83/4</f>
        <v>2385.7173444412456</v>
      </c>
      <c r="AF74" s="156"/>
      <c r="AG74" s="147">
        <f>AG30*$I$83/4</f>
        <v>2369.5272258490227</v>
      </c>
      <c r="AH74" s="155"/>
      <c r="AI74" s="147">
        <f>SUM(AA74,AC74,AE74,AG74)</f>
        <v>8648.5052215364085</v>
      </c>
      <c r="AJ74" s="148">
        <f>(AA74+AC74)</f>
        <v>3893.2606512461407</v>
      </c>
      <c r="AK74" s="147">
        <f>(AE74+AG74)</f>
        <v>4755.2445702902678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48076.230896469759</v>
      </c>
      <c r="K75" s="40">
        <f>B75/B$76</f>
        <v>0.58696126886457367</v>
      </c>
      <c r="L75" s="22">
        <f>(L129*G$37*F$9/F$7)/B$130</f>
        <v>0.25060482595877587</v>
      </c>
      <c r="M75" s="24">
        <f>J75/B$76</f>
        <v>0.231412502242589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41953.091520344926</v>
      </c>
      <c r="AB75" s="158"/>
      <c r="AC75" s="149">
        <f>AA75+AC65-SUM(AC70,AC74)</f>
        <v>69429.634309662535</v>
      </c>
      <c r="AD75" s="158"/>
      <c r="AE75" s="149">
        <f>AC75+AE65-SUM(AE70,AE74)</f>
        <v>97200.118600238755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125317.59899138374</v>
      </c>
      <c r="AJ75" s="151">
        <f>AJ76-SUM(AJ70,AJ74)</f>
        <v>69429.634309662521</v>
      </c>
      <c r="AK75" s="149">
        <f>AJ75+AK76-SUM(AK70,AK74)</f>
        <v>125317.59899138374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150609.19316945694</v>
      </c>
      <c r="J76" s="51">
        <f>J130*I$83</f>
        <v>153166.18019490232</v>
      </c>
      <c r="K76" s="40">
        <f>SUM(K70:K75)</f>
        <v>0.81256290713409696</v>
      </c>
      <c r="L76" s="22">
        <f>SUM(L70:L75)</f>
        <v>0.51660380686438867</v>
      </c>
      <c r="M76" s="24">
        <f>SUM(M70:M75)</f>
        <v>0.5160818805482974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47978.183836496239</v>
      </c>
      <c r="AB76" s="137"/>
      <c r="AC76" s="153">
        <f>AC65</f>
        <v>34917.120717051053</v>
      </c>
      <c r="AD76" s="137"/>
      <c r="AE76" s="153">
        <f>AE65</f>
        <v>34942.406431336771</v>
      </c>
      <c r="AF76" s="137"/>
      <c r="AG76" s="153">
        <f>AG65</f>
        <v>35273.212413313347</v>
      </c>
      <c r="AH76" s="137"/>
      <c r="AI76" s="153">
        <f>SUM(AA76,AC76,AE76,AG76)</f>
        <v>153110.9233981974</v>
      </c>
      <c r="AJ76" s="154">
        <f>SUM(AA76,AC76)</f>
        <v>82895.304553547292</v>
      </c>
      <c r="AK76" s="154">
        <f>SUM(AE76,AG76)</f>
        <v>70215.618844650118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41953.091520344926</v>
      </c>
      <c r="AD78" s="112"/>
      <c r="AE78" s="112">
        <f>AC75</f>
        <v>69429.634309662535</v>
      </c>
      <c r="AF78" s="112"/>
      <c r="AG78" s="112">
        <f>AE75</f>
        <v>97200.118600238755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43191.979040176928</v>
      </c>
      <c r="AB79" s="112"/>
      <c r="AC79" s="112">
        <f>AA79-AA74+AC65-AC70</f>
        <v>72084.007441076668</v>
      </c>
      <c r="AD79" s="112"/>
      <c r="AE79" s="112">
        <f>AC79-AC74+AE65-AE70</f>
        <v>99585.835944679988</v>
      </c>
      <c r="AF79" s="112"/>
      <c r="AG79" s="112">
        <f>AE79-AE74+AG65-AG70</f>
        <v>127687.12621723277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1.9045346310720839E-2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1.9045346310720839E-2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0.58105091610943316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0.58105091610943316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5.4290543739955739E-2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5.4290543739955739E-2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9.2882089360287565E-2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9.2882089360287565E-2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0.14026594201483736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0.14026594201483736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3.1802147635034891E-4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3.1802147635034891E-4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2.7963015893006413E-2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2.7963015893006413E-2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2.997078072449447E-2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2.997078072449447E-2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2.9812816364362029E-2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2.9812816364362029E-2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3.4446972707712874E-2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3.4446972707712874E-2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3.4652596667166337E-2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3.4652596667166337E-2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7.1206828879791916E-3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7.1206828879791916E-3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2.2982134382288932E-3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2.2982134382288932E-3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3.0838446191548989E-3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3.0838446191548989E-3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0.42909090909090908</v>
      </c>
      <c r="I112" s="22">
        <f t="shared" si="59"/>
        <v>4.4622599094384636</v>
      </c>
      <c r="J112" s="24">
        <f t="shared" si="60"/>
        <v>4.4622599094384636</v>
      </c>
      <c r="K112" s="22">
        <f t="shared" si="61"/>
        <v>10.399334534708284</v>
      </c>
      <c r="L112" s="22">
        <f t="shared" si="62"/>
        <v>4.4622599094384636</v>
      </c>
      <c r="M112" s="226">
        <f t="shared" si="63"/>
        <v>4.4622599094384636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3.8580615916603514E-2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3.8580615916603514E-2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8.4053976641395938</v>
      </c>
      <c r="J119" s="24">
        <f>SUM(J91:J118)</f>
        <v>8.548101388385243</v>
      </c>
      <c r="K119" s="22">
        <f>SUM(K91:K118)</f>
        <v>19.130852407360489</v>
      </c>
      <c r="L119" s="22">
        <f>SUM(L91:L118)</f>
        <v>8.5541528400947353</v>
      </c>
      <c r="M119" s="57">
        <f t="shared" si="50"/>
        <v>8.548101388385243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7.3369381958039099</v>
      </c>
      <c r="J128" s="227">
        <f>(J30)</f>
        <v>0.45728767688283545</v>
      </c>
      <c r="K128" s="22">
        <f>(B128)</f>
        <v>0.57492883275217932</v>
      </c>
      <c r="L128" s="22">
        <f>IF(L124=L119,0,(L119-L124)/(B119-B124)*K128)</f>
        <v>0.24081457564162678</v>
      </c>
      <c r="M128" s="57">
        <f t="shared" si="90"/>
        <v>0.45728767688283545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2.6831020761339079</v>
      </c>
      <c r="K129" s="29">
        <f>(B129)</f>
        <v>11.229069403485196</v>
      </c>
      <c r="L129" s="60">
        <f>IF(SUM(L124:L128)&gt;L130,0,L130-SUM(L124:L128))</f>
        <v>2.9056266290846082</v>
      </c>
      <c r="M129" s="57">
        <f t="shared" si="90"/>
        <v>2.6831020761339079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8.4053976641395938</v>
      </c>
      <c r="J130" s="227">
        <f>(J119)</f>
        <v>8.548101388385243</v>
      </c>
      <c r="K130" s="22">
        <f>(B130)</f>
        <v>19.130852407360489</v>
      </c>
      <c r="L130" s="22">
        <f>(L119)</f>
        <v>8.5541528400947353</v>
      </c>
      <c r="M130" s="57">
        <f t="shared" si="90"/>
        <v>8.548101388385243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1" workbookViewId="0">
      <selection activeCell="H63" sqref="H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890.370923648229</v>
      </c>
      <c r="G72" s="109">
        <f>Poor!T7</f>
        <v>1312.7678031239641</v>
      </c>
      <c r="H72" s="109">
        <f>Middle!T7</f>
        <v>1750.2078955802847</v>
      </c>
      <c r="I72" s="109">
        <f>Rich!T7</f>
        <v>2334.9087261972327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17.329370380205777</v>
      </c>
      <c r="G73" s="109">
        <f>Poor!T8</f>
        <v>5.7999999999999954</v>
      </c>
      <c r="H73" s="109">
        <f>Middle!T8</f>
        <v>1030.9853514599313</v>
      </c>
      <c r="I73" s="109">
        <f>Rich!T8</f>
        <v>6346.7709518225447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515.09382746086476</v>
      </c>
      <c r="I74" s="109">
        <f>Rich!T9</f>
        <v>787.13312800331664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241.42553192905308</v>
      </c>
      <c r="I75" s="109">
        <f>Rich!T10</f>
        <v>392.5129589936426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6916.7754331642336</v>
      </c>
      <c r="I76" s="109">
        <f>Rich!T11</f>
        <v>15361.939891610817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531.01274571141391</v>
      </c>
      <c r="G77" s="109">
        <f>Poor!T12</f>
        <v>386.87979640947736</v>
      </c>
      <c r="H77" s="109">
        <f>Middle!T12</f>
        <v>47.387690016521567</v>
      </c>
      <c r="I77" s="109">
        <f>Rich!T12</f>
        <v>34.59345705160441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3229.0119033613996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25175.902040816323</v>
      </c>
      <c r="I79" s="109">
        <f>Rich!T14</f>
        <v>91377.658775510194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2178.9682561555478</v>
      </c>
      <c r="G81" s="109">
        <f>Poor!T16</f>
        <v>1615.5428571428572</v>
      </c>
      <c r="H81" s="109">
        <f>Middle!T16</f>
        <v>7694.3391428883251</v>
      </c>
      <c r="I81" s="109">
        <f>Rich!T16</f>
        <v>790.04953277588334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42270.479578476799</v>
      </c>
      <c r="G88" s="109">
        <f>Poor!T23</f>
        <v>45043.940956300597</v>
      </c>
      <c r="H88" s="109">
        <f>Middle!T23</f>
        <v>89361.525422415987</v>
      </c>
      <c r="I88" s="109">
        <f>Rich!T23</f>
        <v>179459.10730851797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13925.736696677195</v>
      </c>
      <c r="G99" s="238">
        <f t="shared" si="0"/>
        <v>11152.275318853426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47999.898329330237</v>
      </c>
      <c r="G100" s="238">
        <f t="shared" si="0"/>
        <v>45226.436951506425</v>
      </c>
      <c r="H100" s="238">
        <f t="shared" si="0"/>
        <v>908.85248539104941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2016-08-10T09:50:44Z</dcterms:modified>
  <cp:category/>
</cp:coreProperties>
</file>