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2640" yWindow="2640" windowWidth="22960" windowHeight="13420" activeTab="5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3" i="1" l="1"/>
  <c r="E52" i="1"/>
  <c r="E51" i="1"/>
  <c r="E49" i="1"/>
  <c r="E48" i="1"/>
  <c r="E47" i="1"/>
  <c r="E46" i="1"/>
  <c r="E45" i="1"/>
  <c r="E44" i="1"/>
  <c r="B72" i="1"/>
  <c r="B71" i="1"/>
  <c r="B70" i="1"/>
  <c r="D29" i="12"/>
  <c r="B83" i="12"/>
  <c r="G37" i="12"/>
  <c r="H83" i="12"/>
  <c r="I83" i="12"/>
  <c r="F70" i="12"/>
  <c r="H70" i="12"/>
  <c r="F71" i="12"/>
  <c r="H71" i="12"/>
  <c r="F72" i="12"/>
  <c r="H72" i="12"/>
  <c r="T26" i="12"/>
  <c r="D6" i="12"/>
  <c r="E6" i="12"/>
  <c r="H6" i="12"/>
  <c r="I6" i="12"/>
  <c r="D7" i="12"/>
  <c r="E7" i="12"/>
  <c r="H7" i="12"/>
  <c r="I7" i="12"/>
  <c r="D8" i="12"/>
  <c r="E8" i="12"/>
  <c r="H8" i="12"/>
  <c r="I8" i="12"/>
  <c r="D9" i="12"/>
  <c r="E9" i="12"/>
  <c r="H9" i="12"/>
  <c r="I9" i="12"/>
  <c r="D10" i="12"/>
  <c r="E10" i="12"/>
  <c r="H10" i="12"/>
  <c r="I10" i="12"/>
  <c r="D11" i="12"/>
  <c r="E11" i="12"/>
  <c r="H11" i="12"/>
  <c r="I11" i="12"/>
  <c r="D12" i="12"/>
  <c r="E12" i="12"/>
  <c r="H12" i="12"/>
  <c r="I12" i="12"/>
  <c r="D13" i="12"/>
  <c r="E13" i="12"/>
  <c r="H13" i="12"/>
  <c r="I13" i="12"/>
  <c r="D14" i="12"/>
  <c r="E14" i="12"/>
  <c r="H14" i="12"/>
  <c r="I14" i="12"/>
  <c r="D15" i="12"/>
  <c r="E15" i="12"/>
  <c r="H15" i="12"/>
  <c r="I15" i="12"/>
  <c r="D16" i="12"/>
  <c r="E16" i="12"/>
  <c r="H16" i="12"/>
  <c r="I16" i="12"/>
  <c r="D17" i="12"/>
  <c r="E17" i="12"/>
  <c r="H17" i="12"/>
  <c r="I17" i="12"/>
  <c r="D18" i="12"/>
  <c r="E18" i="12"/>
  <c r="H18" i="12"/>
  <c r="I18" i="12"/>
  <c r="D19" i="12"/>
  <c r="E19" i="12"/>
  <c r="H19" i="12"/>
  <c r="I19" i="12"/>
  <c r="D20" i="12"/>
  <c r="E20" i="12"/>
  <c r="H20" i="12"/>
  <c r="I20" i="12"/>
  <c r="D21" i="12"/>
  <c r="E21" i="12"/>
  <c r="H21" i="12"/>
  <c r="I21" i="12"/>
  <c r="D22" i="12"/>
  <c r="I22" i="12"/>
  <c r="D23" i="12"/>
  <c r="E23" i="12"/>
  <c r="H23" i="12"/>
  <c r="I23" i="12"/>
  <c r="D24" i="12"/>
  <c r="E24" i="12"/>
  <c r="H24" i="12"/>
  <c r="I24" i="12"/>
  <c r="D25" i="12"/>
  <c r="I25" i="12"/>
  <c r="D26" i="12"/>
  <c r="I26" i="12"/>
  <c r="D27" i="12"/>
  <c r="I27" i="12"/>
  <c r="D28" i="12"/>
  <c r="I28" i="12"/>
  <c r="I29" i="12"/>
  <c r="B91" i="12"/>
  <c r="C91" i="12"/>
  <c r="D91" i="12"/>
  <c r="E37" i="12"/>
  <c r="F37" i="12"/>
  <c r="H91" i="12"/>
  <c r="I91" i="12"/>
  <c r="B92" i="12"/>
  <c r="C92" i="12"/>
  <c r="D92" i="12"/>
  <c r="E38" i="12"/>
  <c r="G38" i="1"/>
  <c r="G38" i="12"/>
  <c r="F38" i="12"/>
  <c r="H92" i="12"/>
  <c r="I92" i="12"/>
  <c r="B93" i="12"/>
  <c r="C93" i="12"/>
  <c r="D93" i="12"/>
  <c r="E39" i="12"/>
  <c r="G39" i="1"/>
  <c r="G39" i="12"/>
  <c r="F39" i="12"/>
  <c r="H93" i="12"/>
  <c r="I93" i="12"/>
  <c r="B94" i="12"/>
  <c r="C94" i="12"/>
  <c r="D94" i="12"/>
  <c r="E40" i="12"/>
  <c r="G40" i="1"/>
  <c r="G40" i="12"/>
  <c r="F40" i="12"/>
  <c r="H94" i="12"/>
  <c r="I94" i="12"/>
  <c r="B95" i="12"/>
  <c r="C95" i="12"/>
  <c r="D95" i="12"/>
  <c r="E41" i="12"/>
  <c r="G41" i="1"/>
  <c r="G41" i="12"/>
  <c r="F41" i="12"/>
  <c r="H95" i="12"/>
  <c r="I95" i="12"/>
  <c r="B96" i="12"/>
  <c r="C96" i="12"/>
  <c r="D96" i="12"/>
  <c r="E42" i="12"/>
  <c r="G42" i="1"/>
  <c r="G42" i="12"/>
  <c r="F42" i="12"/>
  <c r="H96" i="12"/>
  <c r="I96" i="12"/>
  <c r="B97" i="12"/>
  <c r="C97" i="12"/>
  <c r="D97" i="12"/>
  <c r="E43" i="12"/>
  <c r="G43" i="1"/>
  <c r="G43" i="12"/>
  <c r="F43" i="12"/>
  <c r="H97" i="12"/>
  <c r="I97" i="12"/>
  <c r="B98" i="12"/>
  <c r="C98" i="12"/>
  <c r="D98" i="12"/>
  <c r="E44" i="12"/>
  <c r="G44" i="1"/>
  <c r="G44" i="12"/>
  <c r="F44" i="12"/>
  <c r="H98" i="12"/>
  <c r="I98" i="12"/>
  <c r="B99" i="12"/>
  <c r="C99" i="12"/>
  <c r="D99" i="12"/>
  <c r="E45" i="12"/>
  <c r="G45" i="1"/>
  <c r="G45" i="12"/>
  <c r="F45" i="12"/>
  <c r="H99" i="12"/>
  <c r="I99" i="12"/>
  <c r="B100" i="12"/>
  <c r="C100" i="12"/>
  <c r="D100" i="12"/>
  <c r="E46" i="12"/>
  <c r="G46" i="1"/>
  <c r="G46" i="12"/>
  <c r="F46" i="12"/>
  <c r="H100" i="12"/>
  <c r="I100" i="12"/>
  <c r="B101" i="12"/>
  <c r="C101" i="12"/>
  <c r="D101" i="12"/>
  <c r="E47" i="12"/>
  <c r="G47" i="1"/>
  <c r="G47" i="12"/>
  <c r="F47" i="12"/>
  <c r="H101" i="12"/>
  <c r="I101" i="12"/>
  <c r="B102" i="12"/>
  <c r="C102" i="12"/>
  <c r="D102" i="12"/>
  <c r="E48" i="12"/>
  <c r="G48" i="1"/>
  <c r="G48" i="12"/>
  <c r="F48" i="12"/>
  <c r="H102" i="12"/>
  <c r="I102" i="12"/>
  <c r="B103" i="12"/>
  <c r="C103" i="12"/>
  <c r="D103" i="12"/>
  <c r="E49" i="12"/>
  <c r="G49" i="1"/>
  <c r="G49" i="12"/>
  <c r="F49" i="12"/>
  <c r="H103" i="12"/>
  <c r="I103" i="12"/>
  <c r="B104" i="12"/>
  <c r="C104" i="12"/>
  <c r="D104" i="12"/>
  <c r="E50" i="12"/>
  <c r="G50" i="1"/>
  <c r="G50" i="12"/>
  <c r="F50" i="12"/>
  <c r="H104" i="12"/>
  <c r="I104" i="12"/>
  <c r="B105" i="12"/>
  <c r="C105" i="12"/>
  <c r="D105" i="12"/>
  <c r="E51" i="12"/>
  <c r="G51" i="1"/>
  <c r="G51" i="12"/>
  <c r="F51" i="12"/>
  <c r="H105" i="12"/>
  <c r="I105" i="12"/>
  <c r="B106" i="12"/>
  <c r="C106" i="12"/>
  <c r="D106" i="12"/>
  <c r="E52" i="12"/>
  <c r="G52" i="1"/>
  <c r="G52" i="12"/>
  <c r="F52" i="12"/>
  <c r="H106" i="12"/>
  <c r="I106" i="12"/>
  <c r="B107" i="12"/>
  <c r="C107" i="12"/>
  <c r="D107" i="12"/>
  <c r="E53" i="12"/>
  <c r="G53" i="1"/>
  <c r="G53" i="12"/>
  <c r="F53" i="12"/>
  <c r="H107" i="12"/>
  <c r="I107" i="12"/>
  <c r="B108" i="12"/>
  <c r="C108" i="12"/>
  <c r="D108" i="12"/>
  <c r="G54" i="1"/>
  <c r="G54" i="12"/>
  <c r="F54" i="12"/>
  <c r="H108" i="12"/>
  <c r="I108" i="12"/>
  <c r="B109" i="12"/>
  <c r="C109" i="12"/>
  <c r="D109" i="12"/>
  <c r="G55" i="1"/>
  <c r="G55" i="12"/>
  <c r="F55" i="12"/>
  <c r="E55" i="12"/>
  <c r="H109" i="12"/>
  <c r="I109" i="12"/>
  <c r="B110" i="12"/>
  <c r="C110" i="12"/>
  <c r="D110" i="12"/>
  <c r="G56" i="1"/>
  <c r="G56" i="12"/>
  <c r="F56" i="12"/>
  <c r="E56" i="12"/>
  <c r="H110" i="12"/>
  <c r="I110" i="12"/>
  <c r="B111" i="12"/>
  <c r="C111" i="12"/>
  <c r="D111" i="12"/>
  <c r="G57" i="1"/>
  <c r="G57" i="12"/>
  <c r="F57" i="12"/>
  <c r="E57" i="12"/>
  <c r="H111" i="12"/>
  <c r="I111" i="12"/>
  <c r="B112" i="12"/>
  <c r="C112" i="12"/>
  <c r="D112" i="12"/>
  <c r="E58" i="12"/>
  <c r="G58" i="1"/>
  <c r="G58" i="12"/>
  <c r="F58" i="12"/>
  <c r="H112" i="12"/>
  <c r="I112" i="12"/>
  <c r="B113" i="12"/>
  <c r="C113" i="12"/>
  <c r="D113" i="12"/>
  <c r="E59" i="12"/>
  <c r="G59" i="1"/>
  <c r="G59" i="12"/>
  <c r="H113" i="12"/>
  <c r="I113" i="12"/>
  <c r="B114" i="12"/>
  <c r="C114" i="12"/>
  <c r="D114" i="12"/>
  <c r="E60" i="12"/>
  <c r="G60" i="1"/>
  <c r="G60" i="12"/>
  <c r="F60" i="12"/>
  <c r="H114" i="12"/>
  <c r="I114" i="12"/>
  <c r="B115" i="12"/>
  <c r="C115" i="12"/>
  <c r="D115" i="12"/>
  <c r="G61" i="1"/>
  <c r="G61" i="12"/>
  <c r="F61" i="12"/>
  <c r="E61" i="12"/>
  <c r="H115" i="12"/>
  <c r="I115" i="12"/>
  <c r="B116" i="12"/>
  <c r="C116" i="12"/>
  <c r="D116" i="12"/>
  <c r="G62" i="1"/>
  <c r="G62" i="12"/>
  <c r="F62" i="12"/>
  <c r="H116" i="12"/>
  <c r="I116" i="12"/>
  <c r="B117" i="12"/>
  <c r="C117" i="12"/>
  <c r="D117" i="12"/>
  <c r="G63" i="1"/>
  <c r="G63" i="12"/>
  <c r="H117" i="12"/>
  <c r="I117" i="12"/>
  <c r="B118" i="12"/>
  <c r="C118" i="12"/>
  <c r="D118" i="12"/>
  <c r="G64" i="1"/>
  <c r="G64" i="12"/>
  <c r="F64" i="12"/>
  <c r="H118" i="12"/>
  <c r="I118" i="12"/>
  <c r="I119" i="12"/>
  <c r="B124" i="12"/>
  <c r="H124" i="12"/>
  <c r="I124" i="12"/>
  <c r="I30" i="12"/>
  <c r="I32" i="12"/>
  <c r="B125" i="12"/>
  <c r="I128" i="12"/>
  <c r="H125" i="12"/>
  <c r="I131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H126" i="12"/>
  <c r="F73" i="12"/>
  <c r="H127" i="12"/>
  <c r="L127" i="12"/>
  <c r="J33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2" i="12"/>
  <c r="S2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32" i="12"/>
  <c r="R26" i="12"/>
  <c r="B84" i="12"/>
  <c r="I84" i="12"/>
  <c r="H84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32" i="12"/>
  <c r="T25" i="12"/>
  <c r="T31" i="12"/>
  <c r="S25" i="12"/>
  <c r="S31" i="12"/>
  <c r="R25" i="12"/>
  <c r="R31" i="12"/>
  <c r="T24" i="12"/>
  <c r="T30" i="12"/>
  <c r="S24" i="12"/>
  <c r="S30" i="12"/>
  <c r="R24" i="12"/>
  <c r="R30" i="12"/>
  <c r="D29" i="1"/>
  <c r="B83" i="1"/>
  <c r="H83" i="1"/>
  <c r="I83" i="1"/>
  <c r="H70" i="1"/>
  <c r="H71" i="1"/>
  <c r="H72" i="1"/>
  <c r="T26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H29" i="1"/>
  <c r="I29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D29" i="7"/>
  <c r="B83" i="7"/>
  <c r="G37" i="7"/>
  <c r="H83" i="7"/>
  <c r="I83" i="7"/>
  <c r="F70" i="7"/>
  <c r="H70" i="7"/>
  <c r="F71" i="7"/>
  <c r="H71" i="7"/>
  <c r="F72" i="7"/>
  <c r="H72" i="7"/>
  <c r="T26" i="7"/>
  <c r="D6" i="7"/>
  <c r="E6" i="7"/>
  <c r="H6" i="7"/>
  <c r="I6" i="7"/>
  <c r="D7" i="7"/>
  <c r="E7" i="7"/>
  <c r="H7" i="7"/>
  <c r="I7" i="7"/>
  <c r="D8" i="7"/>
  <c r="E8" i="7"/>
  <c r="H8" i="7"/>
  <c r="I8" i="7"/>
  <c r="D9" i="7"/>
  <c r="E9" i="7"/>
  <c r="H9" i="7"/>
  <c r="I9" i="7"/>
  <c r="D10" i="7"/>
  <c r="E10" i="7"/>
  <c r="H10" i="7"/>
  <c r="I10" i="7"/>
  <c r="D11" i="7"/>
  <c r="E11" i="7"/>
  <c r="H11" i="7"/>
  <c r="I11" i="7"/>
  <c r="D12" i="7"/>
  <c r="E12" i="7"/>
  <c r="H12" i="7"/>
  <c r="I12" i="7"/>
  <c r="D13" i="7"/>
  <c r="E13" i="7"/>
  <c r="H13" i="7"/>
  <c r="I13" i="7"/>
  <c r="D14" i="7"/>
  <c r="E14" i="7"/>
  <c r="H14" i="7"/>
  <c r="I14" i="7"/>
  <c r="D15" i="7"/>
  <c r="E15" i="7"/>
  <c r="H15" i="7"/>
  <c r="I15" i="7"/>
  <c r="D16" i="7"/>
  <c r="E16" i="7"/>
  <c r="H16" i="7"/>
  <c r="I16" i="7"/>
  <c r="D17" i="7"/>
  <c r="E17" i="7"/>
  <c r="H17" i="7"/>
  <c r="I17" i="7"/>
  <c r="D18" i="7"/>
  <c r="E18" i="7"/>
  <c r="H18" i="7"/>
  <c r="I18" i="7"/>
  <c r="D19" i="7"/>
  <c r="E19" i="7"/>
  <c r="H19" i="7"/>
  <c r="I19" i="7"/>
  <c r="D20" i="7"/>
  <c r="E20" i="7"/>
  <c r="H20" i="7"/>
  <c r="I20" i="7"/>
  <c r="D21" i="7"/>
  <c r="E21" i="7"/>
  <c r="H21" i="7"/>
  <c r="I21" i="7"/>
  <c r="D22" i="7"/>
  <c r="I22" i="7"/>
  <c r="D23" i="7"/>
  <c r="E23" i="7"/>
  <c r="H23" i="7"/>
  <c r="I23" i="7"/>
  <c r="D24" i="7"/>
  <c r="E24" i="7"/>
  <c r="H24" i="7"/>
  <c r="I24" i="7"/>
  <c r="D25" i="7"/>
  <c r="I25" i="7"/>
  <c r="D26" i="7"/>
  <c r="I26" i="7"/>
  <c r="D27" i="7"/>
  <c r="I27" i="7"/>
  <c r="D28" i="7"/>
  <c r="I28" i="7"/>
  <c r="I29" i="7"/>
  <c r="B91" i="7"/>
  <c r="C91" i="7"/>
  <c r="D91" i="7"/>
  <c r="E37" i="7"/>
  <c r="F37" i="7"/>
  <c r="H91" i="7"/>
  <c r="I91" i="7"/>
  <c r="B92" i="7"/>
  <c r="C92" i="7"/>
  <c r="D92" i="7"/>
  <c r="E38" i="7"/>
  <c r="G38" i="7"/>
  <c r="F38" i="7"/>
  <c r="H92" i="7"/>
  <c r="I92" i="7"/>
  <c r="B93" i="7"/>
  <c r="C93" i="7"/>
  <c r="D93" i="7"/>
  <c r="E39" i="7"/>
  <c r="G39" i="7"/>
  <c r="F39" i="7"/>
  <c r="H93" i="7"/>
  <c r="I93" i="7"/>
  <c r="B94" i="7"/>
  <c r="C94" i="7"/>
  <c r="D94" i="7"/>
  <c r="E40" i="7"/>
  <c r="G40" i="7"/>
  <c r="F40" i="7"/>
  <c r="H94" i="7"/>
  <c r="I94" i="7"/>
  <c r="B95" i="7"/>
  <c r="C95" i="7"/>
  <c r="D95" i="7"/>
  <c r="E41" i="7"/>
  <c r="G41" i="7"/>
  <c r="F41" i="7"/>
  <c r="H95" i="7"/>
  <c r="I95" i="7"/>
  <c r="B96" i="7"/>
  <c r="C96" i="7"/>
  <c r="D96" i="7"/>
  <c r="E42" i="7"/>
  <c r="G42" i="7"/>
  <c r="F42" i="7"/>
  <c r="H96" i="7"/>
  <c r="I96" i="7"/>
  <c r="B97" i="7"/>
  <c r="C97" i="7"/>
  <c r="D97" i="7"/>
  <c r="E43" i="7"/>
  <c r="G43" i="7"/>
  <c r="F43" i="7"/>
  <c r="H97" i="7"/>
  <c r="I97" i="7"/>
  <c r="B98" i="7"/>
  <c r="C98" i="7"/>
  <c r="D98" i="7"/>
  <c r="E44" i="7"/>
  <c r="G44" i="7"/>
  <c r="F44" i="7"/>
  <c r="H98" i="7"/>
  <c r="I98" i="7"/>
  <c r="B99" i="7"/>
  <c r="C99" i="7"/>
  <c r="D99" i="7"/>
  <c r="E45" i="7"/>
  <c r="G45" i="7"/>
  <c r="F45" i="7"/>
  <c r="H99" i="7"/>
  <c r="I99" i="7"/>
  <c r="B100" i="7"/>
  <c r="C100" i="7"/>
  <c r="D100" i="7"/>
  <c r="E46" i="7"/>
  <c r="G46" i="7"/>
  <c r="F46" i="7"/>
  <c r="H100" i="7"/>
  <c r="I100" i="7"/>
  <c r="B101" i="7"/>
  <c r="C101" i="7"/>
  <c r="D101" i="7"/>
  <c r="E47" i="7"/>
  <c r="G47" i="7"/>
  <c r="F47" i="7"/>
  <c r="H101" i="7"/>
  <c r="I101" i="7"/>
  <c r="B102" i="7"/>
  <c r="C102" i="7"/>
  <c r="D102" i="7"/>
  <c r="E48" i="7"/>
  <c r="G48" i="7"/>
  <c r="F48" i="7"/>
  <c r="H102" i="7"/>
  <c r="I102" i="7"/>
  <c r="B103" i="7"/>
  <c r="C103" i="7"/>
  <c r="D103" i="7"/>
  <c r="E49" i="7"/>
  <c r="G49" i="7"/>
  <c r="F49" i="7"/>
  <c r="H103" i="7"/>
  <c r="I103" i="7"/>
  <c r="B104" i="7"/>
  <c r="C104" i="7"/>
  <c r="D104" i="7"/>
  <c r="E50" i="7"/>
  <c r="G50" i="7"/>
  <c r="F50" i="7"/>
  <c r="H104" i="7"/>
  <c r="I104" i="7"/>
  <c r="B105" i="7"/>
  <c r="C105" i="7"/>
  <c r="D105" i="7"/>
  <c r="E51" i="7"/>
  <c r="G51" i="7"/>
  <c r="F51" i="7"/>
  <c r="H105" i="7"/>
  <c r="I105" i="7"/>
  <c r="B106" i="7"/>
  <c r="C106" i="7"/>
  <c r="D106" i="7"/>
  <c r="E52" i="7"/>
  <c r="G52" i="7"/>
  <c r="F52" i="7"/>
  <c r="H106" i="7"/>
  <c r="I106" i="7"/>
  <c r="B107" i="7"/>
  <c r="C107" i="7"/>
  <c r="D107" i="7"/>
  <c r="E53" i="7"/>
  <c r="G53" i="7"/>
  <c r="F53" i="7"/>
  <c r="H107" i="7"/>
  <c r="I107" i="7"/>
  <c r="B108" i="7"/>
  <c r="C108" i="7"/>
  <c r="D108" i="7"/>
  <c r="G54" i="7"/>
  <c r="F54" i="7"/>
  <c r="H108" i="7"/>
  <c r="I108" i="7"/>
  <c r="B109" i="7"/>
  <c r="C109" i="7"/>
  <c r="D109" i="7"/>
  <c r="G55" i="7"/>
  <c r="F55" i="7"/>
  <c r="E55" i="7"/>
  <c r="H109" i="7"/>
  <c r="I109" i="7"/>
  <c r="B110" i="7"/>
  <c r="C110" i="7"/>
  <c r="D110" i="7"/>
  <c r="G56" i="7"/>
  <c r="F56" i="7"/>
  <c r="E56" i="7"/>
  <c r="H110" i="7"/>
  <c r="I110" i="7"/>
  <c r="B111" i="7"/>
  <c r="C111" i="7"/>
  <c r="D111" i="7"/>
  <c r="G57" i="7"/>
  <c r="F57" i="7"/>
  <c r="E57" i="7"/>
  <c r="H111" i="7"/>
  <c r="I111" i="7"/>
  <c r="B112" i="7"/>
  <c r="C112" i="7"/>
  <c r="D112" i="7"/>
  <c r="E58" i="7"/>
  <c r="G58" i="7"/>
  <c r="F58" i="7"/>
  <c r="H112" i="7"/>
  <c r="I112" i="7"/>
  <c r="B113" i="7"/>
  <c r="C113" i="7"/>
  <c r="D113" i="7"/>
  <c r="E59" i="7"/>
  <c r="G59" i="7"/>
  <c r="H113" i="7"/>
  <c r="I113" i="7"/>
  <c r="B114" i="7"/>
  <c r="C114" i="7"/>
  <c r="D114" i="7"/>
  <c r="E60" i="7"/>
  <c r="G60" i="7"/>
  <c r="F60" i="7"/>
  <c r="H114" i="7"/>
  <c r="I114" i="7"/>
  <c r="B115" i="7"/>
  <c r="C115" i="7"/>
  <c r="D115" i="7"/>
  <c r="G61" i="7"/>
  <c r="F61" i="7"/>
  <c r="E61" i="7"/>
  <c r="H115" i="7"/>
  <c r="I115" i="7"/>
  <c r="B116" i="7"/>
  <c r="C116" i="7"/>
  <c r="D116" i="7"/>
  <c r="G62" i="7"/>
  <c r="F62" i="7"/>
  <c r="H116" i="7"/>
  <c r="I116" i="7"/>
  <c r="B117" i="7"/>
  <c r="C117" i="7"/>
  <c r="D117" i="7"/>
  <c r="G63" i="7"/>
  <c r="H117" i="7"/>
  <c r="I117" i="7"/>
  <c r="B118" i="7"/>
  <c r="C118" i="7"/>
  <c r="D118" i="7"/>
  <c r="G64" i="7"/>
  <c r="F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F73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83" i="8"/>
  <c r="B94" i="8"/>
  <c r="K94" i="8"/>
  <c r="B95" i="8"/>
  <c r="K95" i="8"/>
  <c r="B96" i="8"/>
  <c r="K96" i="8"/>
  <c r="B97" i="8"/>
  <c r="K97" i="8"/>
  <c r="B91" i="8"/>
  <c r="K91" i="8"/>
  <c r="B92" i="8"/>
  <c r="K92" i="8"/>
  <c r="B93" i="8"/>
  <c r="K93" i="8"/>
  <c r="B98" i="8"/>
  <c r="K98" i="8"/>
  <c r="B99" i="8"/>
  <c r="K99" i="8"/>
  <c r="B100" i="8"/>
  <c r="K100" i="8"/>
  <c r="B101" i="8"/>
  <c r="K101" i="8"/>
  <c r="B102" i="8"/>
  <c r="K102" i="8"/>
  <c r="B103" i="8"/>
  <c r="K103" i="8"/>
  <c r="B104" i="8"/>
  <c r="K104" i="8"/>
  <c r="B105" i="8"/>
  <c r="K105" i="8"/>
  <c r="B106" i="8"/>
  <c r="K106" i="8"/>
  <c r="B107" i="8"/>
  <c r="K107" i="8"/>
  <c r="B108" i="8"/>
  <c r="K108" i="8"/>
  <c r="B109" i="8"/>
  <c r="K109" i="8"/>
  <c r="B110" i="8"/>
  <c r="K110" i="8"/>
  <c r="B111" i="8"/>
  <c r="K111" i="8"/>
  <c r="B112" i="8"/>
  <c r="K112" i="8"/>
  <c r="B113" i="8"/>
  <c r="K113" i="8"/>
  <c r="B114" i="8"/>
  <c r="K114" i="8"/>
  <c r="B115" i="8"/>
  <c r="K115" i="8"/>
  <c r="B116" i="8"/>
  <c r="K116" i="8"/>
  <c r="B117" i="8"/>
  <c r="K117" i="8"/>
  <c r="B118" i="8"/>
  <c r="K118" i="8"/>
  <c r="D29" i="8"/>
  <c r="B84" i="8"/>
  <c r="G37" i="8"/>
  <c r="H83" i="8"/>
  <c r="I83" i="8"/>
  <c r="F70" i="8"/>
  <c r="H70" i="8"/>
  <c r="I84" i="8"/>
  <c r="H84" i="8"/>
  <c r="R8" i="8"/>
  <c r="E40" i="8"/>
  <c r="G40" i="8"/>
  <c r="F40" i="8"/>
  <c r="H94" i="8"/>
  <c r="L94" i="8"/>
  <c r="E41" i="8"/>
  <c r="G41" i="8"/>
  <c r="F41" i="8"/>
  <c r="H95" i="8"/>
  <c r="L95" i="8"/>
  <c r="E42" i="8"/>
  <c r="G42" i="8"/>
  <c r="F42" i="8"/>
  <c r="H96" i="8"/>
  <c r="L96" i="8"/>
  <c r="E43" i="8"/>
  <c r="G43" i="8"/>
  <c r="F43" i="8"/>
  <c r="H97" i="8"/>
  <c r="L97" i="8"/>
  <c r="E37" i="8"/>
  <c r="F37" i="8"/>
  <c r="H91" i="8"/>
  <c r="L91" i="8"/>
  <c r="E38" i="8"/>
  <c r="G38" i="8"/>
  <c r="F38" i="8"/>
  <c r="H92" i="8"/>
  <c r="L92" i="8"/>
  <c r="E39" i="8"/>
  <c r="G39" i="8"/>
  <c r="F39" i="8"/>
  <c r="H93" i="8"/>
  <c r="L93" i="8"/>
  <c r="E44" i="8"/>
  <c r="G44" i="8"/>
  <c r="F44" i="8"/>
  <c r="H98" i="8"/>
  <c r="L98" i="8"/>
  <c r="E45" i="8"/>
  <c r="G45" i="8"/>
  <c r="F45" i="8"/>
  <c r="H99" i="8"/>
  <c r="L99" i="8"/>
  <c r="E46" i="8"/>
  <c r="G46" i="8"/>
  <c r="F46" i="8"/>
  <c r="H100" i="8"/>
  <c r="L100" i="8"/>
  <c r="E47" i="8"/>
  <c r="G47" i="8"/>
  <c r="F47" i="8"/>
  <c r="H101" i="8"/>
  <c r="L101" i="8"/>
  <c r="E48" i="8"/>
  <c r="G48" i="8"/>
  <c r="F48" i="8"/>
  <c r="H102" i="8"/>
  <c r="L102" i="8"/>
  <c r="E49" i="8"/>
  <c r="G49" i="8"/>
  <c r="F49" i="8"/>
  <c r="H103" i="8"/>
  <c r="L103" i="8"/>
  <c r="E50" i="8"/>
  <c r="G50" i="8"/>
  <c r="F50" i="8"/>
  <c r="H104" i="8"/>
  <c r="L104" i="8"/>
  <c r="E51" i="8"/>
  <c r="G51" i="8"/>
  <c r="F51" i="8"/>
  <c r="H105" i="8"/>
  <c r="L105" i="8"/>
  <c r="E52" i="8"/>
  <c r="G52" i="8"/>
  <c r="F52" i="8"/>
  <c r="H106" i="8"/>
  <c r="L106" i="8"/>
  <c r="E53" i="8"/>
  <c r="G53" i="8"/>
  <c r="F53" i="8"/>
  <c r="H107" i="8"/>
  <c r="L107" i="8"/>
  <c r="G54" i="8"/>
  <c r="F54" i="8"/>
  <c r="H108" i="8"/>
  <c r="L108" i="8"/>
  <c r="G55" i="8"/>
  <c r="F55" i="8"/>
  <c r="E55" i="8"/>
  <c r="H109" i="8"/>
  <c r="L109" i="8"/>
  <c r="G56" i="8"/>
  <c r="F56" i="8"/>
  <c r="E56" i="8"/>
  <c r="H110" i="8"/>
  <c r="L110" i="8"/>
  <c r="G57" i="8"/>
  <c r="F57" i="8"/>
  <c r="E57" i="8"/>
  <c r="H111" i="8"/>
  <c r="L111" i="8"/>
  <c r="E58" i="8"/>
  <c r="G58" i="8"/>
  <c r="F58" i="8"/>
  <c r="H112" i="8"/>
  <c r="L112" i="8"/>
  <c r="E59" i="8"/>
  <c r="G59" i="8"/>
  <c r="H113" i="8"/>
  <c r="L113" i="8"/>
  <c r="E60" i="8"/>
  <c r="G60" i="8"/>
  <c r="F60" i="8"/>
  <c r="H114" i="8"/>
  <c r="L114" i="8"/>
  <c r="G61" i="8"/>
  <c r="F61" i="8"/>
  <c r="E61" i="8"/>
  <c r="H115" i="8"/>
  <c r="L115" i="8"/>
  <c r="G62" i="8"/>
  <c r="F62" i="8"/>
  <c r="H116" i="8"/>
  <c r="L116" i="8"/>
  <c r="G63" i="8"/>
  <c r="H117" i="8"/>
  <c r="L117" i="8"/>
  <c r="G64" i="8"/>
  <c r="F64" i="8"/>
  <c r="H118" i="8"/>
  <c r="L118" i="8"/>
  <c r="S8" i="8"/>
  <c r="D6" i="8"/>
  <c r="E6" i="8"/>
  <c r="H6" i="8"/>
  <c r="I6" i="8"/>
  <c r="D7" i="8"/>
  <c r="E7" i="8"/>
  <c r="H7" i="8"/>
  <c r="I7" i="8"/>
  <c r="D8" i="8"/>
  <c r="E8" i="8"/>
  <c r="H8" i="8"/>
  <c r="I8" i="8"/>
  <c r="D9" i="8"/>
  <c r="E9" i="8"/>
  <c r="H9" i="8"/>
  <c r="I9" i="8"/>
  <c r="D10" i="8"/>
  <c r="E10" i="8"/>
  <c r="H10" i="8"/>
  <c r="I10" i="8"/>
  <c r="D11" i="8"/>
  <c r="E11" i="8"/>
  <c r="H11" i="8"/>
  <c r="I11" i="8"/>
  <c r="D12" i="8"/>
  <c r="E12" i="8"/>
  <c r="H12" i="8"/>
  <c r="I12" i="8"/>
  <c r="D13" i="8"/>
  <c r="E13" i="8"/>
  <c r="H13" i="8"/>
  <c r="I13" i="8"/>
  <c r="D14" i="8"/>
  <c r="E14" i="8"/>
  <c r="H14" i="8"/>
  <c r="I14" i="8"/>
  <c r="D15" i="8"/>
  <c r="E15" i="8"/>
  <c r="H15" i="8"/>
  <c r="I15" i="8"/>
  <c r="D16" i="8"/>
  <c r="E16" i="8"/>
  <c r="H16" i="8"/>
  <c r="I16" i="8"/>
  <c r="D17" i="8"/>
  <c r="E17" i="8"/>
  <c r="H17" i="8"/>
  <c r="I17" i="8"/>
  <c r="D18" i="8"/>
  <c r="E18" i="8"/>
  <c r="H18" i="8"/>
  <c r="I18" i="8"/>
  <c r="D19" i="8"/>
  <c r="E19" i="8"/>
  <c r="H19" i="8"/>
  <c r="I19" i="8"/>
  <c r="D20" i="8"/>
  <c r="E20" i="8"/>
  <c r="H20" i="8"/>
  <c r="I20" i="8"/>
  <c r="D21" i="8"/>
  <c r="E21" i="8"/>
  <c r="H21" i="8"/>
  <c r="I21" i="8"/>
  <c r="D22" i="8"/>
  <c r="I22" i="8"/>
  <c r="D23" i="8"/>
  <c r="E23" i="8"/>
  <c r="H23" i="8"/>
  <c r="I23" i="8"/>
  <c r="D24" i="8"/>
  <c r="E24" i="8"/>
  <c r="H24" i="8"/>
  <c r="I24" i="8"/>
  <c r="D25" i="8"/>
  <c r="I25" i="8"/>
  <c r="D26" i="8"/>
  <c r="I26" i="8"/>
  <c r="D27" i="8"/>
  <c r="I27" i="8"/>
  <c r="D28" i="8"/>
  <c r="I28" i="8"/>
  <c r="I29" i="8"/>
  <c r="C91" i="8"/>
  <c r="D91" i="8"/>
  <c r="I91" i="8"/>
  <c r="C92" i="8"/>
  <c r="D92" i="8"/>
  <c r="I92" i="8"/>
  <c r="C93" i="8"/>
  <c r="D93" i="8"/>
  <c r="I93" i="8"/>
  <c r="C94" i="8"/>
  <c r="D94" i="8"/>
  <c r="I94" i="8"/>
  <c r="C95" i="8"/>
  <c r="D95" i="8"/>
  <c r="I95" i="8"/>
  <c r="C96" i="8"/>
  <c r="D96" i="8"/>
  <c r="I96" i="8"/>
  <c r="C97" i="8"/>
  <c r="D97" i="8"/>
  <c r="I97" i="8"/>
  <c r="C98" i="8"/>
  <c r="D98" i="8"/>
  <c r="I98" i="8"/>
  <c r="C99" i="8"/>
  <c r="D99" i="8"/>
  <c r="I99" i="8"/>
  <c r="C100" i="8"/>
  <c r="D100" i="8"/>
  <c r="I100" i="8"/>
  <c r="C101" i="8"/>
  <c r="D101" i="8"/>
  <c r="I101" i="8"/>
  <c r="C102" i="8"/>
  <c r="D102" i="8"/>
  <c r="I102" i="8"/>
  <c r="C103" i="8"/>
  <c r="D103" i="8"/>
  <c r="I103" i="8"/>
  <c r="C104" i="8"/>
  <c r="D104" i="8"/>
  <c r="I104" i="8"/>
  <c r="C105" i="8"/>
  <c r="D105" i="8"/>
  <c r="I105" i="8"/>
  <c r="C106" i="8"/>
  <c r="D106" i="8"/>
  <c r="I106" i="8"/>
  <c r="C107" i="8"/>
  <c r="D107" i="8"/>
  <c r="I107" i="8"/>
  <c r="C108" i="8"/>
  <c r="D108" i="8"/>
  <c r="I108" i="8"/>
  <c r="C109" i="8"/>
  <c r="D109" i="8"/>
  <c r="I109" i="8"/>
  <c r="C110" i="8"/>
  <c r="D110" i="8"/>
  <c r="I110" i="8"/>
  <c r="C111" i="8"/>
  <c r="D111" i="8"/>
  <c r="I111" i="8"/>
  <c r="C112" i="8"/>
  <c r="D112" i="8"/>
  <c r="I112" i="8"/>
  <c r="C113" i="8"/>
  <c r="D113" i="8"/>
  <c r="I113" i="8"/>
  <c r="C114" i="8"/>
  <c r="D114" i="8"/>
  <c r="I114" i="8"/>
  <c r="C115" i="8"/>
  <c r="D115" i="8"/>
  <c r="I115" i="8"/>
  <c r="C116" i="8"/>
  <c r="D116" i="8"/>
  <c r="I116" i="8"/>
  <c r="C117" i="8"/>
  <c r="D117" i="8"/>
  <c r="I117" i="8"/>
  <c r="C118" i="8"/>
  <c r="D118" i="8"/>
  <c r="I118" i="8"/>
  <c r="I119" i="8"/>
  <c r="B124" i="8"/>
  <c r="H124" i="8"/>
  <c r="I124" i="8"/>
  <c r="I30" i="8"/>
  <c r="I32" i="8"/>
  <c r="B125" i="8"/>
  <c r="I128" i="8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119" i="8"/>
  <c r="L124" i="8"/>
  <c r="K30" i="8"/>
  <c r="B119" i="8"/>
  <c r="L30" i="8"/>
  <c r="L32" i="8"/>
  <c r="B126" i="8"/>
  <c r="B128" i="8"/>
  <c r="K128" i="8"/>
  <c r="L128" i="8"/>
  <c r="F72" i="8"/>
  <c r="H126" i="8"/>
  <c r="F73" i="8"/>
  <c r="H127" i="8"/>
  <c r="L127" i="8"/>
  <c r="J33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R9" i="8"/>
  <c r="S9" i="8"/>
  <c r="J6" i="8"/>
  <c r="M6" i="8"/>
  <c r="J7" i="8"/>
  <c r="M7" i="8"/>
  <c r="J8" i="8"/>
  <c r="M8" i="8"/>
  <c r="T9" i="8"/>
  <c r="R10" i="8"/>
  <c r="S10" i="8"/>
  <c r="T10" i="8"/>
  <c r="R11" i="8"/>
  <c r="S11" i="8"/>
  <c r="T11" i="8"/>
  <c r="R12" i="8"/>
  <c r="S12" i="8"/>
  <c r="J19" i="8"/>
  <c r="M19" i="8"/>
  <c r="J20" i="8"/>
  <c r="M20" i="8"/>
  <c r="J22" i="8"/>
  <c r="M22" i="8"/>
  <c r="T12" i="8"/>
  <c r="R13" i="8"/>
  <c r="S13" i="8"/>
  <c r="J23" i="8"/>
  <c r="M23" i="8"/>
  <c r="J24" i="8"/>
  <c r="M24" i="8"/>
  <c r="T13" i="8"/>
  <c r="R14" i="8"/>
  <c r="S14" i="8"/>
  <c r="T14" i="8"/>
  <c r="R15" i="8"/>
  <c r="S15" i="8"/>
  <c r="T15" i="8"/>
  <c r="R16" i="8"/>
  <c r="S16" i="8"/>
  <c r="T16" i="8"/>
  <c r="R17" i="8"/>
  <c r="S17" i="8"/>
  <c r="T17" i="8"/>
  <c r="R18" i="8"/>
  <c r="S18" i="8"/>
  <c r="J26" i="8"/>
  <c r="M26" i="8"/>
  <c r="T18" i="8"/>
  <c r="R19" i="8"/>
  <c r="S19" i="8"/>
  <c r="J25" i="8"/>
  <c r="M25" i="8"/>
  <c r="T19" i="8"/>
  <c r="R20" i="8"/>
  <c r="S20" i="8"/>
  <c r="T20" i="8"/>
  <c r="R21" i="8"/>
  <c r="S21" i="8"/>
  <c r="T21" i="8"/>
  <c r="R22" i="8"/>
  <c r="S22" i="8"/>
  <c r="T22" i="8"/>
  <c r="H71" i="8"/>
  <c r="H72" i="8"/>
  <c r="T26" i="8"/>
  <c r="S26" i="8"/>
  <c r="R26" i="8"/>
  <c r="T25" i="8"/>
  <c r="S25" i="8"/>
  <c r="R25" i="8"/>
  <c r="T24" i="8"/>
  <c r="S24" i="8"/>
  <c r="R24" i="8"/>
  <c r="J9" i="8"/>
  <c r="M9" i="8"/>
  <c r="J10" i="8"/>
  <c r="M10" i="8"/>
  <c r="J11" i="8"/>
  <c r="M11" i="8"/>
  <c r="J12" i="8"/>
  <c r="M12" i="8"/>
  <c r="J13" i="8"/>
  <c r="M13" i="8"/>
  <c r="J14" i="8"/>
  <c r="M14" i="8"/>
  <c r="J15" i="8"/>
  <c r="M15" i="8"/>
  <c r="J16" i="8"/>
  <c r="M16" i="8"/>
  <c r="J17" i="8"/>
  <c r="M17" i="8"/>
  <c r="J18" i="8"/>
  <c r="M18" i="8"/>
  <c r="J21" i="8"/>
  <c r="M21" i="8"/>
  <c r="J27" i="8"/>
  <c r="M27" i="8"/>
  <c r="J28" i="8"/>
  <c r="M28" i="8"/>
  <c r="T7" i="8"/>
  <c r="S7" i="8"/>
  <c r="R7" i="8"/>
  <c r="T23" i="8"/>
  <c r="T32" i="8"/>
  <c r="S23" i="8"/>
  <c r="S32" i="8"/>
  <c r="R23" i="8"/>
  <c r="R32" i="8"/>
  <c r="T31" i="8"/>
  <c r="S31" i="8"/>
  <c r="R31" i="8"/>
  <c r="T30" i="8"/>
  <c r="S30" i="8"/>
  <c r="R30" i="8"/>
  <c r="J29" i="8"/>
  <c r="J30" i="8"/>
  <c r="J31" i="8"/>
  <c r="J29" i="7"/>
  <c r="J30" i="7"/>
  <c r="J31" i="7"/>
  <c r="J29" i="1"/>
  <c r="J30" i="1"/>
  <c r="J31" i="1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54" i="12"/>
  <c r="F59" i="12"/>
  <c r="E62" i="12"/>
  <c r="E63" i="12"/>
  <c r="F63" i="12"/>
  <c r="E64" i="12"/>
  <c r="E30" i="12"/>
  <c r="E22" i="12"/>
  <c r="H22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54" i="7"/>
  <c r="F59" i="7"/>
  <c r="E62" i="7"/>
  <c r="E63" i="7"/>
  <c r="F63" i="7"/>
  <c r="E64" i="7"/>
  <c r="E30" i="7"/>
  <c r="E22" i="7"/>
  <c r="H22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54" i="8"/>
  <c r="F59" i="8"/>
  <c r="E62" i="8"/>
  <c r="E63" i="8"/>
  <c r="F63" i="8"/>
  <c r="E64" i="8"/>
  <c r="E30" i="8"/>
  <c r="E22" i="8"/>
  <c r="H22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C83" i="9"/>
  <c r="C35" i="13"/>
  <c r="B83" i="9"/>
  <c r="B35" i="13"/>
  <c r="O52" i="13"/>
  <c r="L50" i="13"/>
  <c r="J48" i="13"/>
  <c r="C77" i="9"/>
  <c r="C30" i="13"/>
  <c r="B77" i="9"/>
  <c r="B30" i="13"/>
  <c r="R47" i="13"/>
  <c r="P52" i="13"/>
  <c r="C72" i="9"/>
  <c r="C25" i="13"/>
  <c r="B72" i="9"/>
  <c r="B25" i="13"/>
  <c r="P42" i="13"/>
  <c r="DA44" i="13"/>
  <c r="C75" i="9"/>
  <c r="C28" i="13"/>
  <c r="B75" i="9"/>
  <c r="B28" i="13"/>
  <c r="O45" i="13"/>
  <c r="H51" i="13"/>
  <c r="C86" i="9"/>
  <c r="C37" i="13"/>
  <c r="B86" i="9"/>
  <c r="B37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C76" i="9"/>
  <c r="C29" i="13"/>
  <c r="B76" i="9"/>
  <c r="B29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C78" i="9"/>
  <c r="C31" i="13"/>
  <c r="B78" i="9"/>
  <c r="B31" i="13"/>
  <c r="N48" i="13"/>
  <c r="H47" i="13"/>
  <c r="M19" i="13"/>
  <c r="CX45" i="13"/>
  <c r="R45" i="13"/>
  <c r="Q47" i="13"/>
  <c r="P46" i="13"/>
  <c r="J19" i="13"/>
  <c r="M54" i="13"/>
  <c r="M53" i="13"/>
  <c r="C74" i="9"/>
  <c r="C27" i="13"/>
  <c r="B74" i="9"/>
  <c r="B27" i="13"/>
  <c r="O44" i="13"/>
  <c r="I43" i="13"/>
  <c r="C79" i="9"/>
  <c r="C32" i="13"/>
  <c r="B79" i="9"/>
  <c r="B32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D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D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D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D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D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BC40" i="13"/>
  <c r="AW40" i="13"/>
  <c r="BL40" i="13"/>
  <c r="BF40" i="13"/>
  <c r="BK40" i="13"/>
  <c r="AY40" i="13"/>
  <c r="BT40" i="13"/>
  <c r="AX40" i="13"/>
  <c r="AI40" i="13"/>
  <c r="D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D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D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<sst xmlns="http://schemas.openxmlformats.org/spreadsheetml/2006/main" count="849" uniqueCount="195">
  <si>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</si>
  <si>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</si>
  <si>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</si>
  <si>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</si>
  <si>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</si>
  <si>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</si>
  <si>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</si>
  <si>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</si>
  <si>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</si>
  <si>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</si>
  <si>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</si>
  <si>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</si>
  <si>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</si>
  <si>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</si>
  <si>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</si>
  <si>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</si>
  <si>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</si>
  <si>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</si>
  <si>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</si>
  <si>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</si>
  <si>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</si>
  <si>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</si>
  <si>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</si>
  <si>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</si>
  <si>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</si>
  <si>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</si>
  <si>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</si>
  <si>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</si>
  <si>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</si>
  <si>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</si>
  <si>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</si>
  <si>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</si>
  <si>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</si>
  <si>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</si>
  <si>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</si>
  <si>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</si>
  <si>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</si>
  <si>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</si>
  <si>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</si>
  <si>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</si>
  <si>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</si>
  <si>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</si>
  <si>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</si>
  <si>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</si>
  <si>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</si>
  <si>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</si>
  <si>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</si>
  <si>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</si>
  <si>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</si>
  <si>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</si>
  <si>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</si>
  <si>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</si>
  <si>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</si>
  <si>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</si>
  <si>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</si>
  <si>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</si>
  <si>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</si>
  <si>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</si>
  <si>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</si>
  <si>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</si>
  <si>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</si>
  <si>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</si>
  <si>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</si>
  <si>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</si>
  <si>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</si>
  <si>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</si>
  <si>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</si>
  <si>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</si>
  <si>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</si>
  <si>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</si>
  <si>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</si>
  <si>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</si>
  <si>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</si>
  <si>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</si>
  <si>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</si>
  <si>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</si>
  <si>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</si>
  <si>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</si>
  <si>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</si>
  <si>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</si>
  <si>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</si>
  <si>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</si>
  <si>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</si>
  <si>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</si>
  <si>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</si>
  <si>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</si>
  <si>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</si>
  <si>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</si>
  <si>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</si>
  <si>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</si>
  <si>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</si>
  <si>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</si>
  <si>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</si>
  <si>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</si>
  <si>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</si>
  <si>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</si>
  <si>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</si>
  <si>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</si>
  <si>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</si>
  <si>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</si>
  <si>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</si>
  <si>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</si>
  <si>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</si>
  <si>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</si>
  <si>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</si>
  <si>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</si>
  <si>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</si>
  <si>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</si>
  <si>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</si>
  <si>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</si>
  <si>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</si>
  <si>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</si>
  <si>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</si>
  <si>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</si>
  <si>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</si>
  <si>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</si>
  <si>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</si>
  <si>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</si>
  <si>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</si>
  <si>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</si>
  <si>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</si>
  <si>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</si>
  <si>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</si>
  <si>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</si>
  <si>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</si>
  <si>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</si>
  <si>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</si>
  <si>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</si>
  <si>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</si>
  <si>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</si>
  <si>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</si>
  <si>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</si>
  <si>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</si>
  <si>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</si>
  <si>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</si>
  <si>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</si>
  <si>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</si>
  <si>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</si>
  <si>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</si>
  <si>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</si>
  <si>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</si>
  <si>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</si>
  <si>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</si>
  <si>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</si>
  <si>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</si>
  <si>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Cows' milk - season 1</t>
  </si>
  <si>
    <t>Cows' milk - season 2</t>
  </si>
  <si>
    <t>Own meat</t>
  </si>
  <si>
    <t>Green cons - Season 1: no of months</t>
  </si>
  <si>
    <t>Maize: kg produced</t>
  </si>
  <si>
    <t>Sorghum: kg produced</t>
  </si>
  <si>
    <t>Beans: kg produced</t>
  </si>
  <si>
    <t>Cassava: no. local meas.</t>
  </si>
  <si>
    <t>Sweetpotatoes: no. local meas.</t>
  </si>
  <si>
    <t>Cabbage: no. local meas</t>
  </si>
  <si>
    <t xml:space="preserve">Potatoes: no. local meas </t>
  </si>
  <si>
    <t xml:space="preserve">Pumpkin / butternut </t>
  </si>
  <si>
    <t>Tomatoes</t>
  </si>
  <si>
    <t>Groundnuts (dry): no. local meas</t>
  </si>
  <si>
    <t>Cowpeas: kg produced</t>
  </si>
  <si>
    <t>Onions: kg produced</t>
  </si>
  <si>
    <t>FISHING -- see worksheet Data 3</t>
  </si>
  <si>
    <t>Labour: Land prep &amp; weeding, slaughtering</t>
  </si>
  <si>
    <t>Labour: Harvesting</t>
  </si>
  <si>
    <t>Gifts/remittances: Events(Funerals, weddings)</t>
  </si>
  <si>
    <t>Food aid</t>
  </si>
  <si>
    <t>Purchase - other</t>
  </si>
  <si>
    <t>Purchase - desirable</t>
  </si>
  <si>
    <t>Purchase - fpl non staple</t>
  </si>
  <si>
    <t>ZA2XX: 59200</t>
  </si>
  <si>
    <t>Open access mixed livestock and cropping</t>
  </si>
  <si>
    <t>Cows' milk sales - season 1</t>
  </si>
  <si>
    <t>Other:  hides</t>
  </si>
  <si>
    <t>Cattle sales - local: no. sold</t>
  </si>
  <si>
    <t>Sheep sales - local: no. sold</t>
  </si>
  <si>
    <t>Goat sales - local: no. sold</t>
  </si>
  <si>
    <t>Pig sales: no sold</t>
  </si>
  <si>
    <t>Chicken sales: no. sold</t>
  </si>
  <si>
    <t>Cowpeas, yams, amadumbe, chillies &amp; sugarcane</t>
  </si>
  <si>
    <t>Sweet potatoes &amp; potatoes</t>
  </si>
  <si>
    <t>Veg: spinach, carrots, beet root &amp; tomatoes</t>
  </si>
  <si>
    <t>Other crop: pumpkin</t>
  </si>
  <si>
    <t>WILD FOODS -- see worksheet Data 3</t>
  </si>
  <si>
    <t>Agricultural cash income -- see Data2</t>
  </si>
  <si>
    <t>Construction cash income -- see Data2</t>
  </si>
  <si>
    <t>Domestic work cash income -- see Data2</t>
  </si>
  <si>
    <t>Formal Employment (conservancies, etc.)</t>
  </si>
  <si>
    <t>Self-employment -- see Data2</t>
  </si>
  <si>
    <t>Small business -- see Data2</t>
  </si>
  <si>
    <t>Social development -- see Data2</t>
  </si>
  <si>
    <t>Public works -- see Data2</t>
  </si>
  <si>
    <t>Other income: e.g. Credit (cotton loans)</t>
  </si>
  <si>
    <t>Remittances: no. times per year</t>
  </si>
  <si>
    <t>mix</t>
  </si>
  <si>
    <t>Own crops consumed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</si>
</sst>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48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9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48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Normal" xfId="0" builtinId="0"/>
    <cellStyle name="Percent" xfId="6" builtinId="5"/>
    <cellStyle name="Total" xfId="7" builtinId="25" customBuiltin="1"/>
  </cellStyles>
  <dxfs count="508"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0.0319095591531756</c:v>
                </c:pt>
                <c:pt idx="1">
                  <c:v>0.00638191183063512</c:v>
                </c:pt>
                <c:pt idx="2" formatCode="0.0%">
                  <c:v>0.00638191183063512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0.0101895434975983</c:v>
                </c:pt>
                <c:pt idx="1">
                  <c:v>0.00203790869951966</c:v>
                </c:pt>
                <c:pt idx="2" formatCode="0.0%">
                  <c:v>0.00203790869951966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0.0180257608188045</c:v>
                </c:pt>
                <c:pt idx="1">
                  <c:v>0.0036051521637609</c:v>
                </c:pt>
                <c:pt idx="2" formatCode="0.0%">
                  <c:v>0.0036051521637609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0.0246428571428571</c:v>
                </c:pt>
                <c:pt idx="1">
                  <c:v>0.00492857142857143</c:v>
                </c:pt>
                <c:pt idx="2" formatCode="0.0%">
                  <c:v>0.00492857142857143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0.108630970890411</c:v>
                </c:pt>
                <c:pt idx="1">
                  <c:v>0.0325892912671233</c:v>
                </c:pt>
                <c:pt idx="2" formatCode="0.0%">
                  <c:v>0.0325892912671233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0.0438512454011742</c:v>
                </c:pt>
                <c:pt idx="1">
                  <c:v>0.00877024908023483</c:v>
                </c:pt>
                <c:pt idx="2" formatCode="0.0%">
                  <c:v>0.00877024908023483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0.00833539779398683</c:v>
                </c:pt>
                <c:pt idx="1">
                  <c:v>0.00166707955879737</c:v>
                </c:pt>
                <c:pt idx="2" formatCode="0.0%">
                  <c:v>0.00178816418341932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0.00271924908824053</c:v>
                </c:pt>
                <c:pt idx="1">
                  <c:v>0.000543849817648105</c:v>
                </c:pt>
                <c:pt idx="2" formatCode="0.0%">
                  <c:v>0.000593276965842377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0.00569823609677993</c:v>
                </c:pt>
                <c:pt idx="1">
                  <c:v>0.00113964721935599</c:v>
                </c:pt>
                <c:pt idx="2" formatCode="0.0%">
                  <c:v>0.00125835385518591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0.00840020187689023</c:v>
                </c:pt>
                <c:pt idx="1">
                  <c:v>0.00168004037537805</c:v>
                </c:pt>
                <c:pt idx="2" formatCode="0.0%">
                  <c:v>0.00168004037537805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Tomatoes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0.0043612474648639</c:v>
                </c:pt>
                <c:pt idx="1">
                  <c:v>0.000872249492972781</c:v>
                </c:pt>
                <c:pt idx="2" formatCode="0.0%">
                  <c:v>0.000884204661092332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0.0244789210104963</c:v>
                </c:pt>
                <c:pt idx="1">
                  <c:v>0.00489578420209927</c:v>
                </c:pt>
                <c:pt idx="2" formatCode="0.0%">
                  <c:v>0.0116447534691336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0.00770298701298701</c:v>
                </c:pt>
                <c:pt idx="1">
                  <c:v>0.0015405974025974</c:v>
                </c:pt>
                <c:pt idx="2" formatCode="0.0%">
                  <c:v>0.0015405974025974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0.00491300302437289</c:v>
                </c:pt>
                <c:pt idx="1">
                  <c:v>0.000982600604874577</c:v>
                </c:pt>
                <c:pt idx="2" formatCode="0.0%">
                  <c:v>0.00101299555239281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0.00673410069382672</c:v>
                </c:pt>
                <c:pt idx="1">
                  <c:v>0.00673410069382672</c:v>
                </c:pt>
                <c:pt idx="2" formatCode="0.0%">
                  <c:v>0.00576409891478385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  <c:pt idx="0">
                  <c:v>Labour: Land prep &amp; weeding, slaughtering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0.00811141291585127</c:v>
                </c:pt>
                <c:pt idx="1">
                  <c:v>0.00405570645792563</c:v>
                </c:pt>
                <c:pt idx="2" formatCode="0.0%">
                  <c:v>0.00405570645792563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  <c:pt idx="0">
                  <c:v>Labour: Harvesting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0.0135190215264188</c:v>
                </c:pt>
                <c:pt idx="1">
                  <c:v>0.00675951076320939</c:v>
                </c:pt>
                <c:pt idx="2" formatCode="0.0%">
                  <c:v>0.00675951076320939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0.000804305283757338</c:v>
                </c:pt>
                <c:pt idx="1">
                  <c:v>0.000804305283757338</c:v>
                </c:pt>
                <c:pt idx="2" formatCode="0.0%">
                  <c:v>0.000804305283757338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0.11228760910757</c:v>
                </c:pt>
                <c:pt idx="1">
                  <c:v>0.11228760910757</c:v>
                </c:pt>
                <c:pt idx="2" formatCode="0.0%">
                  <c:v>0.11228760910757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0.0260942740348692</c:v>
                </c:pt>
                <c:pt idx="1">
                  <c:v>0.0260942740348692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0.0180562732965664</c:v>
                </c:pt>
                <c:pt idx="1">
                  <c:v>0.0180562732965664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0.206217330668031</c:v>
                </c:pt>
                <c:pt idx="1">
                  <c:v>0.206217330668031</c:v>
                </c:pt>
                <c:pt idx="2" formatCode="0.0%">
                  <c:v>0.224684313288791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0.619409692981676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3592104"/>
        <c:axId val="-2064730008"/>
      </c:barChart>
      <c:catAx>
        <c:axId val="2103592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4730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4730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35921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0.00621287007045244</c:v>
                </c:pt>
                <c:pt idx="1">
                  <c:v>0.00146623733662677</c:v>
                </c:pt>
                <c:pt idx="2">
                  <c:v>0.0019429016465101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Other: 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0.00239972106471225</c:v>
                </c:pt>
                <c:pt idx="1">
                  <c:v>0.000566334171272092</c:v>
                </c:pt>
                <c:pt idx="2">
                  <c:v>0.000566334171272092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0.0916398335391734</c:v>
                </c:pt>
                <c:pt idx="1">
                  <c:v>0.0540675017881123</c:v>
                </c:pt>
                <c:pt idx="2">
                  <c:v>0.0448321307841229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0.00271813065582294</c:v>
                </c:pt>
                <c:pt idx="1">
                  <c:v>0.00160369708693553</c:v>
                </c:pt>
                <c:pt idx="2">
                  <c:v>0.00205056987745115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0.0218537704728164</c:v>
                </c:pt>
                <c:pt idx="1">
                  <c:v>0.0128937245789617</c:v>
                </c:pt>
                <c:pt idx="2">
                  <c:v>0.0118480422491552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0.00248514802818097</c:v>
                </c:pt>
                <c:pt idx="1">
                  <c:v>0.00146623733662677</c:v>
                </c:pt>
                <c:pt idx="2">
                  <c:v>0.00146623733662677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0.00103599608424794</c:v>
                </c:pt>
                <c:pt idx="1">
                  <c:v>0.00122247537941257</c:v>
                </c:pt>
                <c:pt idx="2">
                  <c:v>0.00122247537941257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0.0137024849403828</c:v>
                </c:pt>
                <c:pt idx="1">
                  <c:v>0.00575504367496079</c:v>
                </c:pt>
                <c:pt idx="2">
                  <c:v>0.00201318844709618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0.000775055541288941</c:v>
                </c:pt>
                <c:pt idx="1">
                  <c:v>0.000325523327341355</c:v>
                </c:pt>
                <c:pt idx="2">
                  <c:v>0.000113872255169009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0.00416262294720313</c:v>
                </c:pt>
                <c:pt idx="1">
                  <c:v>0.00116553442521688</c:v>
                </c:pt>
                <c:pt idx="2">
                  <c:v>0.00171339541697896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Cowpeas, yams, amadumbe, chillies &amp; sugarcane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0.000621287007045244</c:v>
                </c:pt>
                <c:pt idx="1">
                  <c:v>0.000173960361972668</c:v>
                </c:pt>
                <c:pt idx="2">
                  <c:v>0.000173960361972668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0.000947462685743996</c:v>
                </c:pt>
                <c:pt idx="1">
                  <c:v>0.000265289552008319</c:v>
                </c:pt>
                <c:pt idx="2">
                  <c:v>0.000135216748802869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Sweet potatoes &amp;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0.0122735248241788</c:v>
                </c:pt>
                <c:pt idx="1">
                  <c:v>0.00343658695077006</c:v>
                </c:pt>
                <c:pt idx="2">
                  <c:v>0.00120216240527122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Veg: spinach, carrots, beet root &amp; tomatoes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0.0021915899173521</c:v>
                </c:pt>
                <c:pt idx="1">
                  <c:v>0.000613645176858587</c:v>
                </c:pt>
                <c:pt idx="2">
                  <c:v>0.000443136697874051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0.00235312453918386</c:v>
                </c:pt>
                <c:pt idx="1">
                  <c:v>0.000658874870971481</c:v>
                </c:pt>
                <c:pt idx="2">
                  <c:v>0.000230482921283965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0.00142896011620406</c:v>
                </c:pt>
                <c:pt idx="1">
                  <c:v>0.000400108832537137</c:v>
                </c:pt>
                <c:pt idx="2">
                  <c:v>0.000378053009384908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0.00310643503522622</c:v>
                </c:pt>
                <c:pt idx="1">
                  <c:v>0.000869801809863341</c:v>
                </c:pt>
                <c:pt idx="2">
                  <c:v>0.000304267882883122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0.00385508587871574</c:v>
                </c:pt>
                <c:pt idx="1">
                  <c:v>0.00213957266268723</c:v>
                </c:pt>
                <c:pt idx="2">
                  <c:v>0.00213957266268723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0.00372772204227146</c:v>
                </c:pt>
                <c:pt idx="1">
                  <c:v>0.00206888573346066</c:v>
                </c:pt>
                <c:pt idx="2">
                  <c:v>0.00206888573346066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0.0419368729755539</c:v>
                </c:pt>
                <c:pt idx="1">
                  <c:v>0.0232749645014324</c:v>
                </c:pt>
                <c:pt idx="2">
                  <c:v>0.0232749645014324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0.338290775336135</c:v>
                </c:pt>
                <c:pt idx="1">
                  <c:v>0.239509868937984</c:v>
                </c:pt>
                <c:pt idx="2">
                  <c:v>0.239509868937984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0.0853477493753227</c:v>
                </c:pt>
                <c:pt idx="1">
                  <c:v>0.0682781995002582</c:v>
                </c:pt>
                <c:pt idx="2">
                  <c:v>0.0771569205727256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0.126556163335116</c:v>
                </c:pt>
                <c:pt idx="1">
                  <c:v>0.11946901818835</c:v>
                </c:pt>
                <c:pt idx="2">
                  <c:v>0.11946901818835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0.151457078300229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0.0344985142837048</c:v>
                </c:pt>
                <c:pt idx="1">
                  <c:v>0.0407082468547716</c:v>
                </c:pt>
                <c:pt idx="2">
                  <c:v>0.0407082468547716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0.00248514802818097</c:v>
                </c:pt>
                <c:pt idx="1">
                  <c:v>0.00248514802818097</c:v>
                </c:pt>
                <c:pt idx="2">
                  <c:v>0.00248514802818097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0.0419368729755539</c:v>
                </c:pt>
                <c:pt idx="1">
                  <c:v>0.0465499290028649</c:v>
                </c:pt>
                <c:pt idx="2">
                  <c:v>0.0465499290028649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4490728"/>
        <c:axId val="-2034583768"/>
      </c:barChart>
      <c:catAx>
        <c:axId val="-2034490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4583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4583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44907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0.00687635621082474</c:v>
                </c:pt>
                <c:pt idx="1">
                  <c:v>0.00162282006575464</c:v>
                </c:pt>
                <c:pt idx="2">
                  <c:v>0.00164674033914945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Other: 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4.46963153703608E-5</c:v>
                </c:pt>
                <c:pt idx="1">
                  <c:v>1.05483304274052E-5</c:v>
                </c:pt>
                <c:pt idx="2">
                  <c:v>1.05483304274052E-5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0.084751090298415</c:v>
                </c:pt>
                <c:pt idx="1">
                  <c:v>0.0500031432760648</c:v>
                </c:pt>
                <c:pt idx="2">
                  <c:v>0.0501376948139106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0.00787342786139433</c:v>
                </c:pt>
                <c:pt idx="1">
                  <c:v>0.00464532243822266</c:v>
                </c:pt>
                <c:pt idx="2">
                  <c:v>0.00469017295083792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0.0134742199951111</c:v>
                </c:pt>
                <c:pt idx="1">
                  <c:v>0.00794978979711554</c:v>
                </c:pt>
                <c:pt idx="2">
                  <c:v>0.00802360377409968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0.000412581372649484</c:v>
                </c:pt>
                <c:pt idx="1">
                  <c:v>0.000243423009863196</c:v>
                </c:pt>
                <c:pt idx="2">
                  <c:v>0.000243423009863196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0.00139796321766067</c:v>
                </c:pt>
                <c:pt idx="1">
                  <c:v>0.00164959659683959</c:v>
                </c:pt>
                <c:pt idx="2">
                  <c:v>0.00164959659683959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0.030025437485661</c:v>
                </c:pt>
                <c:pt idx="1">
                  <c:v>0.0126106837439776</c:v>
                </c:pt>
                <c:pt idx="2">
                  <c:v>0.0119910812605868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6.8075926487165E-5</c:v>
                </c:pt>
                <c:pt idx="1">
                  <c:v>2.85918891246093E-5</c:v>
                </c:pt>
                <c:pt idx="2">
                  <c:v>2.71870798481177E-5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0.00857481619489845</c:v>
                </c:pt>
                <c:pt idx="1">
                  <c:v>0.00240094853457157</c:v>
                </c:pt>
                <c:pt idx="2">
                  <c:v>0.00241400332784805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Cowpeas, yams, amadumbe, chillies &amp; sugarcane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0.00923494639113763</c:v>
                </c:pt>
                <c:pt idx="1">
                  <c:v>0.00258578498951854</c:v>
                </c:pt>
                <c:pt idx="2">
                  <c:v>0.00258474439005447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0.00955951040428856</c:v>
                </c:pt>
                <c:pt idx="1">
                  <c:v>0.0026766629132008</c:v>
                </c:pt>
                <c:pt idx="2">
                  <c:v>0.00254940705874043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Sweet potatoes &amp;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0.0110606189651116</c:v>
                </c:pt>
                <c:pt idx="1">
                  <c:v>0.00309697331023125</c:v>
                </c:pt>
                <c:pt idx="2">
                  <c:v>0.00294480928859915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Veg: spinach, carrots, beet root &amp; tomatoes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0.0107133629764649</c:v>
                </c:pt>
                <c:pt idx="1">
                  <c:v>0.00299974163341019</c:v>
                </c:pt>
                <c:pt idx="2">
                  <c:v>0.00298643142026525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0.00228638844009923</c:v>
                </c:pt>
                <c:pt idx="1">
                  <c:v>0.000640188763227783</c:v>
                </c:pt>
                <c:pt idx="2">
                  <c:v>0.000608734279427551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0.000687635621082474</c:v>
                </c:pt>
                <c:pt idx="1">
                  <c:v>0.000192537973903093</c:v>
                </c:pt>
                <c:pt idx="2">
                  <c:v>0.000199396470370813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0.000990195294358763</c:v>
                </c:pt>
                <c:pt idx="1">
                  <c:v>0.000277254682420454</c:v>
                </c:pt>
                <c:pt idx="2">
                  <c:v>0.000263632289436293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0.543589711178118</c:v>
                </c:pt>
                <c:pt idx="1">
                  <c:v>0.384861515514107</c:v>
                </c:pt>
                <c:pt idx="2">
                  <c:v>0.384861515514107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0.00412581372649484</c:v>
                </c:pt>
                <c:pt idx="1">
                  <c:v>0.00330065098119588</c:v>
                </c:pt>
                <c:pt idx="2">
                  <c:v>0.00333308525020578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0.177962849278629</c:v>
                </c:pt>
                <c:pt idx="1">
                  <c:v>0.167996929719025</c:v>
                </c:pt>
                <c:pt idx="2">
                  <c:v>0.167996929719025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0.0418397582295113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0.0053635578444433</c:v>
                </c:pt>
                <c:pt idx="1">
                  <c:v>0.00632899825644309</c:v>
                </c:pt>
                <c:pt idx="2">
                  <c:v>0.00632899825644309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0.0290869867717887</c:v>
                </c:pt>
                <c:pt idx="1">
                  <c:v>0.0322865553166854</c:v>
                </c:pt>
                <c:pt idx="2">
                  <c:v>0.0322865553166854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6387320"/>
        <c:axId val="-2016061256"/>
      </c:barChart>
      <c:catAx>
        <c:axId val="-2016387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061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6061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3873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Other: 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0.00626645156073549</c:v>
                </c:pt>
                <c:pt idx="1">
                  <c:v>0.00369720642083394</c:v>
                </c:pt>
                <c:pt idx="2">
                  <c:v>0.00369720642083394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0.00222214594352322</c:v>
                </c:pt>
                <c:pt idx="1">
                  <c:v>0.0013110661066787</c:v>
                </c:pt>
                <c:pt idx="2">
                  <c:v>0.0013110661066787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0.00211103864634706</c:v>
                </c:pt>
                <c:pt idx="1">
                  <c:v>0.00249102560268953</c:v>
                </c:pt>
                <c:pt idx="2">
                  <c:v>0.00249102560268953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Cowpeas, yams, amadumbe, chillies &amp; sugarcane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0.000266657513222787</c:v>
                </c:pt>
                <c:pt idx="1">
                  <c:v>7.46641037023803E-5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Sweet potatoes &amp;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0.00129328893913052</c:v>
                </c:pt>
                <c:pt idx="1">
                  <c:v>0.000362120902956544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Veg: spinach, carrots, beet root &amp; tomatoes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0.000844415458538825</c:v>
                </c:pt>
                <c:pt idx="1">
                  <c:v>0.000236436328390871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0.00311100432093251</c:v>
                </c:pt>
                <c:pt idx="1">
                  <c:v>0.000871081209861103</c:v>
                </c:pt>
                <c:pt idx="2">
                  <c:v>0.000298656414809521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0.00582202237203084</c:v>
                </c:pt>
                <c:pt idx="1">
                  <c:v>0.00686998639899639</c:v>
                </c:pt>
                <c:pt idx="2">
                  <c:v>0.0169127527761552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0.0497094047566145</c:v>
                </c:pt>
                <c:pt idx="1">
                  <c:v>0.027588719639921</c:v>
                </c:pt>
                <c:pt idx="2">
                  <c:v>0.027588719639921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0.0298656414809521</c:v>
                </c:pt>
                <c:pt idx="1">
                  <c:v>0.0165754310219284</c:v>
                </c:pt>
                <c:pt idx="2">
                  <c:v>0.0165754310219284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0.0731530444607845</c:v>
                </c:pt>
                <c:pt idx="1">
                  <c:v>0.0405999396757354</c:v>
                </c:pt>
                <c:pt idx="2">
                  <c:v>0.0405999396757354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0.06506443322636</c:v>
                </c:pt>
                <c:pt idx="1">
                  <c:v>0.052051546581088</c:v>
                </c:pt>
                <c:pt idx="2">
                  <c:v>0.0624618558973056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0.0159994507933672</c:v>
                </c:pt>
                <c:pt idx="1">
                  <c:v>0.0151034815489386</c:v>
                </c:pt>
                <c:pt idx="2">
                  <c:v>0.0151034815489386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0.610364485970751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0.0901302394693019</c:v>
                </c:pt>
                <c:pt idx="1">
                  <c:v>0.106353682573776</c:v>
                </c:pt>
                <c:pt idx="2">
                  <c:v>0.106353682573776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0.0019999313491709</c:v>
                </c:pt>
                <c:pt idx="1">
                  <c:v>0.0019999313491709</c:v>
                </c:pt>
                <c:pt idx="2">
                  <c:v>0.0019999313491709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0.0417763437382366</c:v>
                </c:pt>
                <c:pt idx="1">
                  <c:v>0.0463717415494426</c:v>
                </c:pt>
                <c:pt idx="2">
                  <c:v>0.0463717415494426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4679528"/>
        <c:axId val="-2034703640"/>
      </c:barChart>
      <c:catAx>
        <c:axId val="-2034679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4703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4703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46795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ZA2XX - Affected Area without Grants</a:t>
            </a:r>
          </a:p>
        </c:rich>
      </c:tx>
      <c:layout>
        <c:manualLayout>
          <c:xMode val="edge"/>
          <c:yMode val="edge"/>
          <c:x val="0.323626263038364"/>
          <c:y val="0.0301363549068562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3341.474724058787</c:v>
                </c:pt>
                <c:pt idx="1">
                  <c:v>4523.106864334876</c:v>
                </c:pt>
                <c:pt idx="2">
                  <c:v>5835.000135877054</c:v>
                </c:pt>
                <c:pt idx="3">
                  <c:v>8224.183980277661</c:v>
                </c:pt>
                <c:pt idx="4">
                  <c:v>891.7665457100371</c:v>
                </c:pt>
                <c:pt idx="5">
                  <c:v>1365.68055548318</c:v>
                </c:pt>
                <c:pt idx="6">
                  <c:v>1891.062636132302</c:v>
                </c:pt>
                <c:pt idx="7">
                  <c:v>2366.955893871144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302.9595429771813</c:v>
                </c:pt>
                <c:pt idx="1">
                  <c:v>836.9226859077534</c:v>
                </c:pt>
                <c:pt idx="2">
                  <c:v>6532.54988761192</c:v>
                </c:pt>
                <c:pt idx="3">
                  <c:v>29538.12822093576</c:v>
                </c:pt>
                <c:pt idx="4">
                  <c:v>10.97142857142858</c:v>
                </c:pt>
                <c:pt idx="5">
                  <c:v>5.799999999999995</c:v>
                </c:pt>
                <c:pt idx="6">
                  <c:v>705.0787046654647</c:v>
                </c:pt>
                <c:pt idx="7">
                  <c:v>6308.378271347373</c:v>
                </c:pt>
              </c:numCache>
            </c:numRef>
          </c:val>
        </c:ser>
        <c:ser>
          <c:idx val="5"/>
          <c:order val="3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446.7370690236444</c:v>
                </c:pt>
                <c:pt idx="1">
                  <c:v>1115.768949746156</c:v>
                </c:pt>
                <c:pt idx="2">
                  <c:v>2349.890494583357</c:v>
                </c:pt>
                <c:pt idx="3">
                  <c:v>3569.963961926068</c:v>
                </c:pt>
                <c:pt idx="4">
                  <c:v>98.59320439189718</c:v>
                </c:pt>
                <c:pt idx="5">
                  <c:v>246.246044360901</c:v>
                </c:pt>
                <c:pt idx="6">
                  <c:v>512.2650118918507</c:v>
                </c:pt>
                <c:pt idx="7">
                  <c:v>786.9784168610478</c:v>
                </c:pt>
              </c:numCache>
            </c:numRef>
          </c:val>
        </c:ser>
        <c:ser>
          <c:idx val="16"/>
          <c:order val="9"/>
          <c:tx>
            <c:strRef>
              <c:f>Income!$A$75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FFF00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Income!$B$75:$I$75</c:f>
              <c:numCache>
                <c:formatCode>#,##0</c:formatCode>
                <c:ptCount val="8"/>
                <c:pt idx="0">
                  <c:v>0.0</c:v>
                </c:pt>
                <c:pt idx="1">
                  <c:v>2.136096697059095</c:v>
                </c:pt>
                <c:pt idx="2">
                  <c:v>1353.674992593449</c:v>
                </c:pt>
                <c:pt idx="3">
                  <c:v>2457.121514959976</c:v>
                </c:pt>
                <c:pt idx="4">
                  <c:v>0.0</c:v>
                </c:pt>
                <c:pt idx="5">
                  <c:v>0.337142857142857</c:v>
                </c:pt>
                <c:pt idx="6">
                  <c:v>263.7564599150165</c:v>
                </c:pt>
                <c:pt idx="7">
                  <c:v>393.4900020824807</c:v>
                </c:pt>
              </c:numCache>
            </c:numRef>
          </c:val>
        </c:ser>
        <c:ser>
          <c:idx val="7"/>
          <c:order val="10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582.2389282841074</c:v>
                </c:pt>
                <c:pt idx="1">
                  <c:v>4582.247829696317</c:v>
                </c:pt>
                <c:pt idx="2">
                  <c:v>18818.88983842222</c:v>
                </c:pt>
                <c:pt idx="3">
                  <c:v>38310.10085441024</c:v>
                </c:pt>
                <c:pt idx="4">
                  <c:v>275.4938775510204</c:v>
                </c:pt>
                <c:pt idx="5">
                  <c:v>1735.569285714286</c:v>
                </c:pt>
                <c:pt idx="6">
                  <c:v>6456.060475153825</c:v>
                </c:pt>
                <c:pt idx="7">
                  <c:v>15372.28270690874</c:v>
                </c:pt>
              </c:numCache>
            </c:numRef>
          </c:val>
        </c:ser>
        <c:ser>
          <c:idx val="8"/>
          <c:order val="11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333.7110872293431</c:v>
                </c:pt>
                <c:pt idx="1">
                  <c:v>261.678463382795</c:v>
                </c:pt>
                <c:pt idx="2">
                  <c:v>39.39432454477468</c:v>
                </c:pt>
                <c:pt idx="3">
                  <c:v>31.03376281352773</c:v>
                </c:pt>
                <c:pt idx="4">
                  <c:v>645.1176202432353</c:v>
                </c:pt>
                <c:pt idx="5">
                  <c:v>379.3222864426438</c:v>
                </c:pt>
                <c:pt idx="6">
                  <c:v>50.53695734921286</c:v>
                </c:pt>
                <c:pt idx="7">
                  <c:v>34.66582162286238</c:v>
                </c:pt>
              </c:numCache>
            </c:numRef>
          </c:val>
        </c:ser>
        <c:ser>
          <c:idx val="12"/>
          <c:order val="12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8702.96675659552</c:v>
                </c:pt>
                <c:pt idx="1">
                  <c:v>10014.69700870098</c:v>
                </c:pt>
                <c:pt idx="2">
                  <c:v>8485.666996271322</c:v>
                </c:pt>
                <c:pt idx="3">
                  <c:v>0.0</c:v>
                </c:pt>
                <c:pt idx="4">
                  <c:v>3286.91542658128</c:v>
                </c:pt>
                <c:pt idx="5">
                  <c:v>3789.647092962814</c:v>
                </c:pt>
                <c:pt idx="6">
                  <c:v>3190.847902295572</c:v>
                </c:pt>
                <c:pt idx="7">
                  <c:v>0.0</c:v>
                </c:pt>
              </c:numCache>
            </c:numRef>
          </c:val>
        </c:ser>
        <c:ser>
          <c:idx val="4"/>
          <c:order val="13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53170.49835651094</c:v>
                </c:pt>
                <c:pt idx="3">
                  <c:v>192985.9612524749</c:v>
                </c:pt>
                <c:pt idx="4">
                  <c:v>0.0</c:v>
                </c:pt>
                <c:pt idx="5">
                  <c:v>0.0</c:v>
                </c:pt>
                <c:pt idx="6">
                  <c:v>25175.90204081632</c:v>
                </c:pt>
                <c:pt idx="7">
                  <c:v>91377.6587755102</c:v>
                </c:pt>
              </c:numCache>
            </c:numRef>
          </c:val>
        </c:ser>
        <c:ser>
          <c:idx val="0"/>
          <c:order val="14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4950.861830440965</c:v>
                </c:pt>
                <c:pt idx="1">
                  <c:v>2952.299245005375</c:v>
                </c:pt>
                <c:pt idx="2">
                  <c:v>5422.267855814805</c:v>
                </c:pt>
                <c:pt idx="3">
                  <c:v>1904.177627092678</c:v>
                </c:pt>
                <c:pt idx="4">
                  <c:v>3907.004081632654</c:v>
                </c:pt>
                <c:pt idx="5">
                  <c:v>2329.825714285714</c:v>
                </c:pt>
                <c:pt idx="6">
                  <c:v>4279.017142857143</c:v>
                </c:pt>
                <c:pt idx="7">
                  <c:v>1502.69387755102</c:v>
                </c:pt>
              </c:numCache>
            </c:numRef>
          </c:val>
        </c:ser>
        <c:ser>
          <c:idx val="6"/>
          <c:order val="15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3573.994930850873</c:v>
                </c:pt>
                <c:pt idx="1">
                  <c:v>2516.321909135614</c:v>
                </c:pt>
                <c:pt idx="2">
                  <c:v>13414.44313219431</c:v>
                </c:pt>
                <c:pt idx="3">
                  <c:v>1464.752020840522</c:v>
                </c:pt>
                <c:pt idx="4">
                  <c:v>2294.595918367347</c:v>
                </c:pt>
                <c:pt idx="5">
                  <c:v>1615.542857142857</c:v>
                </c:pt>
                <c:pt idx="6">
                  <c:v>8110.292418108903</c:v>
                </c:pt>
                <c:pt idx="7">
                  <c:v>791.3743369641384</c:v>
                </c:pt>
              </c:numCache>
            </c:numRef>
          </c:val>
        </c:ser>
        <c:ser>
          <c:idx val="3"/>
          <c:order val="16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878.8512125043133</c:v>
                </c:pt>
                <c:pt idx="1">
                  <c:v>2999.07976267097</c:v>
                </c:pt>
                <c:pt idx="2">
                  <c:v>19891.33244301429</c:v>
                </c:pt>
                <c:pt idx="3">
                  <c:v>63180.61366693507</c:v>
                </c:pt>
                <c:pt idx="4">
                  <c:v>554.8408163265307</c:v>
                </c:pt>
                <c:pt idx="5">
                  <c:v>1893.394285714286</c:v>
                </c:pt>
                <c:pt idx="6">
                  <c:v>12557.89714285714</c:v>
                </c:pt>
                <c:pt idx="7">
                  <c:v>39887.50628571428</c:v>
                </c:pt>
              </c:numCache>
            </c:numRef>
          </c:val>
        </c:ser>
        <c:ser>
          <c:idx val="9"/>
          <c:order val="17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2064.52118346463</c:v>
                </c:pt>
                <c:pt idx="1">
                  <c:v>2083.780660006859</c:v>
                </c:pt>
                <c:pt idx="2">
                  <c:v>1750.351186821218</c:v>
                </c:pt>
                <c:pt idx="3">
                  <c:v>995.9067428164226</c:v>
                </c:pt>
                <c:pt idx="4">
                  <c:v>2278.160613105028</c:v>
                </c:pt>
                <c:pt idx="5">
                  <c:v>2299.413086191253</c:v>
                </c:pt>
                <c:pt idx="6">
                  <c:v>1931.479882529408</c:v>
                </c:pt>
                <c:pt idx="7">
                  <c:v>1098.964512440888</c:v>
                </c:pt>
              </c:numCache>
            </c:numRef>
          </c:val>
        </c:ser>
        <c:ser>
          <c:idx val="17"/>
          <c:order val="18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14.9259193276552</c:v>
                </c:pt>
                <c:pt idx="1">
                  <c:v>14.9259193276552</c:v>
                </c:pt>
                <c:pt idx="2">
                  <c:v>46.91034699081722</c:v>
                </c:pt>
                <c:pt idx="3">
                  <c:v>141.7734931278032</c:v>
                </c:pt>
                <c:pt idx="4">
                  <c:v>16.47047354078637</c:v>
                </c:pt>
                <c:pt idx="5">
                  <c:v>16.47047354078637</c:v>
                </c:pt>
                <c:pt idx="6">
                  <c:v>51.76469280989611</c:v>
                </c:pt>
                <c:pt idx="7">
                  <c:v>156.4444049365749</c:v>
                </c:pt>
              </c:numCache>
            </c:numRef>
          </c:val>
        </c:ser>
        <c:ser>
          <c:idx val="10"/>
          <c:order val="19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33527.37387631745</c:v>
                </c:pt>
                <c:pt idx="1">
                  <c:v>33512.7018308924</c:v>
                </c:pt>
                <c:pt idx="2">
                  <c:v>23805.10767650275</c:v>
                </c:pt>
                <c:pt idx="3">
                  <c:v>14854.00807714631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20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2294.778165983484</c:v>
                </c:pt>
                <c:pt idx="1">
                  <c:v>3994.500823500508</c:v>
                </c:pt>
                <c:pt idx="2">
                  <c:v>6591.384093782348</c:v>
                </c:pt>
                <c:pt idx="3">
                  <c:v>10326.50174692568</c:v>
                </c:pt>
                <c:pt idx="4">
                  <c:v>1703.510204081633</c:v>
                </c:pt>
                <c:pt idx="5">
                  <c:v>2965.285714285715</c:v>
                </c:pt>
                <c:pt idx="6">
                  <c:v>4893.061224489795</c:v>
                </c:pt>
                <c:pt idx="7">
                  <c:v>7665.795918367347</c:v>
                </c:pt>
              </c:numCache>
            </c:numRef>
          </c:val>
        </c:ser>
        <c:ser>
          <c:idx val="14"/>
          <c:order val="21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109.8564015630392</c:v>
                </c:pt>
                <c:pt idx="1">
                  <c:v>0.0</c:v>
                </c:pt>
                <c:pt idx="2">
                  <c:v>390.6005388908058</c:v>
                </c:pt>
                <c:pt idx="3">
                  <c:v>0.0</c:v>
                </c:pt>
                <c:pt idx="4">
                  <c:v>73.46938775510204</c:v>
                </c:pt>
                <c:pt idx="5">
                  <c:v>0.0</c:v>
                </c:pt>
                <c:pt idx="6">
                  <c:v>261.2244897959184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7999480"/>
        <c:axId val="-2038106840"/>
      </c:barChart>
      <c:lineChart>
        <c:grouping val="standard"/>
        <c:varyColors val="0"/>
        <c:ser>
          <c:idx val="13"/>
          <c:order val="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37756.62117311318</c:v>
                </c:pt>
                <c:pt idx="1">
                  <c:v>37756.62117311317</c:v>
                </c:pt>
                <c:pt idx="2">
                  <c:v>37756.62117311318</c:v>
                </c:pt>
                <c:pt idx="3">
                  <c:v>37756.62117311318</c:v>
                </c:pt>
              </c:numCache>
            </c:numRef>
          </c:val>
          <c:smooth val="0"/>
        </c:ser>
        <c:ser>
          <c:idx val="15"/>
          <c:order val="4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37756.62117311318</c:v>
                </c:pt>
                <c:pt idx="5" formatCode="#,##0">
                  <c:v>37756.62117311317</c:v>
                </c:pt>
                <c:pt idx="6" formatCode="#,##0">
                  <c:v>37756.62117311318</c:v>
                </c:pt>
                <c:pt idx="7" formatCode="#,##0">
                  <c:v>37756.62117311318</c:v>
                </c:pt>
              </c:numCache>
            </c:numRef>
          </c:val>
          <c:smooth val="0"/>
        </c:ser>
        <c:ser>
          <c:idx val="18"/>
          <c:order val="5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56196.216275154</c:v>
                </c:pt>
                <c:pt idx="1">
                  <c:v>56196.21627515402</c:v>
                </c:pt>
                <c:pt idx="2">
                  <c:v>56196.216275154</c:v>
                </c:pt>
                <c:pt idx="3">
                  <c:v>56196.216275154</c:v>
                </c:pt>
              </c:numCache>
            </c:numRef>
          </c:val>
          <c:smooth val="0"/>
        </c:ser>
        <c:ser>
          <c:idx val="19"/>
          <c:order val="6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56196.216275154</c:v>
                </c:pt>
                <c:pt idx="5" formatCode="#,##0">
                  <c:v>56196.21627515402</c:v>
                </c:pt>
                <c:pt idx="6" formatCode="#,##0">
                  <c:v>56196.216275154</c:v>
                </c:pt>
                <c:pt idx="7" formatCode="#,##0">
                  <c:v>56196.216275154</c:v>
                </c:pt>
              </c:numCache>
            </c:numRef>
          </c:val>
          <c:smooth val="0"/>
        </c:ser>
        <c:ser>
          <c:idx val="20"/>
          <c:order val="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90270.37790780703</c:v>
                </c:pt>
                <c:pt idx="1">
                  <c:v>90270.37790780702</c:v>
                </c:pt>
                <c:pt idx="2">
                  <c:v>90270.37790780703</c:v>
                </c:pt>
                <c:pt idx="3">
                  <c:v>90270.37790780703</c:v>
                </c:pt>
              </c:numCache>
            </c:numRef>
          </c:val>
          <c:smooth val="0"/>
        </c:ser>
        <c:ser>
          <c:idx val="21"/>
          <c:order val="8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90270.37790780703</c:v>
                </c:pt>
                <c:pt idx="5" formatCode="#,##0">
                  <c:v>90270.37790780702</c:v>
                </c:pt>
                <c:pt idx="6" formatCode="#,##0">
                  <c:v>90270.37790780703</c:v>
                </c:pt>
                <c:pt idx="7" formatCode="#,##0">
                  <c:v>90270.37790780703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7999480"/>
        <c:axId val="-2038106840"/>
      </c:lineChart>
      <c:catAx>
        <c:axId val="-2037999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8106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8106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79994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7"/>
        <c:delete val="1"/>
      </c:legendEntry>
      <c:legendEntry>
        <c:idx val="19"/>
        <c:delete val="1"/>
      </c:legendEntry>
      <c:legendEntry>
        <c:idx val="21"/>
        <c:delete val="1"/>
      </c:legendEntry>
      <c:layout>
        <c:manualLayout>
          <c:xMode val="edge"/>
          <c:yMode val="edge"/>
          <c:x val="0.0889954170236492"/>
          <c:y val="0.792363271664213"/>
          <c:w val="0.889466226048169"/>
          <c:h val="0.1967490344194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ZALRC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3341.474724058787</c:v>
                </c:pt>
                <c:pt idx="1">
                  <c:v>4523.106864334876</c:v>
                </c:pt>
                <c:pt idx="2">
                  <c:v>5835.000135877054</c:v>
                </c:pt>
                <c:pt idx="3">
                  <c:v>8224.183980277661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302.9595429771813</c:v>
                </c:pt>
                <c:pt idx="1">
                  <c:v>836.9226859077534</c:v>
                </c:pt>
                <c:pt idx="2">
                  <c:v>6532.54988761192</c:v>
                </c:pt>
                <c:pt idx="3">
                  <c:v>29538.12822093576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446.7370690236444</c:v>
                </c:pt>
                <c:pt idx="1">
                  <c:v>1115.768949746156</c:v>
                </c:pt>
                <c:pt idx="2">
                  <c:v>2349.890494583357</c:v>
                </c:pt>
                <c:pt idx="3">
                  <c:v>3569.963961926068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582.2389282841074</c:v>
                </c:pt>
                <c:pt idx="1">
                  <c:v>4582.247829696317</c:v>
                </c:pt>
                <c:pt idx="2">
                  <c:v>18818.88983842222</c:v>
                </c:pt>
                <c:pt idx="3">
                  <c:v>38310.10085441024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333.7110872293431</c:v>
                </c:pt>
                <c:pt idx="1">
                  <c:v>261.678463382795</c:v>
                </c:pt>
                <c:pt idx="2">
                  <c:v>39.39432454477468</c:v>
                </c:pt>
                <c:pt idx="3">
                  <c:v>31.03376281352773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8702.96675659552</c:v>
                </c:pt>
                <c:pt idx="1">
                  <c:v>10014.69700870098</c:v>
                </c:pt>
                <c:pt idx="2">
                  <c:v>8485.666996271322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53170.49835651094</c:v>
                </c:pt>
                <c:pt idx="3">
                  <c:v>192985.9612524749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4950.861830440965</c:v>
                </c:pt>
                <c:pt idx="1">
                  <c:v>2952.299245005375</c:v>
                </c:pt>
                <c:pt idx="2">
                  <c:v>5422.267855814805</c:v>
                </c:pt>
                <c:pt idx="3">
                  <c:v>1904.177627092678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3573.994930850873</c:v>
                </c:pt>
                <c:pt idx="1">
                  <c:v>2516.321909135614</c:v>
                </c:pt>
                <c:pt idx="2">
                  <c:v>13414.44313219431</c:v>
                </c:pt>
                <c:pt idx="3">
                  <c:v>1464.752020840522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878.8512125043133</c:v>
                </c:pt>
                <c:pt idx="1">
                  <c:v>2999.07976267097</c:v>
                </c:pt>
                <c:pt idx="2">
                  <c:v>19891.33244301429</c:v>
                </c:pt>
                <c:pt idx="3">
                  <c:v>63180.61366693507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2064.52118346463</c:v>
                </c:pt>
                <c:pt idx="1">
                  <c:v>2083.780660006859</c:v>
                </c:pt>
                <c:pt idx="2">
                  <c:v>1750.351186821218</c:v>
                </c:pt>
                <c:pt idx="3">
                  <c:v>995.9067428164226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14.9259193276552</c:v>
                </c:pt>
                <c:pt idx="1">
                  <c:v>14.9259193276552</c:v>
                </c:pt>
                <c:pt idx="2">
                  <c:v>46.91034699081722</c:v>
                </c:pt>
                <c:pt idx="3">
                  <c:v>141.7734931278032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33527.37387631745</c:v>
                </c:pt>
                <c:pt idx="1">
                  <c:v>33512.7018308924</c:v>
                </c:pt>
                <c:pt idx="2">
                  <c:v>23805.10767650275</c:v>
                </c:pt>
                <c:pt idx="3">
                  <c:v>14854.00807714631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2294.778165983484</c:v>
                </c:pt>
                <c:pt idx="1">
                  <c:v>3994.500823500508</c:v>
                </c:pt>
                <c:pt idx="2">
                  <c:v>6591.384093782348</c:v>
                </c:pt>
                <c:pt idx="3">
                  <c:v>10326.50174692568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109.8564015630392</c:v>
                </c:pt>
                <c:pt idx="1">
                  <c:v>0.0</c:v>
                </c:pt>
                <c:pt idx="2">
                  <c:v>390.6005388908058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7446488"/>
        <c:axId val="-2037443192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37756.62117311318</c:v>
                </c:pt>
                <c:pt idx="1">
                  <c:v>37756.62117311317</c:v>
                </c:pt>
                <c:pt idx="2">
                  <c:v>37756.62117311318</c:v>
                </c:pt>
                <c:pt idx="3">
                  <c:v>37756.62117311318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56196.216275154</c:v>
                </c:pt>
                <c:pt idx="1">
                  <c:v>56196.21627515402</c:v>
                </c:pt>
                <c:pt idx="2">
                  <c:v>56196.216275154</c:v>
                </c:pt>
                <c:pt idx="3">
                  <c:v>56196.216275154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90270.37790780703</c:v>
                </c:pt>
                <c:pt idx="1">
                  <c:v>90270.37790780702</c:v>
                </c:pt>
                <c:pt idx="2">
                  <c:v>90270.37790780703</c:v>
                </c:pt>
                <c:pt idx="3">
                  <c:v>90270.37790780703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7446488"/>
        <c:axId val="-2037443192"/>
      </c:lineChart>
      <c:catAx>
        <c:axId val="-2037446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7443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7443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74464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3341.474724058787</c:v>
                </c:pt>
                <c:pt idx="1">
                  <c:v>3341.474724058787</c:v>
                </c:pt>
                <c:pt idx="2">
                  <c:v>3341.474724058787</c:v>
                </c:pt>
                <c:pt idx="3">
                  <c:v>3341.474724058787</c:v>
                </c:pt>
                <c:pt idx="4">
                  <c:v>3341.474724058787</c:v>
                </c:pt>
                <c:pt idx="5">
                  <c:v>3341.474724058787</c:v>
                </c:pt>
                <c:pt idx="6">
                  <c:v>3341.474724058787</c:v>
                </c:pt>
                <c:pt idx="7">
                  <c:v>3341.474724058787</c:v>
                </c:pt>
                <c:pt idx="8">
                  <c:v>3341.474724058787</c:v>
                </c:pt>
                <c:pt idx="9">
                  <c:v>3341.474724058787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302.9595429771813</c:v>
                </c:pt>
                <c:pt idx="1">
                  <c:v>302.9595429771813</c:v>
                </c:pt>
                <c:pt idx="2">
                  <c:v>302.9595429771813</c:v>
                </c:pt>
                <c:pt idx="3">
                  <c:v>302.9595429771813</c:v>
                </c:pt>
                <c:pt idx="4">
                  <c:v>302.9595429771813</c:v>
                </c:pt>
                <c:pt idx="5">
                  <c:v>302.9595429771813</c:v>
                </c:pt>
                <c:pt idx="6">
                  <c:v>302.9595429771813</c:v>
                </c:pt>
                <c:pt idx="7">
                  <c:v>302.9595429771813</c:v>
                </c:pt>
                <c:pt idx="8">
                  <c:v>302.9595429771813</c:v>
                </c:pt>
                <c:pt idx="9">
                  <c:v>302.9595429771813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446.7370690236444</c:v>
                </c:pt>
                <c:pt idx="1">
                  <c:v>446.7370690236444</c:v>
                </c:pt>
                <c:pt idx="2">
                  <c:v>446.7370690236444</c:v>
                </c:pt>
                <c:pt idx="3">
                  <c:v>446.7370690236444</c:v>
                </c:pt>
                <c:pt idx="4">
                  <c:v>446.7370690236444</c:v>
                </c:pt>
                <c:pt idx="5">
                  <c:v>446.7370690236444</c:v>
                </c:pt>
                <c:pt idx="6">
                  <c:v>446.7370690236444</c:v>
                </c:pt>
                <c:pt idx="7">
                  <c:v>446.7370690236444</c:v>
                </c:pt>
                <c:pt idx="8">
                  <c:v>446.7370690236444</c:v>
                </c:pt>
                <c:pt idx="9">
                  <c:v>446.7370690236444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582.2389282841074</c:v>
                </c:pt>
                <c:pt idx="1">
                  <c:v>582.2389282841074</c:v>
                </c:pt>
                <c:pt idx="2">
                  <c:v>582.2389282841074</c:v>
                </c:pt>
                <c:pt idx="3">
                  <c:v>582.2389282841074</c:v>
                </c:pt>
                <c:pt idx="4">
                  <c:v>582.2389282841074</c:v>
                </c:pt>
                <c:pt idx="5">
                  <c:v>582.2389282841074</c:v>
                </c:pt>
                <c:pt idx="6">
                  <c:v>582.2389282841074</c:v>
                </c:pt>
                <c:pt idx="7">
                  <c:v>582.2389282841074</c:v>
                </c:pt>
                <c:pt idx="8">
                  <c:v>582.2389282841074</c:v>
                </c:pt>
                <c:pt idx="9">
                  <c:v>582.2389282841074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333.7110872293431</c:v>
                </c:pt>
                <c:pt idx="1">
                  <c:v>333.7110872293431</c:v>
                </c:pt>
                <c:pt idx="2">
                  <c:v>333.7110872293431</c:v>
                </c:pt>
                <c:pt idx="3">
                  <c:v>333.7110872293431</c:v>
                </c:pt>
                <c:pt idx="4">
                  <c:v>333.7110872293431</c:v>
                </c:pt>
                <c:pt idx="5">
                  <c:v>333.7110872293431</c:v>
                </c:pt>
                <c:pt idx="6">
                  <c:v>333.7110872293431</c:v>
                </c:pt>
                <c:pt idx="7">
                  <c:v>333.7110872293431</c:v>
                </c:pt>
                <c:pt idx="8">
                  <c:v>333.7110872293431</c:v>
                </c:pt>
                <c:pt idx="9">
                  <c:v>333.7110872293431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8702.96675659552</c:v>
                </c:pt>
                <c:pt idx="1">
                  <c:v>8702.96675659552</c:v>
                </c:pt>
                <c:pt idx="2">
                  <c:v>8702.96675659552</c:v>
                </c:pt>
                <c:pt idx="3">
                  <c:v>8702.96675659552</c:v>
                </c:pt>
                <c:pt idx="4">
                  <c:v>8702.96675659552</c:v>
                </c:pt>
                <c:pt idx="5">
                  <c:v>8702.96675659552</c:v>
                </c:pt>
                <c:pt idx="6">
                  <c:v>8702.96675659552</c:v>
                </c:pt>
                <c:pt idx="7">
                  <c:v>8702.96675659552</c:v>
                </c:pt>
                <c:pt idx="8">
                  <c:v>8702.96675659552</c:v>
                </c:pt>
                <c:pt idx="9">
                  <c:v>8702.96675659552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3573.994930850873</c:v>
                </c:pt>
                <c:pt idx="1">
                  <c:v>3573.994930850873</c:v>
                </c:pt>
                <c:pt idx="2">
                  <c:v>3573.994930850873</c:v>
                </c:pt>
                <c:pt idx="3">
                  <c:v>3573.994930850873</c:v>
                </c:pt>
                <c:pt idx="4">
                  <c:v>3573.994930850873</c:v>
                </c:pt>
                <c:pt idx="5">
                  <c:v>3573.994930850873</c:v>
                </c:pt>
                <c:pt idx="6">
                  <c:v>3573.994930850873</c:v>
                </c:pt>
                <c:pt idx="7">
                  <c:v>3573.994930850873</c:v>
                </c:pt>
                <c:pt idx="8">
                  <c:v>3573.994930850873</c:v>
                </c:pt>
                <c:pt idx="9">
                  <c:v>3573.994930850873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878.8512125043133</c:v>
                </c:pt>
                <c:pt idx="1">
                  <c:v>878.8512125043133</c:v>
                </c:pt>
                <c:pt idx="2">
                  <c:v>878.8512125043133</c:v>
                </c:pt>
                <c:pt idx="3">
                  <c:v>878.8512125043133</c:v>
                </c:pt>
                <c:pt idx="4">
                  <c:v>878.8512125043133</c:v>
                </c:pt>
                <c:pt idx="5">
                  <c:v>878.8512125043133</c:v>
                </c:pt>
                <c:pt idx="6">
                  <c:v>878.8512125043133</c:v>
                </c:pt>
                <c:pt idx="7">
                  <c:v>878.8512125043133</c:v>
                </c:pt>
                <c:pt idx="8">
                  <c:v>878.8512125043133</c:v>
                </c:pt>
                <c:pt idx="9">
                  <c:v>878.8512125043133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2064.52118346463</c:v>
                </c:pt>
                <c:pt idx="1">
                  <c:v>2064.52118346463</c:v>
                </c:pt>
                <c:pt idx="2">
                  <c:v>2064.52118346463</c:v>
                </c:pt>
                <c:pt idx="3">
                  <c:v>2064.52118346463</c:v>
                </c:pt>
                <c:pt idx="4">
                  <c:v>2064.52118346463</c:v>
                </c:pt>
                <c:pt idx="5">
                  <c:v>2064.52118346463</c:v>
                </c:pt>
                <c:pt idx="6">
                  <c:v>2064.52118346463</c:v>
                </c:pt>
                <c:pt idx="7">
                  <c:v>2064.52118346463</c:v>
                </c:pt>
                <c:pt idx="8">
                  <c:v>2064.52118346463</c:v>
                </c:pt>
                <c:pt idx="9">
                  <c:v>2064.52118346463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2294.778165983484</c:v>
                </c:pt>
                <c:pt idx="1">
                  <c:v>2294.778165983484</c:v>
                </c:pt>
                <c:pt idx="2">
                  <c:v>2294.778165983484</c:v>
                </c:pt>
                <c:pt idx="3">
                  <c:v>2294.778165983484</c:v>
                </c:pt>
                <c:pt idx="4">
                  <c:v>2294.778165983484</c:v>
                </c:pt>
                <c:pt idx="5">
                  <c:v>2294.778165983484</c:v>
                </c:pt>
                <c:pt idx="6">
                  <c:v>2294.778165983484</c:v>
                </c:pt>
                <c:pt idx="7">
                  <c:v>2294.778165983484</c:v>
                </c:pt>
                <c:pt idx="8">
                  <c:v>2294.778165983484</c:v>
                </c:pt>
                <c:pt idx="9">
                  <c:v>2294.778165983484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7635416"/>
        <c:axId val="-203763896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37756.62117311318</c:v>
                </c:pt>
                <c:pt idx="1">
                  <c:v>37756.62117311317</c:v>
                </c:pt>
                <c:pt idx="2">
                  <c:v>37756.62117311318</c:v>
                </c:pt>
                <c:pt idx="3">
                  <c:v>37756.62117311318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56196.216275154</c:v>
                </c:pt>
                <c:pt idx="1">
                  <c:v>56196.21627515402</c:v>
                </c:pt>
                <c:pt idx="2">
                  <c:v>56196.216275154</c:v>
                </c:pt>
                <c:pt idx="3">
                  <c:v>56196.216275154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7635416"/>
        <c:axId val="-2037638968"/>
      </c:lineChart>
      <c:catAx>
        <c:axId val="-203763541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7638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7638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76354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0.382177034007364</c:v>
                </c:pt>
                <c:pt idx="1">
                  <c:v>0.347608788608191</c:v>
                </c:pt>
                <c:pt idx="2">
                  <c:v>0.351531100866978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0.382136726170926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0.706142868173926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0.0508258334771109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0.187987348503273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-0.634438083625024</c:v>
                </c:pt>
                <c:pt idx="2">
                  <c:v>-0.634438083625024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7786280"/>
        <c:axId val="-2037794264"/>
      </c:barChart>
      <c:catAx>
        <c:axId val="-2037786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7794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7794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77862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0.148680342650541</c:v>
                </c:pt>
                <c:pt idx="1">
                  <c:v>0.208152479710757</c:v>
                </c:pt>
                <c:pt idx="2">
                  <c:v>0.208152479710757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0.0703517995955302</c:v>
                </c:pt>
                <c:pt idx="1">
                  <c:v>0.0349793937917371</c:v>
                </c:pt>
                <c:pt idx="2">
                  <c:v>0.102763504691939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0.150211666128364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0.274714475905195</c:v>
                </c:pt>
                <c:pt idx="1">
                  <c:v>0.212878236020574</c:v>
                </c:pt>
                <c:pt idx="2">
                  <c:v>0.137658697123659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0.207377054239549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0.0703517995955302</c:v>
                </c:pt>
                <c:pt idx="1">
                  <c:v>0.0349793937917371</c:v>
                </c:pt>
                <c:pt idx="2">
                  <c:v>0.102763504691939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7885944"/>
        <c:axId val="-2037893288"/>
      </c:barChart>
      <c:catAx>
        <c:axId val="-2037885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7893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7893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78859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0.065823298154899</c:v>
                </c:pt>
                <c:pt idx="1">
                  <c:v>0.0921526174168585</c:v>
                </c:pt>
                <c:pt idx="2">
                  <c:v>0.0921526174168585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0.0300524420193101</c:v>
                </c:pt>
                <c:pt idx="1">
                  <c:v>0.0191815425980461</c:v>
                </c:pt>
                <c:pt idx="2">
                  <c:v>0.0393835216234404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0.129725898095314</c:v>
                </c:pt>
                <c:pt idx="1">
                  <c:v>0.153076559752471</c:v>
                </c:pt>
                <c:pt idx="2">
                  <c:v>0.153076559752471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0.586961268864574</c:v>
                </c:pt>
                <c:pt idx="1">
                  <c:v>0.20282217238619</c:v>
                </c:pt>
                <c:pt idx="2">
                  <c:v>0.181989822362236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0.0300524420193101</c:v>
                </c:pt>
                <c:pt idx="1">
                  <c:v>0.0191815425980461</c:v>
                </c:pt>
                <c:pt idx="2">
                  <c:v>0.0393835216234404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7986152"/>
        <c:axId val="-2038002312"/>
      </c:barChart>
      <c:catAx>
        <c:axId val="-2037986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8002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8002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79861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0.425425822920494</c:v>
                </c:pt>
                <c:pt idx="1">
                  <c:v>0.322558061014111</c:v>
                </c:pt>
                <c:pt idx="2">
                  <c:v>0.341765490577386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0.425380953676764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0.786053017478131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0.033874392763068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0.218625280461702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-0.755780186849887</c:v>
                </c:pt>
                <c:pt idx="2">
                  <c:v>-0.755780186849887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8144744"/>
        <c:axId val="-2038150104"/>
      </c:barChart>
      <c:catAx>
        <c:axId val="-2038144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8150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8150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81447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0.06142997901746</c:v>
                </c:pt>
                <c:pt idx="1">
                  <c:v>0.012285995803492</c:v>
                </c:pt>
                <c:pt idx="2" formatCode="0.0%">
                  <c:v>0.0119760491432911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0.0187702117061021</c:v>
                </c:pt>
                <c:pt idx="1">
                  <c:v>0.00375404234122042</c:v>
                </c:pt>
                <c:pt idx="2" formatCode="0.0%">
                  <c:v>0.00375404234122042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0.0464271412051745</c:v>
                </c:pt>
                <c:pt idx="1">
                  <c:v>0.00928542824103489</c:v>
                </c:pt>
                <c:pt idx="2" formatCode="0.0%">
                  <c:v>0.00928542824103489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0.0239285714285714</c:v>
                </c:pt>
                <c:pt idx="1">
                  <c:v>0.00478571428571429</c:v>
                </c:pt>
                <c:pt idx="2" formatCode="0.0%">
                  <c:v>0.00478571428571429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0.131150334644954</c:v>
                </c:pt>
                <c:pt idx="1">
                  <c:v>0.0393451003934862</c:v>
                </c:pt>
                <c:pt idx="2" formatCode="0.0%">
                  <c:v>0.0458315709585078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0.0091288420972374</c:v>
                </c:pt>
                <c:pt idx="1">
                  <c:v>0.00273865262917122</c:v>
                </c:pt>
                <c:pt idx="2" formatCode="0.0%">
                  <c:v>0.00458069053717335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0.0476991041686787</c:v>
                </c:pt>
                <c:pt idx="1">
                  <c:v>0.00953982083373573</c:v>
                </c:pt>
                <c:pt idx="2" formatCode="0.0%">
                  <c:v>0.00864404639273288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0.0196458435204717</c:v>
                </c:pt>
                <c:pt idx="1">
                  <c:v>0.00392916870409434</c:v>
                </c:pt>
                <c:pt idx="2" formatCode="0.0%">
                  <c:v>0.004823252243718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0.00825938522377817</c:v>
                </c:pt>
                <c:pt idx="1">
                  <c:v>0.00165187704475563</c:v>
                </c:pt>
                <c:pt idx="2" formatCode="0.0%">
                  <c:v>0.00189156750660539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0.0150034349850193</c:v>
                </c:pt>
                <c:pt idx="1">
                  <c:v>0.00300068699700387</c:v>
                </c:pt>
                <c:pt idx="2" formatCode="0.0%">
                  <c:v>0.00364150268662337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0.00543288459094721</c:v>
                </c:pt>
                <c:pt idx="1">
                  <c:v>0.00108657691818944</c:v>
                </c:pt>
                <c:pt idx="2" formatCode="0.0%">
                  <c:v>0.00124224758623718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Tomatoes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0.00443721259562355</c:v>
                </c:pt>
                <c:pt idx="1">
                  <c:v>0.000887442519124711</c:v>
                </c:pt>
                <c:pt idx="2" formatCode="0.0%">
                  <c:v>0.0010325031388475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0.0299220665743259</c:v>
                </c:pt>
                <c:pt idx="1">
                  <c:v>0.00598441331486517</c:v>
                </c:pt>
                <c:pt idx="2" formatCode="0.0%">
                  <c:v>0.0119071555329474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0.0198378295676926</c:v>
                </c:pt>
                <c:pt idx="1">
                  <c:v>0.00396756591353852</c:v>
                </c:pt>
                <c:pt idx="2" formatCode="0.0%">
                  <c:v>0.00396756591353852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-1.78793808930795E-5</c:v>
                </c:pt>
                <c:pt idx="1">
                  <c:v>-3.5758761786159E-6</c:v>
                </c:pt>
                <c:pt idx="2" formatCode="0.0%">
                  <c:v>-1.25088757229718E-6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0.00212282156199964</c:v>
                </c:pt>
                <c:pt idx="1">
                  <c:v>0.00212282156199964</c:v>
                </c:pt>
                <c:pt idx="2" formatCode="0.0%">
                  <c:v>0.00246787936730145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  <c:pt idx="0">
                  <c:v>Labour: Land prep &amp; weeding, slaughtering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0.010815217221135</c:v>
                </c:pt>
                <c:pt idx="1">
                  <c:v>0.00540760861056751</c:v>
                </c:pt>
                <c:pt idx="2" formatCode="0.0%">
                  <c:v>0.00540760861056751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  <c:pt idx="0">
                  <c:v>Labour: Harvesting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0.0270380430528376</c:v>
                </c:pt>
                <c:pt idx="1">
                  <c:v>0.0135190215264188</c:v>
                </c:pt>
                <c:pt idx="2" formatCode="0.0%">
                  <c:v>0.00933748180363615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0.00252783357053905</c:v>
                </c:pt>
                <c:pt idx="1">
                  <c:v>0.00252783357053905</c:v>
                </c:pt>
                <c:pt idx="2" formatCode="0.0%">
                  <c:v>0.00252783357053905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0.0943202677896555</c:v>
                </c:pt>
                <c:pt idx="1">
                  <c:v>0.0943202677896555</c:v>
                </c:pt>
                <c:pt idx="2" formatCode="0.0%">
                  <c:v>0.0943202677896555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0.020913543205327</c:v>
                </c:pt>
                <c:pt idx="1">
                  <c:v>0.020913543205327</c:v>
                </c:pt>
                <c:pt idx="2" formatCode="0.0%">
                  <c:v>0.00731582694185163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0.0187502308181056</c:v>
                </c:pt>
                <c:pt idx="1">
                  <c:v>0.0187502308181056</c:v>
                </c:pt>
                <c:pt idx="2" formatCode="0.0%">
                  <c:v>0.00655907238856081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0.231906021791623</c:v>
                </c:pt>
                <c:pt idx="1">
                  <c:v>0.231906021791623</c:v>
                </c:pt>
                <c:pt idx="2" formatCode="0.0%">
                  <c:v>0.227210559994694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0.595848181677383</c:v>
                </c:pt>
                <c:pt idx="1">
                  <c:v>0.179551377650451</c:v>
                </c:pt>
                <c:pt idx="2" formatCode="0.0%">
                  <c:v>0.527491383912574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1506104"/>
        <c:axId val="-2041504904"/>
      </c:barChart>
      <c:catAx>
        <c:axId val="-2041506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1504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1504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15061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3341.474724058787</c:v>
                </c:pt>
                <c:pt idx="1">
                  <c:v>3341.474724058787</c:v>
                </c:pt>
                <c:pt idx="2">
                  <c:v>3341.474724058787</c:v>
                </c:pt>
                <c:pt idx="3">
                  <c:v>3341.474724058787</c:v>
                </c:pt>
                <c:pt idx="4">
                  <c:v>3341.474724058787</c:v>
                </c:pt>
                <c:pt idx="5">
                  <c:v>3341.474724058787</c:v>
                </c:pt>
                <c:pt idx="6">
                  <c:v>3341.474724058787</c:v>
                </c:pt>
                <c:pt idx="7">
                  <c:v>3341.474724058787</c:v>
                </c:pt>
                <c:pt idx="8">
                  <c:v>3341.474724058787</c:v>
                </c:pt>
                <c:pt idx="9">
                  <c:v>3341.474724058787</c:v>
                </c:pt>
                <c:pt idx="10">
                  <c:v>3341.474724058787</c:v>
                </c:pt>
                <c:pt idx="11">
                  <c:v>3341.474724058787</c:v>
                </c:pt>
                <c:pt idx="12">
                  <c:v>3341.474724058787</c:v>
                </c:pt>
                <c:pt idx="13">
                  <c:v>3341.474724058787</c:v>
                </c:pt>
                <c:pt idx="14">
                  <c:v>3341.474724058787</c:v>
                </c:pt>
                <c:pt idx="15">
                  <c:v>3341.474724058787</c:v>
                </c:pt>
                <c:pt idx="16">
                  <c:v>3341.474724058787</c:v>
                </c:pt>
                <c:pt idx="17">
                  <c:v>3341.474724058787</c:v>
                </c:pt>
                <c:pt idx="18">
                  <c:v>3341.474724058787</c:v>
                </c:pt>
                <c:pt idx="19">
                  <c:v>3341.474724058787</c:v>
                </c:pt>
                <c:pt idx="20">
                  <c:v>3341.474724058787</c:v>
                </c:pt>
                <c:pt idx="21">
                  <c:v>3341.474724058787</c:v>
                </c:pt>
                <c:pt idx="22">
                  <c:v>3341.474724058787</c:v>
                </c:pt>
                <c:pt idx="23">
                  <c:v>3341.474724058787</c:v>
                </c:pt>
                <c:pt idx="24">
                  <c:v>3341.474724058787</c:v>
                </c:pt>
                <c:pt idx="25">
                  <c:v>3341.474724058787</c:v>
                </c:pt>
                <c:pt idx="26">
                  <c:v>3341.474724058787</c:v>
                </c:pt>
                <c:pt idx="27">
                  <c:v>3341.474724058787</c:v>
                </c:pt>
                <c:pt idx="28">
                  <c:v>3341.474724058787</c:v>
                </c:pt>
                <c:pt idx="29">
                  <c:v>3341.474724058787</c:v>
                </c:pt>
                <c:pt idx="30">
                  <c:v>3341.474724058787</c:v>
                </c:pt>
                <c:pt idx="31">
                  <c:v>3341.474724058787</c:v>
                </c:pt>
                <c:pt idx="32">
                  <c:v>3341.474724058787</c:v>
                </c:pt>
                <c:pt idx="33">
                  <c:v>3341.474724058787</c:v>
                </c:pt>
                <c:pt idx="34">
                  <c:v>3341.474724058787</c:v>
                </c:pt>
                <c:pt idx="35">
                  <c:v>4523.106864334876</c:v>
                </c:pt>
                <c:pt idx="36">
                  <c:v>4523.106864334876</c:v>
                </c:pt>
                <c:pt idx="37">
                  <c:v>4523.106864334876</c:v>
                </c:pt>
                <c:pt idx="38">
                  <c:v>4523.106864334876</c:v>
                </c:pt>
                <c:pt idx="39">
                  <c:v>4523.106864334876</c:v>
                </c:pt>
                <c:pt idx="40">
                  <c:v>4523.106864334876</c:v>
                </c:pt>
                <c:pt idx="41">
                  <c:v>4523.106864334876</c:v>
                </c:pt>
                <c:pt idx="42">
                  <c:v>4523.106864334876</c:v>
                </c:pt>
                <c:pt idx="43">
                  <c:v>4523.106864334876</c:v>
                </c:pt>
                <c:pt idx="44">
                  <c:v>4523.106864334876</c:v>
                </c:pt>
                <c:pt idx="45">
                  <c:v>4523.106864334876</c:v>
                </c:pt>
                <c:pt idx="46">
                  <c:v>4523.106864334876</c:v>
                </c:pt>
                <c:pt idx="47">
                  <c:v>4523.106864334876</c:v>
                </c:pt>
                <c:pt idx="48">
                  <c:v>4523.106864334876</c:v>
                </c:pt>
                <c:pt idx="49">
                  <c:v>4523.106864334876</c:v>
                </c:pt>
                <c:pt idx="50">
                  <c:v>4523.106864334876</c:v>
                </c:pt>
                <c:pt idx="51">
                  <c:v>4523.106864334876</c:v>
                </c:pt>
                <c:pt idx="52">
                  <c:v>4523.106864334876</c:v>
                </c:pt>
                <c:pt idx="53">
                  <c:v>4523.106864334876</c:v>
                </c:pt>
                <c:pt idx="54">
                  <c:v>4523.106864334876</c:v>
                </c:pt>
                <c:pt idx="55">
                  <c:v>4523.106864334876</c:v>
                </c:pt>
                <c:pt idx="56">
                  <c:v>4523.106864334876</c:v>
                </c:pt>
                <c:pt idx="57">
                  <c:v>4523.106864334876</c:v>
                </c:pt>
                <c:pt idx="58">
                  <c:v>4523.106864334876</c:v>
                </c:pt>
                <c:pt idx="59">
                  <c:v>4523.106864334876</c:v>
                </c:pt>
                <c:pt idx="60">
                  <c:v>4523.106864334876</c:v>
                </c:pt>
                <c:pt idx="61">
                  <c:v>4523.106864334876</c:v>
                </c:pt>
                <c:pt idx="62">
                  <c:v>4523.106864334876</c:v>
                </c:pt>
                <c:pt idx="63">
                  <c:v>4523.106864334876</c:v>
                </c:pt>
                <c:pt idx="64">
                  <c:v>4523.106864334876</c:v>
                </c:pt>
                <c:pt idx="65">
                  <c:v>4523.106864334876</c:v>
                </c:pt>
                <c:pt idx="66">
                  <c:v>4523.106864334876</c:v>
                </c:pt>
                <c:pt idx="67">
                  <c:v>5835.000135877054</c:v>
                </c:pt>
                <c:pt idx="68">
                  <c:v>5835.000135877054</c:v>
                </c:pt>
                <c:pt idx="69">
                  <c:v>5835.000135877054</c:v>
                </c:pt>
                <c:pt idx="70">
                  <c:v>5835.000135877054</c:v>
                </c:pt>
                <c:pt idx="71">
                  <c:v>5835.000135877054</c:v>
                </c:pt>
                <c:pt idx="72">
                  <c:v>5835.000135877054</c:v>
                </c:pt>
                <c:pt idx="73">
                  <c:v>5835.000135877054</c:v>
                </c:pt>
                <c:pt idx="74">
                  <c:v>5835.000135877054</c:v>
                </c:pt>
                <c:pt idx="75">
                  <c:v>5835.000135877054</c:v>
                </c:pt>
                <c:pt idx="76">
                  <c:v>5835.000135877054</c:v>
                </c:pt>
                <c:pt idx="77">
                  <c:v>5835.000135877054</c:v>
                </c:pt>
                <c:pt idx="78">
                  <c:v>5835.000135877054</c:v>
                </c:pt>
                <c:pt idx="79">
                  <c:v>5835.000135877054</c:v>
                </c:pt>
                <c:pt idx="80">
                  <c:v>5835.000135877054</c:v>
                </c:pt>
                <c:pt idx="81">
                  <c:v>5835.000135877054</c:v>
                </c:pt>
                <c:pt idx="82">
                  <c:v>5835.000135877054</c:v>
                </c:pt>
                <c:pt idx="83">
                  <c:v>5835.000135877054</c:v>
                </c:pt>
                <c:pt idx="84">
                  <c:v>5835.000135877054</c:v>
                </c:pt>
                <c:pt idx="85">
                  <c:v>5835.000135877054</c:v>
                </c:pt>
                <c:pt idx="86">
                  <c:v>5835.000135877054</c:v>
                </c:pt>
                <c:pt idx="87">
                  <c:v>5835.000135877054</c:v>
                </c:pt>
                <c:pt idx="88">
                  <c:v>5835.000135877054</c:v>
                </c:pt>
                <c:pt idx="89">
                  <c:v>5835.000135877054</c:v>
                </c:pt>
                <c:pt idx="90">
                  <c:v>8224.183980277661</c:v>
                </c:pt>
                <c:pt idx="91">
                  <c:v>8224.183980277661</c:v>
                </c:pt>
                <c:pt idx="92">
                  <c:v>8224.183980277661</c:v>
                </c:pt>
                <c:pt idx="93">
                  <c:v>8224.183980277661</c:v>
                </c:pt>
                <c:pt idx="94">
                  <c:v>8224.183980277661</c:v>
                </c:pt>
                <c:pt idx="95">
                  <c:v>8224.183980277661</c:v>
                </c:pt>
                <c:pt idx="96">
                  <c:v>8224.183980277661</c:v>
                </c:pt>
                <c:pt idx="97">
                  <c:v>8224.183980277661</c:v>
                </c:pt>
                <c:pt idx="98">
                  <c:v>8224.183980277661</c:v>
                </c:pt>
                <c:pt idx="99">
                  <c:v>8224.183980277661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302.9595429771813</c:v>
                </c:pt>
                <c:pt idx="1">
                  <c:v>302.9595429771813</c:v>
                </c:pt>
                <c:pt idx="2">
                  <c:v>302.9595429771813</c:v>
                </c:pt>
                <c:pt idx="3">
                  <c:v>302.9595429771813</c:v>
                </c:pt>
                <c:pt idx="4">
                  <c:v>302.9595429771813</c:v>
                </c:pt>
                <c:pt idx="5">
                  <c:v>302.9595429771813</c:v>
                </c:pt>
                <c:pt idx="6">
                  <c:v>302.9595429771813</c:v>
                </c:pt>
                <c:pt idx="7">
                  <c:v>302.9595429771813</c:v>
                </c:pt>
                <c:pt idx="8">
                  <c:v>302.9595429771813</c:v>
                </c:pt>
                <c:pt idx="9">
                  <c:v>302.9595429771813</c:v>
                </c:pt>
                <c:pt idx="10">
                  <c:v>302.9595429771813</c:v>
                </c:pt>
                <c:pt idx="11">
                  <c:v>302.9595429771813</c:v>
                </c:pt>
                <c:pt idx="12">
                  <c:v>302.9595429771813</c:v>
                </c:pt>
                <c:pt idx="13">
                  <c:v>302.9595429771813</c:v>
                </c:pt>
                <c:pt idx="14">
                  <c:v>302.9595429771813</c:v>
                </c:pt>
                <c:pt idx="15">
                  <c:v>302.9595429771813</c:v>
                </c:pt>
                <c:pt idx="16">
                  <c:v>302.9595429771813</c:v>
                </c:pt>
                <c:pt idx="17">
                  <c:v>302.9595429771813</c:v>
                </c:pt>
                <c:pt idx="18">
                  <c:v>302.9595429771813</c:v>
                </c:pt>
                <c:pt idx="19">
                  <c:v>302.9595429771813</c:v>
                </c:pt>
                <c:pt idx="20">
                  <c:v>302.9595429771813</c:v>
                </c:pt>
                <c:pt idx="21">
                  <c:v>302.9595429771813</c:v>
                </c:pt>
                <c:pt idx="22">
                  <c:v>302.9595429771813</c:v>
                </c:pt>
                <c:pt idx="23">
                  <c:v>302.9595429771813</c:v>
                </c:pt>
                <c:pt idx="24">
                  <c:v>302.9595429771813</c:v>
                </c:pt>
                <c:pt idx="25">
                  <c:v>302.9595429771813</c:v>
                </c:pt>
                <c:pt idx="26">
                  <c:v>302.9595429771813</c:v>
                </c:pt>
                <c:pt idx="27">
                  <c:v>302.9595429771813</c:v>
                </c:pt>
                <c:pt idx="28">
                  <c:v>302.9595429771813</c:v>
                </c:pt>
                <c:pt idx="29">
                  <c:v>302.9595429771813</c:v>
                </c:pt>
                <c:pt idx="30">
                  <c:v>302.9595429771813</c:v>
                </c:pt>
                <c:pt idx="31">
                  <c:v>302.9595429771813</c:v>
                </c:pt>
                <c:pt idx="32">
                  <c:v>302.9595429771813</c:v>
                </c:pt>
                <c:pt idx="33">
                  <c:v>302.9595429771813</c:v>
                </c:pt>
                <c:pt idx="34">
                  <c:v>302.9595429771813</c:v>
                </c:pt>
                <c:pt idx="35">
                  <c:v>836.9226859077534</c:v>
                </c:pt>
                <c:pt idx="36">
                  <c:v>836.9226859077534</c:v>
                </c:pt>
                <c:pt idx="37">
                  <c:v>836.9226859077534</c:v>
                </c:pt>
                <c:pt idx="38">
                  <c:v>836.9226859077534</c:v>
                </c:pt>
                <c:pt idx="39">
                  <c:v>836.9226859077534</c:v>
                </c:pt>
                <c:pt idx="40">
                  <c:v>836.9226859077534</c:v>
                </c:pt>
                <c:pt idx="41">
                  <c:v>836.9226859077534</c:v>
                </c:pt>
                <c:pt idx="42">
                  <c:v>836.9226859077534</c:v>
                </c:pt>
                <c:pt idx="43">
                  <c:v>836.9226859077534</c:v>
                </c:pt>
                <c:pt idx="44">
                  <c:v>836.9226859077534</c:v>
                </c:pt>
                <c:pt idx="45">
                  <c:v>836.9226859077534</c:v>
                </c:pt>
                <c:pt idx="46">
                  <c:v>836.9226859077534</c:v>
                </c:pt>
                <c:pt idx="47">
                  <c:v>836.9226859077534</c:v>
                </c:pt>
                <c:pt idx="48">
                  <c:v>836.9226859077534</c:v>
                </c:pt>
                <c:pt idx="49">
                  <c:v>836.9226859077534</c:v>
                </c:pt>
                <c:pt idx="50">
                  <c:v>836.9226859077534</c:v>
                </c:pt>
                <c:pt idx="51">
                  <c:v>836.9226859077534</c:v>
                </c:pt>
                <c:pt idx="52">
                  <c:v>836.9226859077534</c:v>
                </c:pt>
                <c:pt idx="53">
                  <c:v>836.9226859077534</c:v>
                </c:pt>
                <c:pt idx="54">
                  <c:v>836.9226859077534</c:v>
                </c:pt>
                <c:pt idx="55">
                  <c:v>836.9226859077534</c:v>
                </c:pt>
                <c:pt idx="56">
                  <c:v>836.9226859077534</c:v>
                </c:pt>
                <c:pt idx="57">
                  <c:v>836.9226859077534</c:v>
                </c:pt>
                <c:pt idx="58">
                  <c:v>836.9226859077534</c:v>
                </c:pt>
                <c:pt idx="59">
                  <c:v>836.9226859077534</c:v>
                </c:pt>
                <c:pt idx="60">
                  <c:v>836.9226859077534</c:v>
                </c:pt>
                <c:pt idx="61">
                  <c:v>836.9226859077534</c:v>
                </c:pt>
                <c:pt idx="62">
                  <c:v>836.9226859077534</c:v>
                </c:pt>
                <c:pt idx="63">
                  <c:v>836.9226859077534</c:v>
                </c:pt>
                <c:pt idx="64">
                  <c:v>836.9226859077534</c:v>
                </c:pt>
                <c:pt idx="65">
                  <c:v>836.9226859077534</c:v>
                </c:pt>
                <c:pt idx="66">
                  <c:v>836.9226859077534</c:v>
                </c:pt>
                <c:pt idx="67">
                  <c:v>6532.54988761192</c:v>
                </c:pt>
                <c:pt idx="68">
                  <c:v>6532.54988761192</c:v>
                </c:pt>
                <c:pt idx="69">
                  <c:v>6532.54988761192</c:v>
                </c:pt>
                <c:pt idx="70">
                  <c:v>6532.54988761192</c:v>
                </c:pt>
                <c:pt idx="71">
                  <c:v>6532.54988761192</c:v>
                </c:pt>
                <c:pt idx="72">
                  <c:v>6532.54988761192</c:v>
                </c:pt>
                <c:pt idx="73">
                  <c:v>6532.54988761192</c:v>
                </c:pt>
                <c:pt idx="74">
                  <c:v>6532.54988761192</c:v>
                </c:pt>
                <c:pt idx="75">
                  <c:v>6532.54988761192</c:v>
                </c:pt>
                <c:pt idx="76">
                  <c:v>6532.54988761192</c:v>
                </c:pt>
                <c:pt idx="77">
                  <c:v>6532.54988761192</c:v>
                </c:pt>
                <c:pt idx="78">
                  <c:v>6532.54988761192</c:v>
                </c:pt>
                <c:pt idx="79">
                  <c:v>6532.54988761192</c:v>
                </c:pt>
                <c:pt idx="80">
                  <c:v>6532.54988761192</c:v>
                </c:pt>
                <c:pt idx="81">
                  <c:v>6532.54988761192</c:v>
                </c:pt>
                <c:pt idx="82">
                  <c:v>6532.54988761192</c:v>
                </c:pt>
                <c:pt idx="83">
                  <c:v>6532.54988761192</c:v>
                </c:pt>
                <c:pt idx="84">
                  <c:v>6532.54988761192</c:v>
                </c:pt>
                <c:pt idx="85">
                  <c:v>6532.54988761192</c:v>
                </c:pt>
                <c:pt idx="86">
                  <c:v>6532.54988761192</c:v>
                </c:pt>
                <c:pt idx="87">
                  <c:v>6532.54988761192</c:v>
                </c:pt>
                <c:pt idx="88">
                  <c:v>6532.54988761192</c:v>
                </c:pt>
                <c:pt idx="89">
                  <c:v>6532.54988761192</c:v>
                </c:pt>
                <c:pt idx="90">
                  <c:v>29538.12822093576</c:v>
                </c:pt>
                <c:pt idx="91">
                  <c:v>29538.12822093576</c:v>
                </c:pt>
                <c:pt idx="92">
                  <c:v>29538.12822093576</c:v>
                </c:pt>
                <c:pt idx="93">
                  <c:v>29538.12822093576</c:v>
                </c:pt>
                <c:pt idx="94">
                  <c:v>29538.12822093576</c:v>
                </c:pt>
                <c:pt idx="95">
                  <c:v>29538.12822093576</c:v>
                </c:pt>
                <c:pt idx="96">
                  <c:v>29538.12822093576</c:v>
                </c:pt>
                <c:pt idx="97">
                  <c:v>29538.12822093576</c:v>
                </c:pt>
                <c:pt idx="98">
                  <c:v>29538.12822093576</c:v>
                </c:pt>
                <c:pt idx="99">
                  <c:v>29538.12822093576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446.7370690236444</c:v>
                </c:pt>
                <c:pt idx="1">
                  <c:v>446.7370690236444</c:v>
                </c:pt>
                <c:pt idx="2">
                  <c:v>446.7370690236444</c:v>
                </c:pt>
                <c:pt idx="3">
                  <c:v>446.7370690236444</c:v>
                </c:pt>
                <c:pt idx="4">
                  <c:v>446.7370690236444</c:v>
                </c:pt>
                <c:pt idx="5">
                  <c:v>446.7370690236444</c:v>
                </c:pt>
                <c:pt idx="6">
                  <c:v>446.7370690236444</c:v>
                </c:pt>
                <c:pt idx="7">
                  <c:v>446.7370690236444</c:v>
                </c:pt>
                <c:pt idx="8">
                  <c:v>446.7370690236444</c:v>
                </c:pt>
                <c:pt idx="9">
                  <c:v>446.7370690236444</c:v>
                </c:pt>
                <c:pt idx="10">
                  <c:v>446.7370690236444</c:v>
                </c:pt>
                <c:pt idx="11">
                  <c:v>446.7370690236444</c:v>
                </c:pt>
                <c:pt idx="12">
                  <c:v>446.7370690236444</c:v>
                </c:pt>
                <c:pt idx="13">
                  <c:v>446.7370690236444</c:v>
                </c:pt>
                <c:pt idx="14">
                  <c:v>446.7370690236444</c:v>
                </c:pt>
                <c:pt idx="15">
                  <c:v>446.7370690236444</c:v>
                </c:pt>
                <c:pt idx="16">
                  <c:v>446.7370690236444</c:v>
                </c:pt>
                <c:pt idx="17">
                  <c:v>446.7370690236444</c:v>
                </c:pt>
                <c:pt idx="18">
                  <c:v>446.7370690236444</c:v>
                </c:pt>
                <c:pt idx="19">
                  <c:v>446.7370690236444</c:v>
                </c:pt>
                <c:pt idx="20">
                  <c:v>446.7370690236444</c:v>
                </c:pt>
                <c:pt idx="21">
                  <c:v>446.7370690236444</c:v>
                </c:pt>
                <c:pt idx="22">
                  <c:v>446.7370690236444</c:v>
                </c:pt>
                <c:pt idx="23">
                  <c:v>446.7370690236444</c:v>
                </c:pt>
                <c:pt idx="24">
                  <c:v>446.7370690236444</c:v>
                </c:pt>
                <c:pt idx="25">
                  <c:v>446.7370690236444</c:v>
                </c:pt>
                <c:pt idx="26">
                  <c:v>446.7370690236444</c:v>
                </c:pt>
                <c:pt idx="27">
                  <c:v>446.7370690236444</c:v>
                </c:pt>
                <c:pt idx="28">
                  <c:v>446.7370690236444</c:v>
                </c:pt>
                <c:pt idx="29">
                  <c:v>446.7370690236444</c:v>
                </c:pt>
                <c:pt idx="30">
                  <c:v>446.7370690236444</c:v>
                </c:pt>
                <c:pt idx="31">
                  <c:v>446.7370690236444</c:v>
                </c:pt>
                <c:pt idx="32">
                  <c:v>446.7370690236444</c:v>
                </c:pt>
                <c:pt idx="33">
                  <c:v>446.7370690236444</c:v>
                </c:pt>
                <c:pt idx="34">
                  <c:v>446.7370690236444</c:v>
                </c:pt>
                <c:pt idx="35">
                  <c:v>1115.768949746156</c:v>
                </c:pt>
                <c:pt idx="36">
                  <c:v>1115.768949746156</c:v>
                </c:pt>
                <c:pt idx="37">
                  <c:v>1115.768949746156</c:v>
                </c:pt>
                <c:pt idx="38">
                  <c:v>1115.768949746156</c:v>
                </c:pt>
                <c:pt idx="39">
                  <c:v>1115.768949746156</c:v>
                </c:pt>
                <c:pt idx="40">
                  <c:v>1115.768949746156</c:v>
                </c:pt>
                <c:pt idx="41">
                  <c:v>1115.768949746156</c:v>
                </c:pt>
                <c:pt idx="42">
                  <c:v>1115.768949746156</c:v>
                </c:pt>
                <c:pt idx="43">
                  <c:v>1115.768949746156</c:v>
                </c:pt>
                <c:pt idx="44">
                  <c:v>1115.768949746156</c:v>
                </c:pt>
                <c:pt idx="45">
                  <c:v>1115.768949746156</c:v>
                </c:pt>
                <c:pt idx="46">
                  <c:v>1115.768949746156</c:v>
                </c:pt>
                <c:pt idx="47">
                  <c:v>1115.768949746156</c:v>
                </c:pt>
                <c:pt idx="48">
                  <c:v>1115.768949746156</c:v>
                </c:pt>
                <c:pt idx="49">
                  <c:v>1115.768949746156</c:v>
                </c:pt>
                <c:pt idx="50">
                  <c:v>1115.768949746156</c:v>
                </c:pt>
                <c:pt idx="51">
                  <c:v>1115.768949746156</c:v>
                </c:pt>
                <c:pt idx="52">
                  <c:v>1115.768949746156</c:v>
                </c:pt>
                <c:pt idx="53">
                  <c:v>1115.768949746156</c:v>
                </c:pt>
                <c:pt idx="54">
                  <c:v>1115.768949746156</c:v>
                </c:pt>
                <c:pt idx="55">
                  <c:v>1115.768949746156</c:v>
                </c:pt>
                <c:pt idx="56">
                  <c:v>1115.768949746156</c:v>
                </c:pt>
                <c:pt idx="57">
                  <c:v>1115.768949746156</c:v>
                </c:pt>
                <c:pt idx="58">
                  <c:v>1115.768949746156</c:v>
                </c:pt>
                <c:pt idx="59">
                  <c:v>1115.768949746156</c:v>
                </c:pt>
                <c:pt idx="60">
                  <c:v>1115.768949746156</c:v>
                </c:pt>
                <c:pt idx="61">
                  <c:v>1115.768949746156</c:v>
                </c:pt>
                <c:pt idx="62">
                  <c:v>1115.768949746156</c:v>
                </c:pt>
                <c:pt idx="63">
                  <c:v>1115.768949746156</c:v>
                </c:pt>
                <c:pt idx="64">
                  <c:v>1115.768949746156</c:v>
                </c:pt>
                <c:pt idx="65">
                  <c:v>1115.768949746156</c:v>
                </c:pt>
                <c:pt idx="66">
                  <c:v>1115.768949746156</c:v>
                </c:pt>
                <c:pt idx="67">
                  <c:v>2349.890494583357</c:v>
                </c:pt>
                <c:pt idx="68">
                  <c:v>2349.890494583357</c:v>
                </c:pt>
                <c:pt idx="69">
                  <c:v>2349.890494583357</c:v>
                </c:pt>
                <c:pt idx="70">
                  <c:v>2349.890494583357</c:v>
                </c:pt>
                <c:pt idx="71">
                  <c:v>2349.890494583357</c:v>
                </c:pt>
                <c:pt idx="72">
                  <c:v>2349.890494583357</c:v>
                </c:pt>
                <c:pt idx="73">
                  <c:v>2349.890494583357</c:v>
                </c:pt>
                <c:pt idx="74">
                  <c:v>2349.890494583357</c:v>
                </c:pt>
                <c:pt idx="75">
                  <c:v>2349.890494583357</c:v>
                </c:pt>
                <c:pt idx="76">
                  <c:v>2349.890494583357</c:v>
                </c:pt>
                <c:pt idx="77">
                  <c:v>2349.890494583357</c:v>
                </c:pt>
                <c:pt idx="78">
                  <c:v>2349.890494583357</c:v>
                </c:pt>
                <c:pt idx="79">
                  <c:v>2349.890494583357</c:v>
                </c:pt>
                <c:pt idx="80">
                  <c:v>2349.890494583357</c:v>
                </c:pt>
                <c:pt idx="81">
                  <c:v>2349.890494583357</c:v>
                </c:pt>
                <c:pt idx="82">
                  <c:v>2349.890494583357</c:v>
                </c:pt>
                <c:pt idx="83">
                  <c:v>2349.890494583357</c:v>
                </c:pt>
                <c:pt idx="84">
                  <c:v>2349.890494583357</c:v>
                </c:pt>
                <c:pt idx="85">
                  <c:v>2349.890494583357</c:v>
                </c:pt>
                <c:pt idx="86">
                  <c:v>2349.890494583357</c:v>
                </c:pt>
                <c:pt idx="87">
                  <c:v>2349.890494583357</c:v>
                </c:pt>
                <c:pt idx="88">
                  <c:v>2349.890494583357</c:v>
                </c:pt>
                <c:pt idx="89">
                  <c:v>2349.890494583357</c:v>
                </c:pt>
                <c:pt idx="90">
                  <c:v>3569.963961926068</c:v>
                </c:pt>
                <c:pt idx="91">
                  <c:v>3569.963961926068</c:v>
                </c:pt>
                <c:pt idx="92">
                  <c:v>3569.963961926068</c:v>
                </c:pt>
                <c:pt idx="93">
                  <c:v>3569.963961926068</c:v>
                </c:pt>
                <c:pt idx="94">
                  <c:v>3569.963961926068</c:v>
                </c:pt>
                <c:pt idx="95">
                  <c:v>3569.963961926068</c:v>
                </c:pt>
                <c:pt idx="96">
                  <c:v>3569.963961926068</c:v>
                </c:pt>
                <c:pt idx="97">
                  <c:v>3569.963961926068</c:v>
                </c:pt>
                <c:pt idx="98">
                  <c:v>3569.963961926068</c:v>
                </c:pt>
                <c:pt idx="99">
                  <c:v>3569.963961926068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2.136096697059095</c:v>
                </c:pt>
                <c:pt idx="36">
                  <c:v>2.136096697059095</c:v>
                </c:pt>
                <c:pt idx="37">
                  <c:v>2.136096697059095</c:v>
                </c:pt>
                <c:pt idx="38">
                  <c:v>2.136096697059095</c:v>
                </c:pt>
                <c:pt idx="39">
                  <c:v>2.136096697059095</c:v>
                </c:pt>
                <c:pt idx="40">
                  <c:v>2.136096697059095</c:v>
                </c:pt>
                <c:pt idx="41">
                  <c:v>2.136096697059095</c:v>
                </c:pt>
                <c:pt idx="42">
                  <c:v>2.136096697059095</c:v>
                </c:pt>
                <c:pt idx="43">
                  <c:v>2.136096697059095</c:v>
                </c:pt>
                <c:pt idx="44">
                  <c:v>2.136096697059095</c:v>
                </c:pt>
                <c:pt idx="45">
                  <c:v>2.136096697059095</c:v>
                </c:pt>
                <c:pt idx="46">
                  <c:v>2.136096697059095</c:v>
                </c:pt>
                <c:pt idx="47">
                  <c:v>2.136096697059095</c:v>
                </c:pt>
                <c:pt idx="48">
                  <c:v>2.136096697059095</c:v>
                </c:pt>
                <c:pt idx="49">
                  <c:v>2.136096697059095</c:v>
                </c:pt>
                <c:pt idx="50">
                  <c:v>2.136096697059095</c:v>
                </c:pt>
                <c:pt idx="51">
                  <c:v>2.136096697059095</c:v>
                </c:pt>
                <c:pt idx="52">
                  <c:v>2.136096697059095</c:v>
                </c:pt>
                <c:pt idx="53">
                  <c:v>2.136096697059095</c:v>
                </c:pt>
                <c:pt idx="54">
                  <c:v>2.136096697059095</c:v>
                </c:pt>
                <c:pt idx="55">
                  <c:v>2.136096697059095</c:v>
                </c:pt>
                <c:pt idx="56">
                  <c:v>2.136096697059095</c:v>
                </c:pt>
                <c:pt idx="57">
                  <c:v>2.136096697059095</c:v>
                </c:pt>
                <c:pt idx="58">
                  <c:v>2.136096697059095</c:v>
                </c:pt>
                <c:pt idx="59">
                  <c:v>2.136096697059095</c:v>
                </c:pt>
                <c:pt idx="60">
                  <c:v>2.136096697059095</c:v>
                </c:pt>
                <c:pt idx="61">
                  <c:v>2.136096697059095</c:v>
                </c:pt>
                <c:pt idx="62">
                  <c:v>2.136096697059095</c:v>
                </c:pt>
                <c:pt idx="63">
                  <c:v>2.136096697059095</c:v>
                </c:pt>
                <c:pt idx="64">
                  <c:v>2.136096697059095</c:v>
                </c:pt>
                <c:pt idx="65">
                  <c:v>2.136096697059095</c:v>
                </c:pt>
                <c:pt idx="66">
                  <c:v>2.136096697059095</c:v>
                </c:pt>
                <c:pt idx="67">
                  <c:v>1353.674992593449</c:v>
                </c:pt>
                <c:pt idx="68">
                  <c:v>1353.674992593449</c:v>
                </c:pt>
                <c:pt idx="69">
                  <c:v>1353.674992593449</c:v>
                </c:pt>
                <c:pt idx="70">
                  <c:v>1353.674992593449</c:v>
                </c:pt>
                <c:pt idx="71">
                  <c:v>1353.674992593449</c:v>
                </c:pt>
                <c:pt idx="72">
                  <c:v>1353.674992593449</c:v>
                </c:pt>
                <c:pt idx="73">
                  <c:v>1353.674992593449</c:v>
                </c:pt>
                <c:pt idx="74">
                  <c:v>1353.674992593449</c:v>
                </c:pt>
                <c:pt idx="75">
                  <c:v>1353.674992593449</c:v>
                </c:pt>
                <c:pt idx="76">
                  <c:v>1353.674992593449</c:v>
                </c:pt>
                <c:pt idx="77">
                  <c:v>1353.674992593449</c:v>
                </c:pt>
                <c:pt idx="78">
                  <c:v>1353.674992593449</c:v>
                </c:pt>
                <c:pt idx="79">
                  <c:v>1353.674992593449</c:v>
                </c:pt>
                <c:pt idx="80">
                  <c:v>1353.674992593449</c:v>
                </c:pt>
                <c:pt idx="81">
                  <c:v>1353.674992593449</c:v>
                </c:pt>
                <c:pt idx="82">
                  <c:v>1353.674992593449</c:v>
                </c:pt>
                <c:pt idx="83">
                  <c:v>1353.674992593449</c:v>
                </c:pt>
                <c:pt idx="84">
                  <c:v>1353.674992593449</c:v>
                </c:pt>
                <c:pt idx="85">
                  <c:v>1353.674992593449</c:v>
                </c:pt>
                <c:pt idx="86">
                  <c:v>1353.674992593449</c:v>
                </c:pt>
                <c:pt idx="87">
                  <c:v>1353.674992593449</c:v>
                </c:pt>
                <c:pt idx="88">
                  <c:v>1353.674992593449</c:v>
                </c:pt>
                <c:pt idx="89">
                  <c:v>1353.674992593449</c:v>
                </c:pt>
                <c:pt idx="90">
                  <c:v>2457.121514959976</c:v>
                </c:pt>
                <c:pt idx="91">
                  <c:v>2457.121514959976</c:v>
                </c:pt>
                <c:pt idx="92">
                  <c:v>2457.121514959976</c:v>
                </c:pt>
                <c:pt idx="93">
                  <c:v>2457.121514959976</c:v>
                </c:pt>
                <c:pt idx="94">
                  <c:v>2457.121514959976</c:v>
                </c:pt>
                <c:pt idx="95">
                  <c:v>2457.121514959976</c:v>
                </c:pt>
                <c:pt idx="96">
                  <c:v>2457.121514959976</c:v>
                </c:pt>
                <c:pt idx="97">
                  <c:v>2457.121514959976</c:v>
                </c:pt>
                <c:pt idx="98">
                  <c:v>2457.121514959976</c:v>
                </c:pt>
                <c:pt idx="99">
                  <c:v>2457.121514959976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582.2389282841074</c:v>
                </c:pt>
                <c:pt idx="1">
                  <c:v>582.2389282841074</c:v>
                </c:pt>
                <c:pt idx="2">
                  <c:v>582.2389282841074</c:v>
                </c:pt>
                <c:pt idx="3">
                  <c:v>582.2389282841074</c:v>
                </c:pt>
                <c:pt idx="4">
                  <c:v>582.2389282841074</c:v>
                </c:pt>
                <c:pt idx="5">
                  <c:v>582.2389282841074</c:v>
                </c:pt>
                <c:pt idx="6">
                  <c:v>582.2389282841074</c:v>
                </c:pt>
                <c:pt idx="7">
                  <c:v>582.2389282841074</c:v>
                </c:pt>
                <c:pt idx="8">
                  <c:v>582.2389282841074</c:v>
                </c:pt>
                <c:pt idx="9">
                  <c:v>582.2389282841074</c:v>
                </c:pt>
                <c:pt idx="10">
                  <c:v>582.2389282841074</c:v>
                </c:pt>
                <c:pt idx="11">
                  <c:v>582.2389282841074</c:v>
                </c:pt>
                <c:pt idx="12">
                  <c:v>582.2389282841074</c:v>
                </c:pt>
                <c:pt idx="13">
                  <c:v>582.2389282841074</c:v>
                </c:pt>
                <c:pt idx="14">
                  <c:v>582.2389282841074</c:v>
                </c:pt>
                <c:pt idx="15">
                  <c:v>582.2389282841074</c:v>
                </c:pt>
                <c:pt idx="16">
                  <c:v>582.2389282841074</c:v>
                </c:pt>
                <c:pt idx="17">
                  <c:v>582.2389282841074</c:v>
                </c:pt>
                <c:pt idx="18">
                  <c:v>582.2389282841074</c:v>
                </c:pt>
                <c:pt idx="19">
                  <c:v>582.2389282841074</c:v>
                </c:pt>
                <c:pt idx="20">
                  <c:v>582.2389282841074</c:v>
                </c:pt>
                <c:pt idx="21">
                  <c:v>582.2389282841074</c:v>
                </c:pt>
                <c:pt idx="22">
                  <c:v>582.2389282841074</c:v>
                </c:pt>
                <c:pt idx="23">
                  <c:v>582.2389282841074</c:v>
                </c:pt>
                <c:pt idx="24">
                  <c:v>582.2389282841074</c:v>
                </c:pt>
                <c:pt idx="25">
                  <c:v>582.2389282841074</c:v>
                </c:pt>
                <c:pt idx="26">
                  <c:v>582.2389282841074</c:v>
                </c:pt>
                <c:pt idx="27">
                  <c:v>582.2389282841074</c:v>
                </c:pt>
                <c:pt idx="28">
                  <c:v>582.2389282841074</c:v>
                </c:pt>
                <c:pt idx="29">
                  <c:v>582.2389282841074</c:v>
                </c:pt>
                <c:pt idx="30">
                  <c:v>582.2389282841074</c:v>
                </c:pt>
                <c:pt idx="31">
                  <c:v>582.2389282841074</c:v>
                </c:pt>
                <c:pt idx="32">
                  <c:v>582.2389282841074</c:v>
                </c:pt>
                <c:pt idx="33">
                  <c:v>582.2389282841074</c:v>
                </c:pt>
                <c:pt idx="34">
                  <c:v>582.2389282841074</c:v>
                </c:pt>
                <c:pt idx="35">
                  <c:v>4582.247829696317</c:v>
                </c:pt>
                <c:pt idx="36">
                  <c:v>4582.247829696317</c:v>
                </c:pt>
                <c:pt idx="37">
                  <c:v>4582.247829696317</c:v>
                </c:pt>
                <c:pt idx="38">
                  <c:v>4582.247829696317</c:v>
                </c:pt>
                <c:pt idx="39">
                  <c:v>4582.247829696317</c:v>
                </c:pt>
                <c:pt idx="40">
                  <c:v>4582.247829696317</c:v>
                </c:pt>
                <c:pt idx="41">
                  <c:v>4582.247829696317</c:v>
                </c:pt>
                <c:pt idx="42">
                  <c:v>4582.247829696317</c:v>
                </c:pt>
                <c:pt idx="43">
                  <c:v>4582.247829696317</c:v>
                </c:pt>
                <c:pt idx="44">
                  <c:v>4582.247829696317</c:v>
                </c:pt>
                <c:pt idx="45">
                  <c:v>4582.247829696317</c:v>
                </c:pt>
                <c:pt idx="46">
                  <c:v>4582.247829696317</c:v>
                </c:pt>
                <c:pt idx="47">
                  <c:v>4582.247829696317</c:v>
                </c:pt>
                <c:pt idx="48">
                  <c:v>4582.247829696317</c:v>
                </c:pt>
                <c:pt idx="49">
                  <c:v>4582.247829696317</c:v>
                </c:pt>
                <c:pt idx="50">
                  <c:v>4582.247829696317</c:v>
                </c:pt>
                <c:pt idx="51">
                  <c:v>4582.247829696317</c:v>
                </c:pt>
                <c:pt idx="52">
                  <c:v>4582.247829696317</c:v>
                </c:pt>
                <c:pt idx="53">
                  <c:v>4582.247829696317</c:v>
                </c:pt>
                <c:pt idx="54">
                  <c:v>4582.247829696317</c:v>
                </c:pt>
                <c:pt idx="55">
                  <c:v>4582.247829696317</c:v>
                </c:pt>
                <c:pt idx="56">
                  <c:v>4582.247829696317</c:v>
                </c:pt>
                <c:pt idx="57">
                  <c:v>4582.247829696317</c:v>
                </c:pt>
                <c:pt idx="58">
                  <c:v>4582.247829696317</c:v>
                </c:pt>
                <c:pt idx="59">
                  <c:v>4582.247829696317</c:v>
                </c:pt>
                <c:pt idx="60">
                  <c:v>4582.247829696317</c:v>
                </c:pt>
                <c:pt idx="61">
                  <c:v>4582.247829696317</c:v>
                </c:pt>
                <c:pt idx="62">
                  <c:v>4582.247829696317</c:v>
                </c:pt>
                <c:pt idx="63">
                  <c:v>4582.247829696317</c:v>
                </c:pt>
                <c:pt idx="64">
                  <c:v>4582.247829696317</c:v>
                </c:pt>
                <c:pt idx="65">
                  <c:v>4582.247829696317</c:v>
                </c:pt>
                <c:pt idx="66">
                  <c:v>4582.247829696317</c:v>
                </c:pt>
                <c:pt idx="67">
                  <c:v>18818.88983842222</c:v>
                </c:pt>
                <c:pt idx="68">
                  <c:v>18818.88983842222</c:v>
                </c:pt>
                <c:pt idx="69">
                  <c:v>18818.88983842222</c:v>
                </c:pt>
                <c:pt idx="70">
                  <c:v>18818.88983842222</c:v>
                </c:pt>
                <c:pt idx="71">
                  <c:v>18818.88983842222</c:v>
                </c:pt>
                <c:pt idx="72">
                  <c:v>18818.88983842222</c:v>
                </c:pt>
                <c:pt idx="73">
                  <c:v>18818.88983842222</c:v>
                </c:pt>
                <c:pt idx="74">
                  <c:v>18818.88983842222</c:v>
                </c:pt>
                <c:pt idx="75">
                  <c:v>18818.88983842222</c:v>
                </c:pt>
                <c:pt idx="76">
                  <c:v>18818.88983842222</c:v>
                </c:pt>
                <c:pt idx="77">
                  <c:v>18818.88983842222</c:v>
                </c:pt>
                <c:pt idx="78">
                  <c:v>18818.88983842222</c:v>
                </c:pt>
                <c:pt idx="79">
                  <c:v>18818.88983842222</c:v>
                </c:pt>
                <c:pt idx="80">
                  <c:v>18818.88983842222</c:v>
                </c:pt>
                <c:pt idx="81">
                  <c:v>18818.88983842222</c:v>
                </c:pt>
                <c:pt idx="82">
                  <c:v>18818.88983842222</c:v>
                </c:pt>
                <c:pt idx="83">
                  <c:v>18818.88983842222</c:v>
                </c:pt>
                <c:pt idx="84">
                  <c:v>18818.88983842222</c:v>
                </c:pt>
                <c:pt idx="85">
                  <c:v>18818.88983842222</c:v>
                </c:pt>
                <c:pt idx="86">
                  <c:v>18818.88983842222</c:v>
                </c:pt>
                <c:pt idx="87">
                  <c:v>18818.88983842222</c:v>
                </c:pt>
                <c:pt idx="88">
                  <c:v>18818.88983842222</c:v>
                </c:pt>
                <c:pt idx="89">
                  <c:v>18818.88983842222</c:v>
                </c:pt>
                <c:pt idx="90">
                  <c:v>38310.10085441024</c:v>
                </c:pt>
                <c:pt idx="91">
                  <c:v>38310.10085441024</c:v>
                </c:pt>
                <c:pt idx="92">
                  <c:v>38310.10085441024</c:v>
                </c:pt>
                <c:pt idx="93">
                  <c:v>38310.10085441024</c:v>
                </c:pt>
                <c:pt idx="94">
                  <c:v>38310.10085441024</c:v>
                </c:pt>
                <c:pt idx="95">
                  <c:v>38310.10085441024</c:v>
                </c:pt>
                <c:pt idx="96">
                  <c:v>38310.10085441024</c:v>
                </c:pt>
                <c:pt idx="97">
                  <c:v>38310.10085441024</c:v>
                </c:pt>
                <c:pt idx="98">
                  <c:v>38310.10085441024</c:v>
                </c:pt>
                <c:pt idx="99">
                  <c:v>38310.10085441024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333.7110872293431</c:v>
                </c:pt>
                <c:pt idx="1">
                  <c:v>333.7110872293431</c:v>
                </c:pt>
                <c:pt idx="2">
                  <c:v>333.7110872293431</c:v>
                </c:pt>
                <c:pt idx="3">
                  <c:v>333.7110872293431</c:v>
                </c:pt>
                <c:pt idx="4">
                  <c:v>333.7110872293431</c:v>
                </c:pt>
                <c:pt idx="5">
                  <c:v>333.7110872293431</c:v>
                </c:pt>
                <c:pt idx="6">
                  <c:v>333.7110872293431</c:v>
                </c:pt>
                <c:pt idx="7">
                  <c:v>333.7110872293431</c:v>
                </c:pt>
                <c:pt idx="8">
                  <c:v>333.7110872293431</c:v>
                </c:pt>
                <c:pt idx="9">
                  <c:v>333.7110872293431</c:v>
                </c:pt>
                <c:pt idx="10">
                  <c:v>333.7110872293431</c:v>
                </c:pt>
                <c:pt idx="11">
                  <c:v>333.7110872293431</c:v>
                </c:pt>
                <c:pt idx="12">
                  <c:v>333.7110872293431</c:v>
                </c:pt>
                <c:pt idx="13">
                  <c:v>333.7110872293431</c:v>
                </c:pt>
                <c:pt idx="14">
                  <c:v>333.7110872293431</c:v>
                </c:pt>
                <c:pt idx="15">
                  <c:v>333.7110872293431</c:v>
                </c:pt>
                <c:pt idx="16">
                  <c:v>333.7110872293431</c:v>
                </c:pt>
                <c:pt idx="17">
                  <c:v>333.7110872293431</c:v>
                </c:pt>
                <c:pt idx="18">
                  <c:v>333.7110872293431</c:v>
                </c:pt>
                <c:pt idx="19">
                  <c:v>333.7110872293431</c:v>
                </c:pt>
                <c:pt idx="20">
                  <c:v>333.7110872293431</c:v>
                </c:pt>
                <c:pt idx="21">
                  <c:v>333.7110872293431</c:v>
                </c:pt>
                <c:pt idx="22">
                  <c:v>333.7110872293431</c:v>
                </c:pt>
                <c:pt idx="23">
                  <c:v>333.7110872293431</c:v>
                </c:pt>
                <c:pt idx="24">
                  <c:v>333.7110872293431</c:v>
                </c:pt>
                <c:pt idx="25">
                  <c:v>333.7110872293431</c:v>
                </c:pt>
                <c:pt idx="26">
                  <c:v>333.7110872293431</c:v>
                </c:pt>
                <c:pt idx="27">
                  <c:v>333.7110872293431</c:v>
                </c:pt>
                <c:pt idx="28">
                  <c:v>333.7110872293431</c:v>
                </c:pt>
                <c:pt idx="29">
                  <c:v>333.7110872293431</c:v>
                </c:pt>
                <c:pt idx="30">
                  <c:v>333.7110872293431</c:v>
                </c:pt>
                <c:pt idx="31">
                  <c:v>333.7110872293431</c:v>
                </c:pt>
                <c:pt idx="32">
                  <c:v>333.7110872293431</c:v>
                </c:pt>
                <c:pt idx="33">
                  <c:v>333.7110872293431</c:v>
                </c:pt>
                <c:pt idx="34">
                  <c:v>333.7110872293431</c:v>
                </c:pt>
                <c:pt idx="35">
                  <c:v>261.678463382795</c:v>
                </c:pt>
                <c:pt idx="36">
                  <c:v>261.678463382795</c:v>
                </c:pt>
                <c:pt idx="37">
                  <c:v>261.678463382795</c:v>
                </c:pt>
                <c:pt idx="38">
                  <c:v>261.678463382795</c:v>
                </c:pt>
                <c:pt idx="39">
                  <c:v>261.678463382795</c:v>
                </c:pt>
                <c:pt idx="40">
                  <c:v>261.678463382795</c:v>
                </c:pt>
                <c:pt idx="41">
                  <c:v>261.678463382795</c:v>
                </c:pt>
                <c:pt idx="42">
                  <c:v>261.678463382795</c:v>
                </c:pt>
                <c:pt idx="43">
                  <c:v>261.678463382795</c:v>
                </c:pt>
                <c:pt idx="44">
                  <c:v>261.678463382795</c:v>
                </c:pt>
                <c:pt idx="45">
                  <c:v>261.678463382795</c:v>
                </c:pt>
                <c:pt idx="46">
                  <c:v>261.678463382795</c:v>
                </c:pt>
                <c:pt idx="47">
                  <c:v>261.678463382795</c:v>
                </c:pt>
                <c:pt idx="48">
                  <c:v>261.678463382795</c:v>
                </c:pt>
                <c:pt idx="49">
                  <c:v>261.678463382795</c:v>
                </c:pt>
                <c:pt idx="50">
                  <c:v>261.678463382795</c:v>
                </c:pt>
                <c:pt idx="51">
                  <c:v>261.678463382795</c:v>
                </c:pt>
                <c:pt idx="52">
                  <c:v>261.678463382795</c:v>
                </c:pt>
                <c:pt idx="53">
                  <c:v>261.678463382795</c:v>
                </c:pt>
                <c:pt idx="54">
                  <c:v>261.678463382795</c:v>
                </c:pt>
                <c:pt idx="55">
                  <c:v>261.678463382795</c:v>
                </c:pt>
                <c:pt idx="56">
                  <c:v>261.678463382795</c:v>
                </c:pt>
                <c:pt idx="57">
                  <c:v>261.678463382795</c:v>
                </c:pt>
                <c:pt idx="58">
                  <c:v>261.678463382795</c:v>
                </c:pt>
                <c:pt idx="59">
                  <c:v>261.678463382795</c:v>
                </c:pt>
                <c:pt idx="60">
                  <c:v>261.678463382795</c:v>
                </c:pt>
                <c:pt idx="61">
                  <c:v>261.678463382795</c:v>
                </c:pt>
                <c:pt idx="62">
                  <c:v>261.678463382795</c:v>
                </c:pt>
                <c:pt idx="63">
                  <c:v>261.678463382795</c:v>
                </c:pt>
                <c:pt idx="64">
                  <c:v>261.678463382795</c:v>
                </c:pt>
                <c:pt idx="65">
                  <c:v>261.678463382795</c:v>
                </c:pt>
                <c:pt idx="66">
                  <c:v>261.678463382795</c:v>
                </c:pt>
                <c:pt idx="67">
                  <c:v>39.39432454477468</c:v>
                </c:pt>
                <c:pt idx="68">
                  <c:v>39.39432454477468</c:v>
                </c:pt>
                <c:pt idx="69">
                  <c:v>39.39432454477468</c:v>
                </c:pt>
                <c:pt idx="70">
                  <c:v>39.39432454477468</c:v>
                </c:pt>
                <c:pt idx="71">
                  <c:v>39.39432454477468</c:v>
                </c:pt>
                <c:pt idx="72">
                  <c:v>39.39432454477468</c:v>
                </c:pt>
                <c:pt idx="73">
                  <c:v>39.39432454477468</c:v>
                </c:pt>
                <c:pt idx="74">
                  <c:v>39.39432454477468</c:v>
                </c:pt>
                <c:pt idx="75">
                  <c:v>39.39432454477468</c:v>
                </c:pt>
                <c:pt idx="76">
                  <c:v>39.39432454477468</c:v>
                </c:pt>
                <c:pt idx="77">
                  <c:v>39.39432454477468</c:v>
                </c:pt>
                <c:pt idx="78">
                  <c:v>39.39432454477468</c:v>
                </c:pt>
                <c:pt idx="79">
                  <c:v>39.39432454477468</c:v>
                </c:pt>
                <c:pt idx="80">
                  <c:v>39.39432454477468</c:v>
                </c:pt>
                <c:pt idx="81">
                  <c:v>39.39432454477468</c:v>
                </c:pt>
                <c:pt idx="82">
                  <c:v>39.39432454477468</c:v>
                </c:pt>
                <c:pt idx="83">
                  <c:v>39.39432454477468</c:v>
                </c:pt>
                <c:pt idx="84">
                  <c:v>39.39432454477468</c:v>
                </c:pt>
                <c:pt idx="85">
                  <c:v>39.39432454477468</c:v>
                </c:pt>
                <c:pt idx="86">
                  <c:v>39.39432454477468</c:v>
                </c:pt>
                <c:pt idx="87">
                  <c:v>39.39432454477468</c:v>
                </c:pt>
                <c:pt idx="88">
                  <c:v>39.39432454477468</c:v>
                </c:pt>
                <c:pt idx="89">
                  <c:v>39.39432454477468</c:v>
                </c:pt>
                <c:pt idx="90">
                  <c:v>31.03376281352773</c:v>
                </c:pt>
                <c:pt idx="91">
                  <c:v>31.03376281352773</c:v>
                </c:pt>
                <c:pt idx="92">
                  <c:v>31.03376281352773</c:v>
                </c:pt>
                <c:pt idx="93">
                  <c:v>31.03376281352773</c:v>
                </c:pt>
                <c:pt idx="94">
                  <c:v>31.03376281352773</c:v>
                </c:pt>
                <c:pt idx="95">
                  <c:v>31.03376281352773</c:v>
                </c:pt>
                <c:pt idx="96">
                  <c:v>31.03376281352773</c:v>
                </c:pt>
                <c:pt idx="97">
                  <c:v>31.03376281352773</c:v>
                </c:pt>
                <c:pt idx="98">
                  <c:v>31.03376281352773</c:v>
                </c:pt>
                <c:pt idx="99">
                  <c:v>31.03376281352773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8702.96675659552</c:v>
                </c:pt>
                <c:pt idx="1">
                  <c:v>8702.96675659552</c:v>
                </c:pt>
                <c:pt idx="2">
                  <c:v>8702.96675659552</c:v>
                </c:pt>
                <c:pt idx="3">
                  <c:v>8702.96675659552</c:v>
                </c:pt>
                <c:pt idx="4">
                  <c:v>8702.96675659552</c:v>
                </c:pt>
                <c:pt idx="5">
                  <c:v>8702.96675659552</c:v>
                </c:pt>
                <c:pt idx="6">
                  <c:v>8702.96675659552</c:v>
                </c:pt>
                <c:pt idx="7">
                  <c:v>8702.96675659552</c:v>
                </c:pt>
                <c:pt idx="8">
                  <c:v>8702.96675659552</c:v>
                </c:pt>
                <c:pt idx="9">
                  <c:v>8702.96675659552</c:v>
                </c:pt>
                <c:pt idx="10">
                  <c:v>8702.96675659552</c:v>
                </c:pt>
                <c:pt idx="11">
                  <c:v>8702.96675659552</c:v>
                </c:pt>
                <c:pt idx="12">
                  <c:v>8702.96675659552</c:v>
                </c:pt>
                <c:pt idx="13">
                  <c:v>8702.96675659552</c:v>
                </c:pt>
                <c:pt idx="14">
                  <c:v>8702.96675659552</c:v>
                </c:pt>
                <c:pt idx="15">
                  <c:v>8702.96675659552</c:v>
                </c:pt>
                <c:pt idx="16">
                  <c:v>8702.96675659552</c:v>
                </c:pt>
                <c:pt idx="17">
                  <c:v>8702.96675659552</c:v>
                </c:pt>
                <c:pt idx="18">
                  <c:v>8702.96675659552</c:v>
                </c:pt>
                <c:pt idx="19">
                  <c:v>8702.96675659552</c:v>
                </c:pt>
                <c:pt idx="20">
                  <c:v>8702.96675659552</c:v>
                </c:pt>
                <c:pt idx="21">
                  <c:v>8702.96675659552</c:v>
                </c:pt>
                <c:pt idx="22">
                  <c:v>8702.96675659552</c:v>
                </c:pt>
                <c:pt idx="23">
                  <c:v>8702.96675659552</c:v>
                </c:pt>
                <c:pt idx="24">
                  <c:v>8702.96675659552</c:v>
                </c:pt>
                <c:pt idx="25">
                  <c:v>8702.96675659552</c:v>
                </c:pt>
                <c:pt idx="26">
                  <c:v>8702.96675659552</c:v>
                </c:pt>
                <c:pt idx="27">
                  <c:v>8702.96675659552</c:v>
                </c:pt>
                <c:pt idx="28">
                  <c:v>8702.96675659552</c:v>
                </c:pt>
                <c:pt idx="29">
                  <c:v>8702.96675659552</c:v>
                </c:pt>
                <c:pt idx="30">
                  <c:v>8702.96675659552</c:v>
                </c:pt>
                <c:pt idx="31">
                  <c:v>8702.96675659552</c:v>
                </c:pt>
                <c:pt idx="32">
                  <c:v>8702.96675659552</c:v>
                </c:pt>
                <c:pt idx="33">
                  <c:v>8702.96675659552</c:v>
                </c:pt>
                <c:pt idx="34">
                  <c:v>8702.96675659552</c:v>
                </c:pt>
                <c:pt idx="35">
                  <c:v>10014.69700870098</c:v>
                </c:pt>
                <c:pt idx="36">
                  <c:v>10014.69700870098</c:v>
                </c:pt>
                <c:pt idx="37">
                  <c:v>10014.69700870098</c:v>
                </c:pt>
                <c:pt idx="38">
                  <c:v>10014.69700870098</c:v>
                </c:pt>
                <c:pt idx="39">
                  <c:v>10014.69700870098</c:v>
                </c:pt>
                <c:pt idx="40">
                  <c:v>10014.69700870098</c:v>
                </c:pt>
                <c:pt idx="41">
                  <c:v>10014.69700870098</c:v>
                </c:pt>
                <c:pt idx="42">
                  <c:v>10014.69700870098</c:v>
                </c:pt>
                <c:pt idx="43">
                  <c:v>10014.69700870098</c:v>
                </c:pt>
                <c:pt idx="44">
                  <c:v>10014.69700870098</c:v>
                </c:pt>
                <c:pt idx="45">
                  <c:v>10014.69700870098</c:v>
                </c:pt>
                <c:pt idx="46">
                  <c:v>10014.69700870098</c:v>
                </c:pt>
                <c:pt idx="47">
                  <c:v>10014.69700870098</c:v>
                </c:pt>
                <c:pt idx="48">
                  <c:v>10014.69700870098</c:v>
                </c:pt>
                <c:pt idx="49">
                  <c:v>10014.69700870098</c:v>
                </c:pt>
                <c:pt idx="50">
                  <c:v>10014.69700870098</c:v>
                </c:pt>
                <c:pt idx="51">
                  <c:v>10014.69700870098</c:v>
                </c:pt>
                <c:pt idx="52">
                  <c:v>10014.69700870098</c:v>
                </c:pt>
                <c:pt idx="53">
                  <c:v>10014.69700870098</c:v>
                </c:pt>
                <c:pt idx="54">
                  <c:v>10014.69700870098</c:v>
                </c:pt>
                <c:pt idx="55">
                  <c:v>10014.69700870098</c:v>
                </c:pt>
                <c:pt idx="56">
                  <c:v>10014.69700870098</c:v>
                </c:pt>
                <c:pt idx="57">
                  <c:v>10014.69700870098</c:v>
                </c:pt>
                <c:pt idx="58">
                  <c:v>10014.69700870098</c:v>
                </c:pt>
                <c:pt idx="59">
                  <c:v>10014.69700870098</c:v>
                </c:pt>
                <c:pt idx="60">
                  <c:v>10014.69700870098</c:v>
                </c:pt>
                <c:pt idx="61">
                  <c:v>10014.69700870098</c:v>
                </c:pt>
                <c:pt idx="62">
                  <c:v>10014.69700870098</c:v>
                </c:pt>
                <c:pt idx="63">
                  <c:v>10014.69700870098</c:v>
                </c:pt>
                <c:pt idx="64">
                  <c:v>10014.69700870098</c:v>
                </c:pt>
                <c:pt idx="65">
                  <c:v>10014.69700870098</c:v>
                </c:pt>
                <c:pt idx="66">
                  <c:v>10014.69700870098</c:v>
                </c:pt>
                <c:pt idx="67">
                  <c:v>8485.666996271322</c:v>
                </c:pt>
                <c:pt idx="68">
                  <c:v>8485.666996271322</c:v>
                </c:pt>
                <c:pt idx="69">
                  <c:v>8485.666996271322</c:v>
                </c:pt>
                <c:pt idx="70">
                  <c:v>8485.666996271322</c:v>
                </c:pt>
                <c:pt idx="71">
                  <c:v>8485.666996271322</c:v>
                </c:pt>
                <c:pt idx="72">
                  <c:v>8485.666996271322</c:v>
                </c:pt>
                <c:pt idx="73">
                  <c:v>8485.666996271322</c:v>
                </c:pt>
                <c:pt idx="74">
                  <c:v>8485.666996271322</c:v>
                </c:pt>
                <c:pt idx="75">
                  <c:v>8485.666996271322</c:v>
                </c:pt>
                <c:pt idx="76">
                  <c:v>8485.666996271322</c:v>
                </c:pt>
                <c:pt idx="77">
                  <c:v>8485.666996271322</c:v>
                </c:pt>
                <c:pt idx="78">
                  <c:v>8485.666996271322</c:v>
                </c:pt>
                <c:pt idx="79">
                  <c:v>8485.666996271322</c:v>
                </c:pt>
                <c:pt idx="80">
                  <c:v>8485.666996271322</c:v>
                </c:pt>
                <c:pt idx="81">
                  <c:v>8485.666996271322</c:v>
                </c:pt>
                <c:pt idx="82">
                  <c:v>8485.666996271322</c:v>
                </c:pt>
                <c:pt idx="83">
                  <c:v>8485.666996271322</c:v>
                </c:pt>
                <c:pt idx="84">
                  <c:v>8485.666996271322</c:v>
                </c:pt>
                <c:pt idx="85">
                  <c:v>8485.666996271322</c:v>
                </c:pt>
                <c:pt idx="86">
                  <c:v>8485.666996271322</c:v>
                </c:pt>
                <c:pt idx="87">
                  <c:v>8485.666996271322</c:v>
                </c:pt>
                <c:pt idx="88">
                  <c:v>8485.666996271322</c:v>
                </c:pt>
                <c:pt idx="89">
                  <c:v>8485.666996271322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53170.49835651094</c:v>
                </c:pt>
                <c:pt idx="68">
                  <c:v>53170.49835651094</c:v>
                </c:pt>
                <c:pt idx="69">
                  <c:v>53170.49835651094</c:v>
                </c:pt>
                <c:pt idx="70">
                  <c:v>53170.49835651094</c:v>
                </c:pt>
                <c:pt idx="71">
                  <c:v>53170.49835651094</c:v>
                </c:pt>
                <c:pt idx="72">
                  <c:v>53170.49835651094</c:v>
                </c:pt>
                <c:pt idx="73">
                  <c:v>53170.49835651094</c:v>
                </c:pt>
                <c:pt idx="74">
                  <c:v>53170.49835651094</c:v>
                </c:pt>
                <c:pt idx="75">
                  <c:v>53170.49835651094</c:v>
                </c:pt>
                <c:pt idx="76">
                  <c:v>53170.49835651094</c:v>
                </c:pt>
                <c:pt idx="77">
                  <c:v>53170.49835651094</c:v>
                </c:pt>
                <c:pt idx="78">
                  <c:v>53170.49835651094</c:v>
                </c:pt>
                <c:pt idx="79">
                  <c:v>53170.49835651094</c:v>
                </c:pt>
                <c:pt idx="80">
                  <c:v>53170.49835651094</c:v>
                </c:pt>
                <c:pt idx="81">
                  <c:v>53170.49835651094</c:v>
                </c:pt>
                <c:pt idx="82">
                  <c:v>53170.49835651094</c:v>
                </c:pt>
                <c:pt idx="83">
                  <c:v>53170.49835651094</c:v>
                </c:pt>
                <c:pt idx="84">
                  <c:v>53170.49835651094</c:v>
                </c:pt>
                <c:pt idx="85">
                  <c:v>53170.49835651094</c:v>
                </c:pt>
                <c:pt idx="86">
                  <c:v>53170.49835651094</c:v>
                </c:pt>
                <c:pt idx="87">
                  <c:v>53170.49835651094</c:v>
                </c:pt>
                <c:pt idx="88">
                  <c:v>53170.49835651094</c:v>
                </c:pt>
                <c:pt idx="89">
                  <c:v>53170.49835651094</c:v>
                </c:pt>
                <c:pt idx="90">
                  <c:v>192985.9612524749</c:v>
                </c:pt>
                <c:pt idx="91">
                  <c:v>192985.9612524749</c:v>
                </c:pt>
                <c:pt idx="92">
                  <c:v>192985.9612524749</c:v>
                </c:pt>
                <c:pt idx="93">
                  <c:v>192985.9612524749</c:v>
                </c:pt>
                <c:pt idx="94">
                  <c:v>192985.9612524749</c:v>
                </c:pt>
                <c:pt idx="95">
                  <c:v>192985.9612524749</c:v>
                </c:pt>
                <c:pt idx="96">
                  <c:v>192985.9612524749</c:v>
                </c:pt>
                <c:pt idx="97">
                  <c:v>192985.9612524749</c:v>
                </c:pt>
                <c:pt idx="98">
                  <c:v>192985.9612524749</c:v>
                </c:pt>
                <c:pt idx="99">
                  <c:v>192985.9612524749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3573.994930850873</c:v>
                </c:pt>
                <c:pt idx="1">
                  <c:v>3573.994930850873</c:v>
                </c:pt>
                <c:pt idx="2">
                  <c:v>3573.994930850873</c:v>
                </c:pt>
                <c:pt idx="3">
                  <c:v>3573.994930850873</c:v>
                </c:pt>
                <c:pt idx="4">
                  <c:v>3573.994930850873</c:v>
                </c:pt>
                <c:pt idx="5">
                  <c:v>3573.994930850873</c:v>
                </c:pt>
                <c:pt idx="6">
                  <c:v>3573.994930850873</c:v>
                </c:pt>
                <c:pt idx="7">
                  <c:v>3573.994930850873</c:v>
                </c:pt>
                <c:pt idx="8">
                  <c:v>3573.994930850873</c:v>
                </c:pt>
                <c:pt idx="9">
                  <c:v>3573.994930850873</c:v>
                </c:pt>
                <c:pt idx="10">
                  <c:v>3573.994930850873</c:v>
                </c:pt>
                <c:pt idx="11">
                  <c:v>3573.994930850873</c:v>
                </c:pt>
                <c:pt idx="12">
                  <c:v>3573.994930850873</c:v>
                </c:pt>
                <c:pt idx="13">
                  <c:v>3573.994930850873</c:v>
                </c:pt>
                <c:pt idx="14">
                  <c:v>3573.994930850873</c:v>
                </c:pt>
                <c:pt idx="15">
                  <c:v>3573.994930850873</c:v>
                </c:pt>
                <c:pt idx="16">
                  <c:v>3573.994930850873</c:v>
                </c:pt>
                <c:pt idx="17">
                  <c:v>3573.994930850873</c:v>
                </c:pt>
                <c:pt idx="18">
                  <c:v>3573.994930850873</c:v>
                </c:pt>
                <c:pt idx="19">
                  <c:v>3573.994930850873</c:v>
                </c:pt>
                <c:pt idx="20">
                  <c:v>3573.994930850873</c:v>
                </c:pt>
                <c:pt idx="21">
                  <c:v>3573.994930850873</c:v>
                </c:pt>
                <c:pt idx="22">
                  <c:v>3573.994930850873</c:v>
                </c:pt>
                <c:pt idx="23">
                  <c:v>3573.994930850873</c:v>
                </c:pt>
                <c:pt idx="24">
                  <c:v>3573.994930850873</c:v>
                </c:pt>
                <c:pt idx="25">
                  <c:v>3573.994930850873</c:v>
                </c:pt>
                <c:pt idx="26">
                  <c:v>3573.994930850873</c:v>
                </c:pt>
                <c:pt idx="27">
                  <c:v>3573.994930850873</c:v>
                </c:pt>
                <c:pt idx="28">
                  <c:v>3573.994930850873</c:v>
                </c:pt>
                <c:pt idx="29">
                  <c:v>3573.994930850873</c:v>
                </c:pt>
                <c:pt idx="30">
                  <c:v>3573.994930850873</c:v>
                </c:pt>
                <c:pt idx="31">
                  <c:v>3573.994930850873</c:v>
                </c:pt>
                <c:pt idx="32">
                  <c:v>3573.994930850873</c:v>
                </c:pt>
                <c:pt idx="33">
                  <c:v>3573.994930850873</c:v>
                </c:pt>
                <c:pt idx="34">
                  <c:v>3573.994930850873</c:v>
                </c:pt>
                <c:pt idx="35">
                  <c:v>2516.321909135614</c:v>
                </c:pt>
                <c:pt idx="36">
                  <c:v>2516.321909135614</c:v>
                </c:pt>
                <c:pt idx="37">
                  <c:v>2516.321909135614</c:v>
                </c:pt>
                <c:pt idx="38">
                  <c:v>2516.321909135614</c:v>
                </c:pt>
                <c:pt idx="39">
                  <c:v>2516.321909135614</c:v>
                </c:pt>
                <c:pt idx="40">
                  <c:v>2516.321909135614</c:v>
                </c:pt>
                <c:pt idx="41">
                  <c:v>2516.321909135614</c:v>
                </c:pt>
                <c:pt idx="42">
                  <c:v>2516.321909135614</c:v>
                </c:pt>
                <c:pt idx="43">
                  <c:v>2516.321909135614</c:v>
                </c:pt>
                <c:pt idx="44">
                  <c:v>2516.321909135614</c:v>
                </c:pt>
                <c:pt idx="45">
                  <c:v>2516.321909135614</c:v>
                </c:pt>
                <c:pt idx="46">
                  <c:v>2516.321909135614</c:v>
                </c:pt>
                <c:pt idx="47">
                  <c:v>2516.321909135614</c:v>
                </c:pt>
                <c:pt idx="48">
                  <c:v>2516.321909135614</c:v>
                </c:pt>
                <c:pt idx="49">
                  <c:v>2516.321909135614</c:v>
                </c:pt>
                <c:pt idx="50">
                  <c:v>2516.321909135614</c:v>
                </c:pt>
                <c:pt idx="51">
                  <c:v>2516.321909135614</c:v>
                </c:pt>
                <c:pt idx="52">
                  <c:v>2516.321909135614</c:v>
                </c:pt>
                <c:pt idx="53">
                  <c:v>2516.321909135614</c:v>
                </c:pt>
                <c:pt idx="54">
                  <c:v>2516.321909135614</c:v>
                </c:pt>
                <c:pt idx="55">
                  <c:v>2516.321909135614</c:v>
                </c:pt>
                <c:pt idx="56">
                  <c:v>2516.321909135614</c:v>
                </c:pt>
                <c:pt idx="57">
                  <c:v>2516.321909135614</c:v>
                </c:pt>
                <c:pt idx="58">
                  <c:v>2516.321909135614</c:v>
                </c:pt>
                <c:pt idx="59">
                  <c:v>2516.321909135614</c:v>
                </c:pt>
                <c:pt idx="60">
                  <c:v>2516.321909135614</c:v>
                </c:pt>
                <c:pt idx="61">
                  <c:v>2516.321909135614</c:v>
                </c:pt>
                <c:pt idx="62">
                  <c:v>2516.321909135614</c:v>
                </c:pt>
                <c:pt idx="63">
                  <c:v>2516.321909135614</c:v>
                </c:pt>
                <c:pt idx="64">
                  <c:v>2516.321909135614</c:v>
                </c:pt>
                <c:pt idx="65">
                  <c:v>2516.321909135614</c:v>
                </c:pt>
                <c:pt idx="66">
                  <c:v>2516.321909135614</c:v>
                </c:pt>
                <c:pt idx="67">
                  <c:v>13414.44313219431</c:v>
                </c:pt>
                <c:pt idx="68">
                  <c:v>13414.44313219431</c:v>
                </c:pt>
                <c:pt idx="69">
                  <c:v>13414.44313219431</c:v>
                </c:pt>
                <c:pt idx="70">
                  <c:v>13414.44313219431</c:v>
                </c:pt>
                <c:pt idx="71">
                  <c:v>13414.44313219431</c:v>
                </c:pt>
                <c:pt idx="72">
                  <c:v>13414.44313219431</c:v>
                </c:pt>
                <c:pt idx="73">
                  <c:v>13414.44313219431</c:v>
                </c:pt>
                <c:pt idx="74">
                  <c:v>13414.44313219431</c:v>
                </c:pt>
                <c:pt idx="75">
                  <c:v>13414.44313219431</c:v>
                </c:pt>
                <c:pt idx="76">
                  <c:v>13414.44313219431</c:v>
                </c:pt>
                <c:pt idx="77">
                  <c:v>13414.44313219431</c:v>
                </c:pt>
                <c:pt idx="78">
                  <c:v>13414.44313219431</c:v>
                </c:pt>
                <c:pt idx="79">
                  <c:v>13414.44313219431</c:v>
                </c:pt>
                <c:pt idx="80">
                  <c:v>13414.44313219431</c:v>
                </c:pt>
                <c:pt idx="81">
                  <c:v>13414.44313219431</c:v>
                </c:pt>
                <c:pt idx="82">
                  <c:v>13414.44313219431</c:v>
                </c:pt>
                <c:pt idx="83">
                  <c:v>13414.44313219431</c:v>
                </c:pt>
                <c:pt idx="84">
                  <c:v>13414.44313219431</c:v>
                </c:pt>
                <c:pt idx="85">
                  <c:v>13414.44313219431</c:v>
                </c:pt>
                <c:pt idx="86">
                  <c:v>13414.44313219431</c:v>
                </c:pt>
                <c:pt idx="87">
                  <c:v>13414.44313219431</c:v>
                </c:pt>
                <c:pt idx="88">
                  <c:v>13414.44313219431</c:v>
                </c:pt>
                <c:pt idx="89">
                  <c:v>13414.44313219431</c:v>
                </c:pt>
                <c:pt idx="90">
                  <c:v>1464.752020840522</c:v>
                </c:pt>
                <c:pt idx="91">
                  <c:v>1464.752020840522</c:v>
                </c:pt>
                <c:pt idx="92">
                  <c:v>1464.752020840522</c:v>
                </c:pt>
                <c:pt idx="93">
                  <c:v>1464.752020840522</c:v>
                </c:pt>
                <c:pt idx="94">
                  <c:v>1464.752020840522</c:v>
                </c:pt>
                <c:pt idx="95">
                  <c:v>1464.752020840522</c:v>
                </c:pt>
                <c:pt idx="96">
                  <c:v>1464.752020840522</c:v>
                </c:pt>
                <c:pt idx="97">
                  <c:v>1464.752020840522</c:v>
                </c:pt>
                <c:pt idx="98">
                  <c:v>1464.752020840522</c:v>
                </c:pt>
                <c:pt idx="99">
                  <c:v>1464.752020840522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878.8512125043133</c:v>
                </c:pt>
                <c:pt idx="1">
                  <c:v>878.8512125043133</c:v>
                </c:pt>
                <c:pt idx="2">
                  <c:v>878.8512125043133</c:v>
                </c:pt>
                <c:pt idx="3">
                  <c:v>878.8512125043133</c:v>
                </c:pt>
                <c:pt idx="4">
                  <c:v>878.8512125043133</c:v>
                </c:pt>
                <c:pt idx="5">
                  <c:v>878.8512125043133</c:v>
                </c:pt>
                <c:pt idx="6">
                  <c:v>878.8512125043133</c:v>
                </c:pt>
                <c:pt idx="7">
                  <c:v>878.8512125043133</c:v>
                </c:pt>
                <c:pt idx="8">
                  <c:v>878.8512125043133</c:v>
                </c:pt>
                <c:pt idx="9">
                  <c:v>878.8512125043133</c:v>
                </c:pt>
                <c:pt idx="10">
                  <c:v>878.8512125043133</c:v>
                </c:pt>
                <c:pt idx="11">
                  <c:v>878.8512125043133</c:v>
                </c:pt>
                <c:pt idx="12">
                  <c:v>878.8512125043133</c:v>
                </c:pt>
                <c:pt idx="13">
                  <c:v>878.8512125043133</c:v>
                </c:pt>
                <c:pt idx="14">
                  <c:v>878.8512125043133</c:v>
                </c:pt>
                <c:pt idx="15">
                  <c:v>878.8512125043133</c:v>
                </c:pt>
                <c:pt idx="16">
                  <c:v>878.8512125043133</c:v>
                </c:pt>
                <c:pt idx="17">
                  <c:v>878.8512125043133</c:v>
                </c:pt>
                <c:pt idx="18">
                  <c:v>878.8512125043133</c:v>
                </c:pt>
                <c:pt idx="19">
                  <c:v>878.8512125043133</c:v>
                </c:pt>
                <c:pt idx="20">
                  <c:v>878.8512125043133</c:v>
                </c:pt>
                <c:pt idx="21">
                  <c:v>878.8512125043133</c:v>
                </c:pt>
                <c:pt idx="22">
                  <c:v>878.8512125043133</c:v>
                </c:pt>
                <c:pt idx="23">
                  <c:v>878.8512125043133</c:v>
                </c:pt>
                <c:pt idx="24">
                  <c:v>878.8512125043133</c:v>
                </c:pt>
                <c:pt idx="25">
                  <c:v>878.8512125043133</c:v>
                </c:pt>
                <c:pt idx="26">
                  <c:v>878.8512125043133</c:v>
                </c:pt>
                <c:pt idx="27">
                  <c:v>878.8512125043133</c:v>
                </c:pt>
                <c:pt idx="28">
                  <c:v>878.8512125043133</c:v>
                </c:pt>
                <c:pt idx="29">
                  <c:v>878.8512125043133</c:v>
                </c:pt>
                <c:pt idx="30">
                  <c:v>878.8512125043133</c:v>
                </c:pt>
                <c:pt idx="31">
                  <c:v>878.8512125043133</c:v>
                </c:pt>
                <c:pt idx="32">
                  <c:v>878.8512125043133</c:v>
                </c:pt>
                <c:pt idx="33">
                  <c:v>878.8512125043133</c:v>
                </c:pt>
                <c:pt idx="34">
                  <c:v>878.8512125043133</c:v>
                </c:pt>
                <c:pt idx="35">
                  <c:v>2999.07976267097</c:v>
                </c:pt>
                <c:pt idx="36">
                  <c:v>2999.07976267097</c:v>
                </c:pt>
                <c:pt idx="37">
                  <c:v>2999.07976267097</c:v>
                </c:pt>
                <c:pt idx="38">
                  <c:v>2999.07976267097</c:v>
                </c:pt>
                <c:pt idx="39">
                  <c:v>2999.07976267097</c:v>
                </c:pt>
                <c:pt idx="40">
                  <c:v>2999.07976267097</c:v>
                </c:pt>
                <c:pt idx="41">
                  <c:v>2999.07976267097</c:v>
                </c:pt>
                <c:pt idx="42">
                  <c:v>2999.07976267097</c:v>
                </c:pt>
                <c:pt idx="43">
                  <c:v>2999.07976267097</c:v>
                </c:pt>
                <c:pt idx="44">
                  <c:v>2999.07976267097</c:v>
                </c:pt>
                <c:pt idx="45">
                  <c:v>2999.07976267097</c:v>
                </c:pt>
                <c:pt idx="46">
                  <c:v>2999.07976267097</c:v>
                </c:pt>
                <c:pt idx="47">
                  <c:v>2999.07976267097</c:v>
                </c:pt>
                <c:pt idx="48">
                  <c:v>2999.07976267097</c:v>
                </c:pt>
                <c:pt idx="49">
                  <c:v>2999.07976267097</c:v>
                </c:pt>
                <c:pt idx="50">
                  <c:v>2999.07976267097</c:v>
                </c:pt>
                <c:pt idx="51">
                  <c:v>2999.07976267097</c:v>
                </c:pt>
                <c:pt idx="52">
                  <c:v>2999.07976267097</c:v>
                </c:pt>
                <c:pt idx="53">
                  <c:v>2999.07976267097</c:v>
                </c:pt>
                <c:pt idx="54">
                  <c:v>2999.07976267097</c:v>
                </c:pt>
                <c:pt idx="55">
                  <c:v>2999.07976267097</c:v>
                </c:pt>
                <c:pt idx="56">
                  <c:v>2999.07976267097</c:v>
                </c:pt>
                <c:pt idx="57">
                  <c:v>2999.07976267097</c:v>
                </c:pt>
                <c:pt idx="58">
                  <c:v>2999.07976267097</c:v>
                </c:pt>
                <c:pt idx="59">
                  <c:v>2999.07976267097</c:v>
                </c:pt>
                <c:pt idx="60">
                  <c:v>2999.07976267097</c:v>
                </c:pt>
                <c:pt idx="61">
                  <c:v>2999.07976267097</c:v>
                </c:pt>
                <c:pt idx="62">
                  <c:v>2999.07976267097</c:v>
                </c:pt>
                <c:pt idx="63">
                  <c:v>2999.07976267097</c:v>
                </c:pt>
                <c:pt idx="64">
                  <c:v>2999.07976267097</c:v>
                </c:pt>
                <c:pt idx="65">
                  <c:v>2999.07976267097</c:v>
                </c:pt>
                <c:pt idx="66">
                  <c:v>2999.07976267097</c:v>
                </c:pt>
                <c:pt idx="67">
                  <c:v>19891.33244301429</c:v>
                </c:pt>
                <c:pt idx="68">
                  <c:v>19891.33244301429</c:v>
                </c:pt>
                <c:pt idx="69">
                  <c:v>19891.33244301429</c:v>
                </c:pt>
                <c:pt idx="70">
                  <c:v>19891.33244301429</c:v>
                </c:pt>
                <c:pt idx="71">
                  <c:v>19891.33244301429</c:v>
                </c:pt>
                <c:pt idx="72">
                  <c:v>19891.33244301429</c:v>
                </c:pt>
                <c:pt idx="73">
                  <c:v>19891.33244301429</c:v>
                </c:pt>
                <c:pt idx="74">
                  <c:v>19891.33244301429</c:v>
                </c:pt>
                <c:pt idx="75">
                  <c:v>19891.33244301429</c:v>
                </c:pt>
                <c:pt idx="76">
                  <c:v>19891.33244301429</c:v>
                </c:pt>
                <c:pt idx="77">
                  <c:v>19891.33244301429</c:v>
                </c:pt>
                <c:pt idx="78">
                  <c:v>19891.33244301429</c:v>
                </c:pt>
                <c:pt idx="79">
                  <c:v>19891.33244301429</c:v>
                </c:pt>
                <c:pt idx="80">
                  <c:v>19891.33244301429</c:v>
                </c:pt>
                <c:pt idx="81">
                  <c:v>19891.33244301429</c:v>
                </c:pt>
                <c:pt idx="82">
                  <c:v>19891.33244301429</c:v>
                </c:pt>
                <c:pt idx="83">
                  <c:v>19891.33244301429</c:v>
                </c:pt>
                <c:pt idx="84">
                  <c:v>19891.33244301429</c:v>
                </c:pt>
                <c:pt idx="85">
                  <c:v>19891.33244301429</c:v>
                </c:pt>
                <c:pt idx="86">
                  <c:v>19891.33244301429</c:v>
                </c:pt>
                <c:pt idx="87">
                  <c:v>19891.33244301429</c:v>
                </c:pt>
                <c:pt idx="88">
                  <c:v>19891.33244301429</c:v>
                </c:pt>
                <c:pt idx="89">
                  <c:v>19891.33244301429</c:v>
                </c:pt>
                <c:pt idx="90">
                  <c:v>63180.61366693507</c:v>
                </c:pt>
                <c:pt idx="91">
                  <c:v>63180.61366693507</c:v>
                </c:pt>
                <c:pt idx="92">
                  <c:v>63180.61366693507</c:v>
                </c:pt>
                <c:pt idx="93">
                  <c:v>63180.61366693507</c:v>
                </c:pt>
                <c:pt idx="94">
                  <c:v>63180.61366693507</c:v>
                </c:pt>
                <c:pt idx="95">
                  <c:v>63180.61366693507</c:v>
                </c:pt>
                <c:pt idx="96">
                  <c:v>63180.61366693507</c:v>
                </c:pt>
                <c:pt idx="97">
                  <c:v>63180.61366693507</c:v>
                </c:pt>
                <c:pt idx="98">
                  <c:v>63180.61366693507</c:v>
                </c:pt>
                <c:pt idx="99">
                  <c:v>63180.61366693507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2064.52118346463</c:v>
                </c:pt>
                <c:pt idx="1">
                  <c:v>2064.52118346463</c:v>
                </c:pt>
                <c:pt idx="2">
                  <c:v>2064.52118346463</c:v>
                </c:pt>
                <c:pt idx="3">
                  <c:v>2064.52118346463</c:v>
                </c:pt>
                <c:pt idx="4">
                  <c:v>2064.52118346463</c:v>
                </c:pt>
                <c:pt idx="5">
                  <c:v>2064.52118346463</c:v>
                </c:pt>
                <c:pt idx="6">
                  <c:v>2064.52118346463</c:v>
                </c:pt>
                <c:pt idx="7">
                  <c:v>2064.52118346463</c:v>
                </c:pt>
                <c:pt idx="8">
                  <c:v>2064.52118346463</c:v>
                </c:pt>
                <c:pt idx="9">
                  <c:v>2064.52118346463</c:v>
                </c:pt>
                <c:pt idx="10">
                  <c:v>2064.52118346463</c:v>
                </c:pt>
                <c:pt idx="11">
                  <c:v>2064.52118346463</c:v>
                </c:pt>
                <c:pt idx="12">
                  <c:v>2064.52118346463</c:v>
                </c:pt>
                <c:pt idx="13">
                  <c:v>2064.52118346463</c:v>
                </c:pt>
                <c:pt idx="14">
                  <c:v>2064.52118346463</c:v>
                </c:pt>
                <c:pt idx="15">
                  <c:v>2064.52118346463</c:v>
                </c:pt>
                <c:pt idx="16">
                  <c:v>2064.52118346463</c:v>
                </c:pt>
                <c:pt idx="17">
                  <c:v>2064.52118346463</c:v>
                </c:pt>
                <c:pt idx="18">
                  <c:v>2064.52118346463</c:v>
                </c:pt>
                <c:pt idx="19">
                  <c:v>2064.52118346463</c:v>
                </c:pt>
                <c:pt idx="20">
                  <c:v>2064.52118346463</c:v>
                </c:pt>
                <c:pt idx="21">
                  <c:v>2064.52118346463</c:v>
                </c:pt>
                <c:pt idx="22">
                  <c:v>2064.52118346463</c:v>
                </c:pt>
                <c:pt idx="23">
                  <c:v>2064.52118346463</c:v>
                </c:pt>
                <c:pt idx="24">
                  <c:v>2064.52118346463</c:v>
                </c:pt>
                <c:pt idx="25">
                  <c:v>2064.52118346463</c:v>
                </c:pt>
                <c:pt idx="26">
                  <c:v>2064.52118346463</c:v>
                </c:pt>
                <c:pt idx="27">
                  <c:v>2064.52118346463</c:v>
                </c:pt>
                <c:pt idx="28">
                  <c:v>2064.52118346463</c:v>
                </c:pt>
                <c:pt idx="29">
                  <c:v>2064.52118346463</c:v>
                </c:pt>
                <c:pt idx="30">
                  <c:v>2064.52118346463</c:v>
                </c:pt>
                <c:pt idx="31">
                  <c:v>2064.52118346463</c:v>
                </c:pt>
                <c:pt idx="32">
                  <c:v>2064.52118346463</c:v>
                </c:pt>
                <c:pt idx="33">
                  <c:v>2064.52118346463</c:v>
                </c:pt>
                <c:pt idx="34">
                  <c:v>2064.52118346463</c:v>
                </c:pt>
                <c:pt idx="35">
                  <c:v>2083.780660006859</c:v>
                </c:pt>
                <c:pt idx="36">
                  <c:v>2083.780660006859</c:v>
                </c:pt>
                <c:pt idx="37">
                  <c:v>2083.780660006859</c:v>
                </c:pt>
                <c:pt idx="38">
                  <c:v>2083.780660006859</c:v>
                </c:pt>
                <c:pt idx="39">
                  <c:v>2083.780660006859</c:v>
                </c:pt>
                <c:pt idx="40">
                  <c:v>2083.780660006859</c:v>
                </c:pt>
                <c:pt idx="41">
                  <c:v>2083.780660006859</c:v>
                </c:pt>
                <c:pt idx="42">
                  <c:v>2083.780660006859</c:v>
                </c:pt>
                <c:pt idx="43">
                  <c:v>2083.780660006859</c:v>
                </c:pt>
                <c:pt idx="44">
                  <c:v>2083.780660006859</c:v>
                </c:pt>
                <c:pt idx="45">
                  <c:v>2083.780660006859</c:v>
                </c:pt>
                <c:pt idx="46">
                  <c:v>2083.780660006859</c:v>
                </c:pt>
                <c:pt idx="47">
                  <c:v>2083.780660006859</c:v>
                </c:pt>
                <c:pt idx="48">
                  <c:v>2083.780660006859</c:v>
                </c:pt>
                <c:pt idx="49">
                  <c:v>2083.780660006859</c:v>
                </c:pt>
                <c:pt idx="50">
                  <c:v>2083.780660006859</c:v>
                </c:pt>
                <c:pt idx="51">
                  <c:v>2083.780660006859</c:v>
                </c:pt>
                <c:pt idx="52">
                  <c:v>2083.780660006859</c:v>
                </c:pt>
                <c:pt idx="53">
                  <c:v>2083.780660006859</c:v>
                </c:pt>
                <c:pt idx="54">
                  <c:v>2083.780660006859</c:v>
                </c:pt>
                <c:pt idx="55">
                  <c:v>2083.780660006859</c:v>
                </c:pt>
                <c:pt idx="56">
                  <c:v>2083.780660006859</c:v>
                </c:pt>
                <c:pt idx="57">
                  <c:v>2083.780660006859</c:v>
                </c:pt>
                <c:pt idx="58">
                  <c:v>2083.780660006859</c:v>
                </c:pt>
                <c:pt idx="59">
                  <c:v>2083.780660006859</c:v>
                </c:pt>
                <c:pt idx="60">
                  <c:v>2083.780660006859</c:v>
                </c:pt>
                <c:pt idx="61">
                  <c:v>2083.780660006859</c:v>
                </c:pt>
                <c:pt idx="62">
                  <c:v>2083.780660006859</c:v>
                </c:pt>
                <c:pt idx="63">
                  <c:v>2083.780660006859</c:v>
                </c:pt>
                <c:pt idx="64">
                  <c:v>2083.780660006859</c:v>
                </c:pt>
                <c:pt idx="65">
                  <c:v>2083.780660006859</c:v>
                </c:pt>
                <c:pt idx="66">
                  <c:v>2083.780660006859</c:v>
                </c:pt>
                <c:pt idx="67">
                  <c:v>1750.351186821218</c:v>
                </c:pt>
                <c:pt idx="68">
                  <c:v>1750.351186821218</c:v>
                </c:pt>
                <c:pt idx="69">
                  <c:v>1750.351186821218</c:v>
                </c:pt>
                <c:pt idx="70">
                  <c:v>1750.351186821218</c:v>
                </c:pt>
                <c:pt idx="71">
                  <c:v>1750.351186821218</c:v>
                </c:pt>
                <c:pt idx="72">
                  <c:v>1750.351186821218</c:v>
                </c:pt>
                <c:pt idx="73">
                  <c:v>1750.351186821218</c:v>
                </c:pt>
                <c:pt idx="74">
                  <c:v>1750.351186821218</c:v>
                </c:pt>
                <c:pt idx="75">
                  <c:v>1750.351186821218</c:v>
                </c:pt>
                <c:pt idx="76">
                  <c:v>1750.351186821218</c:v>
                </c:pt>
                <c:pt idx="77">
                  <c:v>1750.351186821218</c:v>
                </c:pt>
                <c:pt idx="78">
                  <c:v>1750.351186821218</c:v>
                </c:pt>
                <c:pt idx="79">
                  <c:v>1750.351186821218</c:v>
                </c:pt>
                <c:pt idx="80">
                  <c:v>1750.351186821218</c:v>
                </c:pt>
                <c:pt idx="81">
                  <c:v>1750.351186821218</c:v>
                </c:pt>
                <c:pt idx="82">
                  <c:v>1750.351186821218</c:v>
                </c:pt>
                <c:pt idx="83">
                  <c:v>1750.351186821218</c:v>
                </c:pt>
                <c:pt idx="84">
                  <c:v>1750.351186821218</c:v>
                </c:pt>
                <c:pt idx="85">
                  <c:v>1750.351186821218</c:v>
                </c:pt>
                <c:pt idx="86">
                  <c:v>1750.351186821218</c:v>
                </c:pt>
                <c:pt idx="87">
                  <c:v>1750.351186821218</c:v>
                </c:pt>
                <c:pt idx="88">
                  <c:v>1750.351186821218</c:v>
                </c:pt>
                <c:pt idx="89">
                  <c:v>1750.351186821218</c:v>
                </c:pt>
                <c:pt idx="90">
                  <c:v>995.9067428164226</c:v>
                </c:pt>
                <c:pt idx="91">
                  <c:v>995.9067428164226</c:v>
                </c:pt>
                <c:pt idx="92">
                  <c:v>995.9067428164226</c:v>
                </c:pt>
                <c:pt idx="93">
                  <c:v>995.9067428164226</c:v>
                </c:pt>
                <c:pt idx="94">
                  <c:v>995.9067428164226</c:v>
                </c:pt>
                <c:pt idx="95">
                  <c:v>995.9067428164226</c:v>
                </c:pt>
                <c:pt idx="96">
                  <c:v>995.9067428164226</c:v>
                </c:pt>
                <c:pt idx="97">
                  <c:v>995.9067428164226</c:v>
                </c:pt>
                <c:pt idx="98">
                  <c:v>995.9067428164226</c:v>
                </c:pt>
                <c:pt idx="99">
                  <c:v>995.9067428164226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33527.37387631745</c:v>
                </c:pt>
                <c:pt idx="1">
                  <c:v>33527.37387631745</c:v>
                </c:pt>
                <c:pt idx="2">
                  <c:v>33527.37387631745</c:v>
                </c:pt>
                <c:pt idx="3">
                  <c:v>33527.37387631745</c:v>
                </c:pt>
                <c:pt idx="4">
                  <c:v>33527.37387631745</c:v>
                </c:pt>
                <c:pt idx="5">
                  <c:v>33527.37387631745</c:v>
                </c:pt>
                <c:pt idx="6">
                  <c:v>33527.37387631745</c:v>
                </c:pt>
                <c:pt idx="7">
                  <c:v>33527.37387631745</c:v>
                </c:pt>
                <c:pt idx="8">
                  <c:v>33527.37387631745</c:v>
                </c:pt>
                <c:pt idx="9">
                  <c:v>33527.37387631745</c:v>
                </c:pt>
                <c:pt idx="10">
                  <c:v>33527.37387631745</c:v>
                </c:pt>
                <c:pt idx="11">
                  <c:v>33527.37387631745</c:v>
                </c:pt>
                <c:pt idx="12">
                  <c:v>33527.37387631745</c:v>
                </c:pt>
                <c:pt idx="13">
                  <c:v>33527.37387631745</c:v>
                </c:pt>
                <c:pt idx="14">
                  <c:v>33527.37387631745</c:v>
                </c:pt>
                <c:pt idx="15">
                  <c:v>33527.37387631745</c:v>
                </c:pt>
                <c:pt idx="16">
                  <c:v>33527.37387631745</c:v>
                </c:pt>
                <c:pt idx="17">
                  <c:v>33527.37387631745</c:v>
                </c:pt>
                <c:pt idx="18">
                  <c:v>33527.37387631745</c:v>
                </c:pt>
                <c:pt idx="19">
                  <c:v>33527.37387631745</c:v>
                </c:pt>
                <c:pt idx="20">
                  <c:v>33527.37387631745</c:v>
                </c:pt>
                <c:pt idx="21">
                  <c:v>33527.37387631745</c:v>
                </c:pt>
                <c:pt idx="22">
                  <c:v>33527.37387631745</c:v>
                </c:pt>
                <c:pt idx="23">
                  <c:v>33527.37387631745</c:v>
                </c:pt>
                <c:pt idx="24">
                  <c:v>33527.37387631745</c:v>
                </c:pt>
                <c:pt idx="25">
                  <c:v>33527.37387631745</c:v>
                </c:pt>
                <c:pt idx="26">
                  <c:v>33527.37387631745</c:v>
                </c:pt>
                <c:pt idx="27">
                  <c:v>33527.37387631745</c:v>
                </c:pt>
                <c:pt idx="28">
                  <c:v>33527.37387631745</c:v>
                </c:pt>
                <c:pt idx="29">
                  <c:v>33527.37387631745</c:v>
                </c:pt>
                <c:pt idx="30">
                  <c:v>33527.37387631745</c:v>
                </c:pt>
                <c:pt idx="31">
                  <c:v>33527.37387631745</c:v>
                </c:pt>
                <c:pt idx="32">
                  <c:v>33527.37387631745</c:v>
                </c:pt>
                <c:pt idx="33">
                  <c:v>33527.37387631745</c:v>
                </c:pt>
                <c:pt idx="34">
                  <c:v>33527.37387631745</c:v>
                </c:pt>
                <c:pt idx="35">
                  <c:v>33512.7018308924</c:v>
                </c:pt>
                <c:pt idx="36">
                  <c:v>33512.7018308924</c:v>
                </c:pt>
                <c:pt idx="37">
                  <c:v>33512.7018308924</c:v>
                </c:pt>
                <c:pt idx="38">
                  <c:v>33512.7018308924</c:v>
                </c:pt>
                <c:pt idx="39">
                  <c:v>33512.7018308924</c:v>
                </c:pt>
                <c:pt idx="40">
                  <c:v>33512.7018308924</c:v>
                </c:pt>
                <c:pt idx="41">
                  <c:v>33512.7018308924</c:v>
                </c:pt>
                <c:pt idx="42">
                  <c:v>33512.7018308924</c:v>
                </c:pt>
                <c:pt idx="43">
                  <c:v>33512.7018308924</c:v>
                </c:pt>
                <c:pt idx="44">
                  <c:v>33512.7018308924</c:v>
                </c:pt>
                <c:pt idx="45">
                  <c:v>33512.7018308924</c:v>
                </c:pt>
                <c:pt idx="46">
                  <c:v>33512.7018308924</c:v>
                </c:pt>
                <c:pt idx="47">
                  <c:v>33512.7018308924</c:v>
                </c:pt>
                <c:pt idx="48">
                  <c:v>33512.7018308924</c:v>
                </c:pt>
                <c:pt idx="49">
                  <c:v>33512.7018308924</c:v>
                </c:pt>
                <c:pt idx="50">
                  <c:v>33512.7018308924</c:v>
                </c:pt>
                <c:pt idx="51">
                  <c:v>33512.7018308924</c:v>
                </c:pt>
                <c:pt idx="52">
                  <c:v>33512.7018308924</c:v>
                </c:pt>
                <c:pt idx="53">
                  <c:v>33512.7018308924</c:v>
                </c:pt>
                <c:pt idx="54">
                  <c:v>33512.7018308924</c:v>
                </c:pt>
                <c:pt idx="55">
                  <c:v>33512.7018308924</c:v>
                </c:pt>
                <c:pt idx="56">
                  <c:v>33512.7018308924</c:v>
                </c:pt>
                <c:pt idx="57">
                  <c:v>33512.7018308924</c:v>
                </c:pt>
                <c:pt idx="58">
                  <c:v>33512.7018308924</c:v>
                </c:pt>
                <c:pt idx="59">
                  <c:v>33512.7018308924</c:v>
                </c:pt>
                <c:pt idx="60">
                  <c:v>33512.7018308924</c:v>
                </c:pt>
                <c:pt idx="61">
                  <c:v>33512.7018308924</c:v>
                </c:pt>
                <c:pt idx="62">
                  <c:v>33512.7018308924</c:v>
                </c:pt>
                <c:pt idx="63">
                  <c:v>33512.7018308924</c:v>
                </c:pt>
                <c:pt idx="64">
                  <c:v>33512.7018308924</c:v>
                </c:pt>
                <c:pt idx="65">
                  <c:v>33512.7018308924</c:v>
                </c:pt>
                <c:pt idx="66">
                  <c:v>33512.7018308924</c:v>
                </c:pt>
                <c:pt idx="67">
                  <c:v>23805.10767650275</c:v>
                </c:pt>
                <c:pt idx="68">
                  <c:v>23805.10767650275</c:v>
                </c:pt>
                <c:pt idx="69">
                  <c:v>23805.10767650275</c:v>
                </c:pt>
                <c:pt idx="70">
                  <c:v>23805.10767650275</c:v>
                </c:pt>
                <c:pt idx="71">
                  <c:v>23805.10767650275</c:v>
                </c:pt>
                <c:pt idx="72">
                  <c:v>23805.10767650275</c:v>
                </c:pt>
                <c:pt idx="73">
                  <c:v>23805.10767650275</c:v>
                </c:pt>
                <c:pt idx="74">
                  <c:v>23805.10767650275</c:v>
                </c:pt>
                <c:pt idx="75">
                  <c:v>23805.10767650275</c:v>
                </c:pt>
                <c:pt idx="76">
                  <c:v>23805.10767650275</c:v>
                </c:pt>
                <c:pt idx="77">
                  <c:v>23805.10767650275</c:v>
                </c:pt>
                <c:pt idx="78">
                  <c:v>23805.10767650275</c:v>
                </c:pt>
                <c:pt idx="79">
                  <c:v>23805.10767650275</c:v>
                </c:pt>
                <c:pt idx="80">
                  <c:v>23805.10767650275</c:v>
                </c:pt>
                <c:pt idx="81">
                  <c:v>23805.10767650275</c:v>
                </c:pt>
                <c:pt idx="82">
                  <c:v>23805.10767650275</c:v>
                </c:pt>
                <c:pt idx="83">
                  <c:v>23805.10767650275</c:v>
                </c:pt>
                <c:pt idx="84">
                  <c:v>23805.10767650275</c:v>
                </c:pt>
                <c:pt idx="85">
                  <c:v>23805.10767650275</c:v>
                </c:pt>
                <c:pt idx="86">
                  <c:v>23805.10767650275</c:v>
                </c:pt>
                <c:pt idx="87">
                  <c:v>23805.10767650275</c:v>
                </c:pt>
                <c:pt idx="88">
                  <c:v>23805.10767650275</c:v>
                </c:pt>
                <c:pt idx="89">
                  <c:v>23805.10767650275</c:v>
                </c:pt>
                <c:pt idx="90">
                  <c:v>14854.00807714631</c:v>
                </c:pt>
                <c:pt idx="91">
                  <c:v>14854.00807714631</c:v>
                </c:pt>
                <c:pt idx="92">
                  <c:v>14854.00807714631</c:v>
                </c:pt>
                <c:pt idx="93">
                  <c:v>14854.00807714631</c:v>
                </c:pt>
                <c:pt idx="94">
                  <c:v>14854.00807714631</c:v>
                </c:pt>
                <c:pt idx="95">
                  <c:v>14854.00807714631</c:v>
                </c:pt>
                <c:pt idx="96">
                  <c:v>14854.00807714631</c:v>
                </c:pt>
                <c:pt idx="97">
                  <c:v>14854.00807714631</c:v>
                </c:pt>
                <c:pt idx="98">
                  <c:v>14854.00807714631</c:v>
                </c:pt>
                <c:pt idx="99">
                  <c:v>14854.00807714631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2294.778165983484</c:v>
                </c:pt>
                <c:pt idx="1">
                  <c:v>2294.778165983484</c:v>
                </c:pt>
                <c:pt idx="2">
                  <c:v>2294.778165983484</c:v>
                </c:pt>
                <c:pt idx="3">
                  <c:v>2294.778165983484</c:v>
                </c:pt>
                <c:pt idx="4">
                  <c:v>2294.778165983484</c:v>
                </c:pt>
                <c:pt idx="5">
                  <c:v>2294.778165983484</c:v>
                </c:pt>
                <c:pt idx="6">
                  <c:v>2294.778165983484</c:v>
                </c:pt>
                <c:pt idx="7">
                  <c:v>2294.778165983484</c:v>
                </c:pt>
                <c:pt idx="8">
                  <c:v>2294.778165983484</c:v>
                </c:pt>
                <c:pt idx="9">
                  <c:v>2294.778165983484</c:v>
                </c:pt>
                <c:pt idx="10">
                  <c:v>2294.778165983484</c:v>
                </c:pt>
                <c:pt idx="11">
                  <c:v>2294.778165983484</c:v>
                </c:pt>
                <c:pt idx="12">
                  <c:v>2294.778165983484</c:v>
                </c:pt>
                <c:pt idx="13">
                  <c:v>2294.778165983484</c:v>
                </c:pt>
                <c:pt idx="14">
                  <c:v>2294.778165983484</c:v>
                </c:pt>
                <c:pt idx="15">
                  <c:v>2294.778165983484</c:v>
                </c:pt>
                <c:pt idx="16">
                  <c:v>2294.778165983484</c:v>
                </c:pt>
                <c:pt idx="17">
                  <c:v>2294.778165983484</c:v>
                </c:pt>
                <c:pt idx="18">
                  <c:v>2294.778165983484</c:v>
                </c:pt>
                <c:pt idx="19">
                  <c:v>2294.778165983484</c:v>
                </c:pt>
                <c:pt idx="20">
                  <c:v>2294.778165983484</c:v>
                </c:pt>
                <c:pt idx="21">
                  <c:v>2294.778165983484</c:v>
                </c:pt>
                <c:pt idx="22">
                  <c:v>2294.778165983484</c:v>
                </c:pt>
                <c:pt idx="23">
                  <c:v>2294.778165983484</c:v>
                </c:pt>
                <c:pt idx="24">
                  <c:v>2294.778165983484</c:v>
                </c:pt>
                <c:pt idx="25">
                  <c:v>2294.778165983484</c:v>
                </c:pt>
                <c:pt idx="26">
                  <c:v>2294.778165983484</c:v>
                </c:pt>
                <c:pt idx="27">
                  <c:v>2294.778165983484</c:v>
                </c:pt>
                <c:pt idx="28">
                  <c:v>2294.778165983484</c:v>
                </c:pt>
                <c:pt idx="29">
                  <c:v>2294.778165983484</c:v>
                </c:pt>
                <c:pt idx="30">
                  <c:v>2294.778165983484</c:v>
                </c:pt>
                <c:pt idx="31">
                  <c:v>2294.778165983484</c:v>
                </c:pt>
                <c:pt idx="32">
                  <c:v>2294.778165983484</c:v>
                </c:pt>
                <c:pt idx="33">
                  <c:v>2294.778165983484</c:v>
                </c:pt>
                <c:pt idx="34">
                  <c:v>2294.778165983484</c:v>
                </c:pt>
                <c:pt idx="35">
                  <c:v>3994.500823500508</c:v>
                </c:pt>
                <c:pt idx="36">
                  <c:v>3994.500823500508</c:v>
                </c:pt>
                <c:pt idx="37">
                  <c:v>3994.500823500508</c:v>
                </c:pt>
                <c:pt idx="38">
                  <c:v>3994.500823500508</c:v>
                </c:pt>
                <c:pt idx="39">
                  <c:v>3994.500823500508</c:v>
                </c:pt>
                <c:pt idx="40">
                  <c:v>3994.500823500508</c:v>
                </c:pt>
                <c:pt idx="41">
                  <c:v>3994.500823500508</c:v>
                </c:pt>
                <c:pt idx="42">
                  <c:v>3994.500823500508</c:v>
                </c:pt>
                <c:pt idx="43">
                  <c:v>3994.500823500508</c:v>
                </c:pt>
                <c:pt idx="44">
                  <c:v>3994.500823500508</c:v>
                </c:pt>
                <c:pt idx="45">
                  <c:v>3994.500823500508</c:v>
                </c:pt>
                <c:pt idx="46">
                  <c:v>3994.500823500508</c:v>
                </c:pt>
                <c:pt idx="47">
                  <c:v>3994.500823500508</c:v>
                </c:pt>
                <c:pt idx="48">
                  <c:v>3994.500823500508</c:v>
                </c:pt>
                <c:pt idx="49">
                  <c:v>3994.500823500508</c:v>
                </c:pt>
                <c:pt idx="50">
                  <c:v>3994.500823500508</c:v>
                </c:pt>
                <c:pt idx="51">
                  <c:v>3994.500823500508</c:v>
                </c:pt>
                <c:pt idx="52">
                  <c:v>3994.500823500508</c:v>
                </c:pt>
                <c:pt idx="53">
                  <c:v>3994.500823500508</c:v>
                </c:pt>
                <c:pt idx="54">
                  <c:v>3994.500823500508</c:v>
                </c:pt>
                <c:pt idx="55">
                  <c:v>3994.500823500508</c:v>
                </c:pt>
                <c:pt idx="56">
                  <c:v>3994.500823500508</c:v>
                </c:pt>
                <c:pt idx="57">
                  <c:v>3994.500823500508</c:v>
                </c:pt>
                <c:pt idx="58">
                  <c:v>3994.500823500508</c:v>
                </c:pt>
                <c:pt idx="59">
                  <c:v>3994.500823500508</c:v>
                </c:pt>
                <c:pt idx="60">
                  <c:v>3994.500823500508</c:v>
                </c:pt>
                <c:pt idx="61">
                  <c:v>3994.500823500508</c:v>
                </c:pt>
                <c:pt idx="62">
                  <c:v>3994.500823500508</c:v>
                </c:pt>
                <c:pt idx="63">
                  <c:v>3994.500823500508</c:v>
                </c:pt>
                <c:pt idx="64">
                  <c:v>3994.500823500508</c:v>
                </c:pt>
                <c:pt idx="65">
                  <c:v>3994.500823500508</c:v>
                </c:pt>
                <c:pt idx="66">
                  <c:v>3994.500823500508</c:v>
                </c:pt>
                <c:pt idx="67">
                  <c:v>6591.384093782348</c:v>
                </c:pt>
                <c:pt idx="68">
                  <c:v>6591.384093782348</c:v>
                </c:pt>
                <c:pt idx="69">
                  <c:v>6591.384093782348</c:v>
                </c:pt>
                <c:pt idx="70">
                  <c:v>6591.384093782348</c:v>
                </c:pt>
                <c:pt idx="71">
                  <c:v>6591.384093782348</c:v>
                </c:pt>
                <c:pt idx="72">
                  <c:v>6591.384093782348</c:v>
                </c:pt>
                <c:pt idx="73">
                  <c:v>6591.384093782348</c:v>
                </c:pt>
                <c:pt idx="74">
                  <c:v>6591.384093782348</c:v>
                </c:pt>
                <c:pt idx="75">
                  <c:v>6591.384093782348</c:v>
                </c:pt>
                <c:pt idx="76">
                  <c:v>6591.384093782348</c:v>
                </c:pt>
                <c:pt idx="77">
                  <c:v>6591.384093782348</c:v>
                </c:pt>
                <c:pt idx="78">
                  <c:v>6591.384093782348</c:v>
                </c:pt>
                <c:pt idx="79">
                  <c:v>6591.384093782348</c:v>
                </c:pt>
                <c:pt idx="80">
                  <c:v>6591.384093782348</c:v>
                </c:pt>
                <c:pt idx="81">
                  <c:v>6591.384093782348</c:v>
                </c:pt>
                <c:pt idx="82">
                  <c:v>6591.384093782348</c:v>
                </c:pt>
                <c:pt idx="83">
                  <c:v>6591.384093782348</c:v>
                </c:pt>
                <c:pt idx="84">
                  <c:v>6591.384093782348</c:v>
                </c:pt>
                <c:pt idx="85">
                  <c:v>6591.384093782348</c:v>
                </c:pt>
                <c:pt idx="86">
                  <c:v>6591.384093782348</c:v>
                </c:pt>
                <c:pt idx="87">
                  <c:v>6591.384093782348</c:v>
                </c:pt>
                <c:pt idx="88">
                  <c:v>6591.384093782348</c:v>
                </c:pt>
                <c:pt idx="89">
                  <c:v>6591.384093782348</c:v>
                </c:pt>
                <c:pt idx="90">
                  <c:v>10326.50174692568</c:v>
                </c:pt>
                <c:pt idx="91">
                  <c:v>10326.50174692568</c:v>
                </c:pt>
                <c:pt idx="92">
                  <c:v>10326.50174692568</c:v>
                </c:pt>
                <c:pt idx="93">
                  <c:v>10326.50174692568</c:v>
                </c:pt>
                <c:pt idx="94">
                  <c:v>10326.50174692568</c:v>
                </c:pt>
                <c:pt idx="95">
                  <c:v>10326.50174692568</c:v>
                </c:pt>
                <c:pt idx="96">
                  <c:v>10326.50174692568</c:v>
                </c:pt>
                <c:pt idx="97">
                  <c:v>10326.50174692568</c:v>
                </c:pt>
                <c:pt idx="98">
                  <c:v>10326.50174692568</c:v>
                </c:pt>
                <c:pt idx="99">
                  <c:v>10326.50174692568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6285400"/>
        <c:axId val="-2015513592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37756.62117311318</c:v>
                </c:pt>
                <c:pt idx="1">
                  <c:v>37756.62117311318</c:v>
                </c:pt>
                <c:pt idx="2">
                  <c:v>37756.62117311318</c:v>
                </c:pt>
                <c:pt idx="3">
                  <c:v>37756.62117311318</c:v>
                </c:pt>
                <c:pt idx="4">
                  <c:v>37756.62117311318</c:v>
                </c:pt>
                <c:pt idx="5">
                  <c:v>37756.62117311318</c:v>
                </c:pt>
                <c:pt idx="6">
                  <c:v>37756.62117311318</c:v>
                </c:pt>
                <c:pt idx="7">
                  <c:v>37756.62117311318</c:v>
                </c:pt>
                <c:pt idx="8">
                  <c:v>37756.62117311318</c:v>
                </c:pt>
                <c:pt idx="9">
                  <c:v>37756.62117311318</c:v>
                </c:pt>
                <c:pt idx="10">
                  <c:v>37756.62117311318</c:v>
                </c:pt>
                <c:pt idx="11">
                  <c:v>37756.62117311318</c:v>
                </c:pt>
                <c:pt idx="12">
                  <c:v>37756.62117311318</c:v>
                </c:pt>
                <c:pt idx="13">
                  <c:v>37756.62117311318</c:v>
                </c:pt>
                <c:pt idx="14">
                  <c:v>37756.62117311318</c:v>
                </c:pt>
                <c:pt idx="15">
                  <c:v>37756.62117311318</c:v>
                </c:pt>
                <c:pt idx="16">
                  <c:v>37756.62117311318</c:v>
                </c:pt>
                <c:pt idx="17">
                  <c:v>37756.62117311318</c:v>
                </c:pt>
                <c:pt idx="18">
                  <c:v>37756.62117311318</c:v>
                </c:pt>
                <c:pt idx="19">
                  <c:v>37756.62117311318</c:v>
                </c:pt>
                <c:pt idx="20">
                  <c:v>37756.62117311318</c:v>
                </c:pt>
                <c:pt idx="21">
                  <c:v>37756.62117311318</c:v>
                </c:pt>
                <c:pt idx="22">
                  <c:v>37756.62117311318</c:v>
                </c:pt>
                <c:pt idx="23">
                  <c:v>37756.62117311318</c:v>
                </c:pt>
                <c:pt idx="24">
                  <c:v>37756.62117311318</c:v>
                </c:pt>
                <c:pt idx="25">
                  <c:v>37756.62117311318</c:v>
                </c:pt>
                <c:pt idx="26">
                  <c:v>37756.62117311318</c:v>
                </c:pt>
                <c:pt idx="27">
                  <c:v>37756.62117311318</c:v>
                </c:pt>
                <c:pt idx="28">
                  <c:v>37756.62117311318</c:v>
                </c:pt>
                <c:pt idx="29">
                  <c:v>37756.62117311318</c:v>
                </c:pt>
                <c:pt idx="30">
                  <c:v>37756.62117311318</c:v>
                </c:pt>
                <c:pt idx="31">
                  <c:v>37756.62117311318</c:v>
                </c:pt>
                <c:pt idx="32">
                  <c:v>37756.62117311318</c:v>
                </c:pt>
                <c:pt idx="33">
                  <c:v>37756.62117311318</c:v>
                </c:pt>
                <c:pt idx="34">
                  <c:v>37756.62117311318</c:v>
                </c:pt>
                <c:pt idx="35">
                  <c:v>37756.62117311317</c:v>
                </c:pt>
                <c:pt idx="36">
                  <c:v>37756.62117311317</c:v>
                </c:pt>
                <c:pt idx="37">
                  <c:v>37756.62117311317</c:v>
                </c:pt>
                <c:pt idx="38">
                  <c:v>37756.62117311317</c:v>
                </c:pt>
                <c:pt idx="39">
                  <c:v>37756.62117311317</c:v>
                </c:pt>
                <c:pt idx="40">
                  <c:v>37756.62117311317</c:v>
                </c:pt>
                <c:pt idx="41">
                  <c:v>37756.62117311317</c:v>
                </c:pt>
                <c:pt idx="42">
                  <c:v>37756.62117311317</c:v>
                </c:pt>
                <c:pt idx="43">
                  <c:v>37756.62117311317</c:v>
                </c:pt>
                <c:pt idx="44">
                  <c:v>37756.62117311317</c:v>
                </c:pt>
                <c:pt idx="45">
                  <c:v>37756.62117311317</c:v>
                </c:pt>
                <c:pt idx="46">
                  <c:v>37756.62117311317</c:v>
                </c:pt>
                <c:pt idx="47">
                  <c:v>37756.62117311317</c:v>
                </c:pt>
                <c:pt idx="48">
                  <c:v>37756.62117311317</c:v>
                </c:pt>
                <c:pt idx="49">
                  <c:v>37756.62117311317</c:v>
                </c:pt>
                <c:pt idx="50">
                  <c:v>37756.62117311317</c:v>
                </c:pt>
                <c:pt idx="51">
                  <c:v>37756.62117311317</c:v>
                </c:pt>
                <c:pt idx="52">
                  <c:v>37756.62117311317</c:v>
                </c:pt>
                <c:pt idx="53">
                  <c:v>37756.62117311317</c:v>
                </c:pt>
                <c:pt idx="54">
                  <c:v>37756.62117311317</c:v>
                </c:pt>
                <c:pt idx="55">
                  <c:v>37756.62117311317</c:v>
                </c:pt>
                <c:pt idx="56">
                  <c:v>37756.62117311317</c:v>
                </c:pt>
                <c:pt idx="57">
                  <c:v>37756.62117311317</c:v>
                </c:pt>
                <c:pt idx="58">
                  <c:v>37756.62117311317</c:v>
                </c:pt>
                <c:pt idx="59">
                  <c:v>37756.62117311317</c:v>
                </c:pt>
                <c:pt idx="60">
                  <c:v>37756.62117311317</c:v>
                </c:pt>
                <c:pt idx="61">
                  <c:v>37756.62117311317</c:v>
                </c:pt>
                <c:pt idx="62">
                  <c:v>37756.62117311317</c:v>
                </c:pt>
                <c:pt idx="63">
                  <c:v>37756.62117311317</c:v>
                </c:pt>
                <c:pt idx="64">
                  <c:v>37756.62117311317</c:v>
                </c:pt>
                <c:pt idx="65">
                  <c:v>37756.62117311317</c:v>
                </c:pt>
                <c:pt idx="66">
                  <c:v>37756.62117311317</c:v>
                </c:pt>
                <c:pt idx="67">
                  <c:v>37756.62117311318</c:v>
                </c:pt>
                <c:pt idx="68">
                  <c:v>37756.62117311318</c:v>
                </c:pt>
                <c:pt idx="69">
                  <c:v>37756.62117311318</c:v>
                </c:pt>
                <c:pt idx="70">
                  <c:v>37756.62117311318</c:v>
                </c:pt>
                <c:pt idx="71">
                  <c:v>37756.62117311318</c:v>
                </c:pt>
                <c:pt idx="72">
                  <c:v>37756.62117311318</c:v>
                </c:pt>
                <c:pt idx="73">
                  <c:v>37756.62117311318</c:v>
                </c:pt>
                <c:pt idx="74">
                  <c:v>37756.62117311318</c:v>
                </c:pt>
                <c:pt idx="75">
                  <c:v>37756.62117311318</c:v>
                </c:pt>
                <c:pt idx="76">
                  <c:v>37756.62117311318</c:v>
                </c:pt>
                <c:pt idx="77">
                  <c:v>37756.62117311318</c:v>
                </c:pt>
                <c:pt idx="78">
                  <c:v>37756.62117311318</c:v>
                </c:pt>
                <c:pt idx="79">
                  <c:v>37756.62117311318</c:v>
                </c:pt>
                <c:pt idx="80">
                  <c:v>37756.62117311318</c:v>
                </c:pt>
                <c:pt idx="81">
                  <c:v>37756.62117311318</c:v>
                </c:pt>
                <c:pt idx="82">
                  <c:v>37756.62117311318</c:v>
                </c:pt>
                <c:pt idx="83">
                  <c:v>37756.62117311318</c:v>
                </c:pt>
                <c:pt idx="84">
                  <c:v>37756.62117311318</c:v>
                </c:pt>
                <c:pt idx="85">
                  <c:v>37756.62117311318</c:v>
                </c:pt>
                <c:pt idx="86">
                  <c:v>37756.62117311318</c:v>
                </c:pt>
                <c:pt idx="87">
                  <c:v>37756.62117311318</c:v>
                </c:pt>
                <c:pt idx="88">
                  <c:v>37756.62117311318</c:v>
                </c:pt>
                <c:pt idx="89">
                  <c:v>37756.62117311318</c:v>
                </c:pt>
                <c:pt idx="90">
                  <c:v>37756.62117311318</c:v>
                </c:pt>
                <c:pt idx="91">
                  <c:v>37756.62117311318</c:v>
                </c:pt>
                <c:pt idx="92">
                  <c:v>37756.62117311318</c:v>
                </c:pt>
                <c:pt idx="93">
                  <c:v>37756.62117311318</c:v>
                </c:pt>
                <c:pt idx="94">
                  <c:v>37756.62117311318</c:v>
                </c:pt>
                <c:pt idx="95">
                  <c:v>37756.62117311318</c:v>
                </c:pt>
                <c:pt idx="96">
                  <c:v>37756.62117311318</c:v>
                </c:pt>
                <c:pt idx="97">
                  <c:v>37756.62117311318</c:v>
                </c:pt>
                <c:pt idx="98">
                  <c:v>37756.62117311318</c:v>
                </c:pt>
                <c:pt idx="99">
                  <c:v>37756.62117311318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285400"/>
        <c:axId val="-2015513592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61247.60271499797</c:v>
                </c:pt>
                <c:pt idx="6">
                  <c:v>61492.30488775195</c:v>
                </c:pt>
                <c:pt idx="7">
                  <c:v>61737.00706050592</c:v>
                </c:pt>
                <c:pt idx="8">
                  <c:v>61981.70923325988</c:v>
                </c:pt>
                <c:pt idx="9">
                  <c:v>62226.41140601385</c:v>
                </c:pt>
                <c:pt idx="10">
                  <c:v>62471.11357876781</c:v>
                </c:pt>
                <c:pt idx="11">
                  <c:v>62715.81575152178</c:v>
                </c:pt>
                <c:pt idx="12">
                  <c:v>62960.51792427575</c:v>
                </c:pt>
                <c:pt idx="13">
                  <c:v>63205.22009702972</c:v>
                </c:pt>
                <c:pt idx="14">
                  <c:v>63449.92226978369</c:v>
                </c:pt>
                <c:pt idx="15">
                  <c:v>63694.62444253765</c:v>
                </c:pt>
                <c:pt idx="16">
                  <c:v>63939.32661529162</c:v>
                </c:pt>
                <c:pt idx="17">
                  <c:v>64184.02878804559</c:v>
                </c:pt>
                <c:pt idx="18">
                  <c:v>64428.73096079956</c:v>
                </c:pt>
                <c:pt idx="19">
                  <c:v>64673.43313355352</c:v>
                </c:pt>
                <c:pt idx="20">
                  <c:v>64918.13530630749</c:v>
                </c:pt>
                <c:pt idx="21">
                  <c:v>65162.83747906146</c:v>
                </c:pt>
                <c:pt idx="22">
                  <c:v>65407.53965181543</c:v>
                </c:pt>
                <c:pt idx="23">
                  <c:v>65652.2418245694</c:v>
                </c:pt>
                <c:pt idx="24">
                  <c:v>65896.94399732337</c:v>
                </c:pt>
                <c:pt idx="25">
                  <c:v>66141.64617007732</c:v>
                </c:pt>
                <c:pt idx="26">
                  <c:v>66386.3483428313</c:v>
                </c:pt>
                <c:pt idx="27">
                  <c:v>66631.05051558525</c:v>
                </c:pt>
                <c:pt idx="28">
                  <c:v>66875.75268833923</c:v>
                </c:pt>
                <c:pt idx="29">
                  <c:v>67120.4548610932</c:v>
                </c:pt>
                <c:pt idx="30">
                  <c:v>67365.15703384716</c:v>
                </c:pt>
                <c:pt idx="31">
                  <c:v>67609.85920660113</c:v>
                </c:pt>
                <c:pt idx="32">
                  <c:v>67854.5613793551</c:v>
                </c:pt>
                <c:pt idx="33">
                  <c:v>68099.26355210907</c:v>
                </c:pt>
                <c:pt idx="34">
                  <c:v>68343.96572486303</c:v>
                </c:pt>
                <c:pt idx="35">
                  <c:v>68588.66789761701</c:v>
                </c:pt>
                <c:pt idx="36">
                  <c:v>68833.37007037097</c:v>
                </c:pt>
                <c:pt idx="37">
                  <c:v>69078.07224312495</c:v>
                </c:pt>
                <c:pt idx="38">
                  <c:v>69322.7744158789</c:v>
                </c:pt>
                <c:pt idx="39">
                  <c:v>71682.96330096119</c:v>
                </c:pt>
                <c:pt idx="40">
                  <c:v>75218.42258178143</c:v>
                </c:pt>
                <c:pt idx="41">
                  <c:v>78753.88186260167</c:v>
                </c:pt>
                <c:pt idx="42">
                  <c:v>82289.34114342191</c:v>
                </c:pt>
                <c:pt idx="43">
                  <c:v>85824.80042424215</c:v>
                </c:pt>
                <c:pt idx="44">
                  <c:v>89360.2597050624</c:v>
                </c:pt>
                <c:pt idx="45">
                  <c:v>92895.71898588265</c:v>
                </c:pt>
                <c:pt idx="46">
                  <c:v>96431.17826670288</c:v>
                </c:pt>
                <c:pt idx="47">
                  <c:v>99966.63754752313</c:v>
                </c:pt>
                <c:pt idx="48">
                  <c:v>103502.0968283434</c:v>
                </c:pt>
                <c:pt idx="49">
                  <c:v>107037.5561091636</c:v>
                </c:pt>
                <c:pt idx="50">
                  <c:v>110573.0153899839</c:v>
                </c:pt>
                <c:pt idx="51">
                  <c:v>114108.4746708041</c:v>
                </c:pt>
                <c:pt idx="52">
                  <c:v>117643.9339516243</c:v>
                </c:pt>
                <c:pt idx="53">
                  <c:v>121179.3932324446</c:v>
                </c:pt>
                <c:pt idx="54">
                  <c:v>124714.8525132648</c:v>
                </c:pt>
                <c:pt idx="55">
                  <c:v>128250.3117940851</c:v>
                </c:pt>
                <c:pt idx="56">
                  <c:v>131785.7710749053</c:v>
                </c:pt>
                <c:pt idx="57">
                  <c:v>135321.2303557256</c:v>
                </c:pt>
                <c:pt idx="58">
                  <c:v>138856.6896365458</c:v>
                </c:pt>
                <c:pt idx="59">
                  <c:v>142392.1489173661</c:v>
                </c:pt>
                <c:pt idx="60">
                  <c:v>145927.6081981863</c:v>
                </c:pt>
                <c:pt idx="61">
                  <c:v>149463.0674790065</c:v>
                </c:pt>
                <c:pt idx="62">
                  <c:v>152998.5267598268</c:v>
                </c:pt>
                <c:pt idx="63">
                  <c:v>156533.986040647</c:v>
                </c:pt>
                <c:pt idx="64">
                  <c:v>160069.4453214672</c:v>
                </c:pt>
                <c:pt idx="65">
                  <c:v>163604.9046022875</c:v>
                </c:pt>
                <c:pt idx="66">
                  <c:v>167140.3638831077</c:v>
                </c:pt>
                <c:pt idx="67">
                  <c:v>177636.6742953149</c:v>
                </c:pt>
                <c:pt idx="68">
                  <c:v>190031.3986524458</c:v>
                </c:pt>
                <c:pt idx="69">
                  <c:v>202426.1230095767</c:v>
                </c:pt>
                <c:pt idx="70">
                  <c:v>214820.8473667076</c:v>
                </c:pt>
                <c:pt idx="71">
                  <c:v>227215.5717238386</c:v>
                </c:pt>
                <c:pt idx="72">
                  <c:v>239610.2960809695</c:v>
                </c:pt>
                <c:pt idx="73">
                  <c:v>252005.0204381004</c:v>
                </c:pt>
                <c:pt idx="74">
                  <c:v>264399.7447952313</c:v>
                </c:pt>
                <c:pt idx="75">
                  <c:v>276794.4691523623</c:v>
                </c:pt>
                <c:pt idx="76">
                  <c:v>289189.1935094931</c:v>
                </c:pt>
                <c:pt idx="77">
                  <c:v>301583.9178666241</c:v>
                </c:pt>
                <c:pt idx="78">
                  <c:v>313978.642223755</c:v>
                </c:pt>
                <c:pt idx="79">
                  <c:v>326373.366580886</c:v>
                </c:pt>
                <c:pt idx="80">
                  <c:v>338768.0909380169</c:v>
                </c:pt>
                <c:pt idx="81">
                  <c:v>351162.8152951478</c:v>
                </c:pt>
                <c:pt idx="82">
                  <c:v>363557.5396522787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6285400"/>
        <c:axId val="-2015513592"/>
      </c:scatterChart>
      <c:catAx>
        <c:axId val="-201628540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551359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155135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628540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2439678284182"/>
          <c:y val="0.158208720178634"/>
          <c:w val="0.159517426273459"/>
          <c:h val="0.6507455635209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3341.474724058787</c:v>
                </c:pt>
                <c:pt idx="1">
                  <c:v>3341.474724058787</c:v>
                </c:pt>
                <c:pt idx="2">
                  <c:v>3341.474724058787</c:v>
                </c:pt>
                <c:pt idx="3">
                  <c:v>3341.474724058787</c:v>
                </c:pt>
                <c:pt idx="4">
                  <c:v>3341.474724058787</c:v>
                </c:pt>
                <c:pt idx="5">
                  <c:v>3341.474724058787</c:v>
                </c:pt>
                <c:pt idx="6">
                  <c:v>3341.474724058787</c:v>
                </c:pt>
                <c:pt idx="7">
                  <c:v>3341.474724058787</c:v>
                </c:pt>
                <c:pt idx="8">
                  <c:v>3341.474724058787</c:v>
                </c:pt>
                <c:pt idx="9">
                  <c:v>3341.474724058787</c:v>
                </c:pt>
                <c:pt idx="10">
                  <c:v>3341.474724058787</c:v>
                </c:pt>
                <c:pt idx="11">
                  <c:v>3341.474724058787</c:v>
                </c:pt>
                <c:pt idx="12">
                  <c:v>3341.474724058787</c:v>
                </c:pt>
                <c:pt idx="13">
                  <c:v>3341.474724058787</c:v>
                </c:pt>
                <c:pt idx="14">
                  <c:v>3341.474724058787</c:v>
                </c:pt>
                <c:pt idx="15">
                  <c:v>3341.474724058787</c:v>
                </c:pt>
                <c:pt idx="16">
                  <c:v>3341.474724058787</c:v>
                </c:pt>
                <c:pt idx="17">
                  <c:v>3341.474724058787</c:v>
                </c:pt>
                <c:pt idx="18">
                  <c:v>3358.92498773375</c:v>
                </c:pt>
                <c:pt idx="19">
                  <c:v>3393.825515083677</c:v>
                </c:pt>
                <c:pt idx="20">
                  <c:v>3428.726042433604</c:v>
                </c:pt>
                <c:pt idx="21">
                  <c:v>3463.62656978353</c:v>
                </c:pt>
                <c:pt idx="22">
                  <c:v>3498.527097133457</c:v>
                </c:pt>
                <c:pt idx="23">
                  <c:v>3533.427624483384</c:v>
                </c:pt>
                <c:pt idx="24">
                  <c:v>3568.32815183331</c:v>
                </c:pt>
                <c:pt idx="25">
                  <c:v>3603.228679183237</c:v>
                </c:pt>
                <c:pt idx="26">
                  <c:v>3638.129206533163</c:v>
                </c:pt>
                <c:pt idx="27">
                  <c:v>3673.02973388309</c:v>
                </c:pt>
                <c:pt idx="28">
                  <c:v>3707.930261233017</c:v>
                </c:pt>
                <c:pt idx="29">
                  <c:v>3742.830788582943</c:v>
                </c:pt>
                <c:pt idx="30">
                  <c:v>3777.73131593287</c:v>
                </c:pt>
                <c:pt idx="31">
                  <c:v>3812.631843282797</c:v>
                </c:pt>
                <c:pt idx="32">
                  <c:v>3847.532370632723</c:v>
                </c:pt>
                <c:pt idx="33">
                  <c:v>3882.432897982651</c:v>
                </c:pt>
                <c:pt idx="34">
                  <c:v>3917.333425332577</c:v>
                </c:pt>
                <c:pt idx="35">
                  <c:v>3952.233952682503</c:v>
                </c:pt>
                <c:pt idx="36">
                  <c:v>3987.13448003243</c:v>
                </c:pt>
                <c:pt idx="37">
                  <c:v>4022.035007382357</c:v>
                </c:pt>
                <c:pt idx="38">
                  <c:v>4056.935534732283</c:v>
                </c:pt>
                <c:pt idx="39">
                  <c:v>4091.83606208221</c:v>
                </c:pt>
                <c:pt idx="40">
                  <c:v>4126.736589432137</c:v>
                </c:pt>
                <c:pt idx="41">
                  <c:v>4161.637116782064</c:v>
                </c:pt>
                <c:pt idx="42">
                  <c:v>4196.53764413199</c:v>
                </c:pt>
                <c:pt idx="43">
                  <c:v>4231.438171481917</c:v>
                </c:pt>
                <c:pt idx="44">
                  <c:v>4266.338698831844</c:v>
                </c:pt>
                <c:pt idx="45">
                  <c:v>4301.23922618177</c:v>
                </c:pt>
                <c:pt idx="46">
                  <c:v>4336.139753531697</c:v>
                </c:pt>
                <c:pt idx="47">
                  <c:v>4371.040280881624</c:v>
                </c:pt>
                <c:pt idx="48">
                  <c:v>4405.940808231551</c:v>
                </c:pt>
                <c:pt idx="49">
                  <c:v>4440.841335581477</c:v>
                </c:pt>
                <c:pt idx="50">
                  <c:v>4475.741862931404</c:v>
                </c:pt>
                <c:pt idx="51">
                  <c:v>4510.642390281331</c:v>
                </c:pt>
                <c:pt idx="52">
                  <c:v>4553.381324447387</c:v>
                </c:pt>
                <c:pt idx="53">
                  <c:v>4600.47492906685</c:v>
                </c:pt>
                <c:pt idx="54">
                  <c:v>4647.568533686313</c:v>
                </c:pt>
                <c:pt idx="55">
                  <c:v>4694.662138305776</c:v>
                </c:pt>
                <c:pt idx="56">
                  <c:v>4741.755742925239</c:v>
                </c:pt>
                <c:pt idx="57">
                  <c:v>4788.849347544702</c:v>
                </c:pt>
                <c:pt idx="58">
                  <c:v>4835.942952164165</c:v>
                </c:pt>
                <c:pt idx="59">
                  <c:v>4883.036556783627</c:v>
                </c:pt>
                <c:pt idx="60">
                  <c:v>4930.13016140309</c:v>
                </c:pt>
                <c:pt idx="61">
                  <c:v>4977.223766022553</c:v>
                </c:pt>
                <c:pt idx="62">
                  <c:v>5024.317370642016</c:v>
                </c:pt>
                <c:pt idx="63">
                  <c:v>5071.410975261478</c:v>
                </c:pt>
                <c:pt idx="64">
                  <c:v>5118.504579880941</c:v>
                </c:pt>
                <c:pt idx="65">
                  <c:v>5165.598184500404</c:v>
                </c:pt>
                <c:pt idx="66">
                  <c:v>5212.691789119867</c:v>
                </c:pt>
                <c:pt idx="67">
                  <c:v>5259.78539373933</c:v>
                </c:pt>
                <c:pt idx="68">
                  <c:v>5306.878998358792</c:v>
                </c:pt>
                <c:pt idx="69">
                  <c:v>5353.972602978255</c:v>
                </c:pt>
                <c:pt idx="70">
                  <c:v>5401.066207597717</c:v>
                </c:pt>
                <c:pt idx="71">
                  <c:v>5448.159812217181</c:v>
                </c:pt>
                <c:pt idx="72">
                  <c:v>5495.253416836644</c:v>
                </c:pt>
                <c:pt idx="73">
                  <c:v>5542.347021456106</c:v>
                </c:pt>
                <c:pt idx="74">
                  <c:v>5589.44062607557</c:v>
                </c:pt>
                <c:pt idx="75">
                  <c:v>5636.534230695031</c:v>
                </c:pt>
                <c:pt idx="76">
                  <c:v>5683.627835314495</c:v>
                </c:pt>
                <c:pt idx="77">
                  <c:v>5730.721439933957</c:v>
                </c:pt>
                <c:pt idx="78">
                  <c:v>5777.81504455342</c:v>
                </c:pt>
                <c:pt idx="79">
                  <c:v>5824.908649172883</c:v>
                </c:pt>
                <c:pt idx="80">
                  <c:v>5951.28784511779</c:v>
                </c:pt>
                <c:pt idx="81">
                  <c:v>6099.290384151456</c:v>
                </c:pt>
                <c:pt idx="82">
                  <c:v>6247.292923185122</c:v>
                </c:pt>
                <c:pt idx="83">
                  <c:v>6395.295462218788</c:v>
                </c:pt>
                <c:pt idx="84">
                  <c:v>6543.298001252454</c:v>
                </c:pt>
                <c:pt idx="85">
                  <c:v>6691.30054028612</c:v>
                </c:pt>
                <c:pt idx="86">
                  <c:v>6839.303079319786</c:v>
                </c:pt>
                <c:pt idx="87">
                  <c:v>6987.305618353451</c:v>
                </c:pt>
                <c:pt idx="88">
                  <c:v>7135.308157387119</c:v>
                </c:pt>
                <c:pt idx="89">
                  <c:v>7283.310696420783</c:v>
                </c:pt>
                <c:pt idx="90">
                  <c:v>7431.31323545445</c:v>
                </c:pt>
                <c:pt idx="91">
                  <c:v>7579.315774488116</c:v>
                </c:pt>
                <c:pt idx="92">
                  <c:v>7727.318313521782</c:v>
                </c:pt>
                <c:pt idx="93">
                  <c:v>7875.320852555448</c:v>
                </c:pt>
                <c:pt idx="94">
                  <c:v>8023.323391589114</c:v>
                </c:pt>
                <c:pt idx="95">
                  <c:v>8171.32593062278</c:v>
                </c:pt>
                <c:pt idx="96">
                  <c:v>8224.183980277661</c:v>
                </c:pt>
                <c:pt idx="97">
                  <c:v>8224.183980277661</c:v>
                </c:pt>
                <c:pt idx="98">
                  <c:v>8224.183980277661</c:v>
                </c:pt>
                <c:pt idx="99">
                  <c:v>8224.183980277661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302.9595429771813</c:v>
                </c:pt>
                <c:pt idx="1">
                  <c:v>302.9595429771813</c:v>
                </c:pt>
                <c:pt idx="2">
                  <c:v>302.9595429771813</c:v>
                </c:pt>
                <c:pt idx="3">
                  <c:v>302.9595429771813</c:v>
                </c:pt>
                <c:pt idx="4">
                  <c:v>302.9595429771813</c:v>
                </c:pt>
                <c:pt idx="5">
                  <c:v>302.9595429771813</c:v>
                </c:pt>
                <c:pt idx="6">
                  <c:v>302.9595429771813</c:v>
                </c:pt>
                <c:pt idx="7">
                  <c:v>302.9595429771813</c:v>
                </c:pt>
                <c:pt idx="8">
                  <c:v>302.9595429771813</c:v>
                </c:pt>
                <c:pt idx="9">
                  <c:v>302.9595429771813</c:v>
                </c:pt>
                <c:pt idx="10">
                  <c:v>302.9595429771813</c:v>
                </c:pt>
                <c:pt idx="11">
                  <c:v>302.9595429771813</c:v>
                </c:pt>
                <c:pt idx="12">
                  <c:v>302.9595429771813</c:v>
                </c:pt>
                <c:pt idx="13">
                  <c:v>302.9595429771813</c:v>
                </c:pt>
                <c:pt idx="14">
                  <c:v>302.9595429771813</c:v>
                </c:pt>
                <c:pt idx="15">
                  <c:v>302.9595429771813</c:v>
                </c:pt>
                <c:pt idx="16">
                  <c:v>302.9595429771813</c:v>
                </c:pt>
                <c:pt idx="17">
                  <c:v>302.9595429771813</c:v>
                </c:pt>
                <c:pt idx="18">
                  <c:v>310.8450746238353</c:v>
                </c:pt>
                <c:pt idx="19">
                  <c:v>326.6161379171434</c:v>
                </c:pt>
                <c:pt idx="20">
                  <c:v>342.3872012104514</c:v>
                </c:pt>
                <c:pt idx="21">
                  <c:v>358.1582645037594</c:v>
                </c:pt>
                <c:pt idx="22">
                  <c:v>373.9293277970675</c:v>
                </c:pt>
                <c:pt idx="23">
                  <c:v>389.7003910903755</c:v>
                </c:pt>
                <c:pt idx="24">
                  <c:v>405.4714543836835</c:v>
                </c:pt>
                <c:pt idx="25">
                  <c:v>421.2425176769916</c:v>
                </c:pt>
                <c:pt idx="26">
                  <c:v>437.0135809702996</c:v>
                </c:pt>
                <c:pt idx="27">
                  <c:v>452.7846442636076</c:v>
                </c:pt>
                <c:pt idx="28">
                  <c:v>468.5557075569156</c:v>
                </c:pt>
                <c:pt idx="29">
                  <c:v>484.3267708502237</c:v>
                </c:pt>
                <c:pt idx="30">
                  <c:v>500.0978341435317</c:v>
                </c:pt>
                <c:pt idx="31">
                  <c:v>515.8688974368397</c:v>
                </c:pt>
                <c:pt idx="32">
                  <c:v>531.6399607301477</c:v>
                </c:pt>
                <c:pt idx="33">
                  <c:v>547.4110240234558</c:v>
                </c:pt>
                <c:pt idx="34">
                  <c:v>563.182087316764</c:v>
                </c:pt>
                <c:pt idx="35">
                  <c:v>578.9531506100718</c:v>
                </c:pt>
                <c:pt idx="36">
                  <c:v>594.72421390338</c:v>
                </c:pt>
                <c:pt idx="37">
                  <c:v>610.495277196688</c:v>
                </c:pt>
                <c:pt idx="38">
                  <c:v>626.266340489996</c:v>
                </c:pt>
                <c:pt idx="39">
                  <c:v>642.0374037833039</c:v>
                </c:pt>
                <c:pt idx="40">
                  <c:v>657.808467076612</c:v>
                </c:pt>
                <c:pt idx="41">
                  <c:v>673.57953036992</c:v>
                </c:pt>
                <c:pt idx="42">
                  <c:v>689.3505936632282</c:v>
                </c:pt>
                <c:pt idx="43">
                  <c:v>705.1216569565361</c:v>
                </c:pt>
                <c:pt idx="44">
                  <c:v>720.8927202498441</c:v>
                </c:pt>
                <c:pt idx="45">
                  <c:v>736.663783543152</c:v>
                </c:pt>
                <c:pt idx="46">
                  <c:v>752.4348468364603</c:v>
                </c:pt>
                <c:pt idx="47">
                  <c:v>768.2059101297682</c:v>
                </c:pt>
                <c:pt idx="48">
                  <c:v>783.9769734230762</c:v>
                </c:pt>
                <c:pt idx="49">
                  <c:v>799.7480367163843</c:v>
                </c:pt>
                <c:pt idx="50">
                  <c:v>815.5191000096924</c:v>
                </c:pt>
                <c:pt idx="51">
                  <c:v>831.2901633030004</c:v>
                </c:pt>
                <c:pt idx="52">
                  <c:v>968.3602367163102</c:v>
                </c:pt>
                <c:pt idx="53">
                  <c:v>1172.818649085178</c:v>
                </c:pt>
                <c:pt idx="54">
                  <c:v>1377.277061454045</c:v>
                </c:pt>
                <c:pt idx="55">
                  <c:v>1581.735473822912</c:v>
                </c:pt>
                <c:pt idx="56">
                  <c:v>1786.19388619178</c:v>
                </c:pt>
                <c:pt idx="57">
                  <c:v>1990.652298560648</c:v>
                </c:pt>
                <c:pt idx="58">
                  <c:v>2195.110710929515</c:v>
                </c:pt>
                <c:pt idx="59">
                  <c:v>2399.569123298382</c:v>
                </c:pt>
                <c:pt idx="60">
                  <c:v>2604.02753566725</c:v>
                </c:pt>
                <c:pt idx="61">
                  <c:v>2808.485948036117</c:v>
                </c:pt>
                <c:pt idx="62">
                  <c:v>3012.944360404985</c:v>
                </c:pt>
                <c:pt idx="63">
                  <c:v>3217.402772773853</c:v>
                </c:pt>
                <c:pt idx="64">
                  <c:v>3421.86118514272</c:v>
                </c:pt>
                <c:pt idx="65">
                  <c:v>3626.319597511587</c:v>
                </c:pt>
                <c:pt idx="66">
                  <c:v>3830.778009880455</c:v>
                </c:pt>
                <c:pt idx="67">
                  <c:v>4035.236422249322</c:v>
                </c:pt>
                <c:pt idx="68">
                  <c:v>4239.69483461819</c:v>
                </c:pt>
                <c:pt idx="69">
                  <c:v>4444.153246987057</c:v>
                </c:pt>
                <c:pt idx="70">
                  <c:v>4648.611659355924</c:v>
                </c:pt>
                <c:pt idx="71">
                  <c:v>4853.070071724792</c:v>
                </c:pt>
                <c:pt idx="72">
                  <c:v>5057.52848409366</c:v>
                </c:pt>
                <c:pt idx="73">
                  <c:v>5261.986896462526</c:v>
                </c:pt>
                <c:pt idx="74">
                  <c:v>5466.445308831395</c:v>
                </c:pt>
                <c:pt idx="75">
                  <c:v>5670.903721200262</c:v>
                </c:pt>
                <c:pt idx="76">
                  <c:v>5875.36213356913</c:v>
                </c:pt>
                <c:pt idx="77">
                  <c:v>6079.820545937996</c:v>
                </c:pt>
                <c:pt idx="78">
                  <c:v>6284.278958306864</c:v>
                </c:pt>
                <c:pt idx="79">
                  <c:v>6488.737370675732</c:v>
                </c:pt>
                <c:pt idx="80">
                  <c:v>7652.290425959528</c:v>
                </c:pt>
                <c:pt idx="81">
                  <c:v>9077.414747492864</c:v>
                </c:pt>
                <c:pt idx="82">
                  <c:v>10502.5390690262</c:v>
                </c:pt>
                <c:pt idx="83">
                  <c:v>11927.66339055954</c:v>
                </c:pt>
                <c:pt idx="84">
                  <c:v>13352.78771209287</c:v>
                </c:pt>
                <c:pt idx="85">
                  <c:v>14777.91203362621</c:v>
                </c:pt>
                <c:pt idx="86">
                  <c:v>16203.03635515954</c:v>
                </c:pt>
                <c:pt idx="87">
                  <c:v>17628.16067669288</c:v>
                </c:pt>
                <c:pt idx="88">
                  <c:v>19053.28499822621</c:v>
                </c:pt>
                <c:pt idx="89">
                  <c:v>20478.40931975955</c:v>
                </c:pt>
                <c:pt idx="90">
                  <c:v>21903.53364129289</c:v>
                </c:pt>
                <c:pt idx="91">
                  <c:v>23328.65796282622</c:v>
                </c:pt>
                <c:pt idx="92">
                  <c:v>24753.78228435956</c:v>
                </c:pt>
                <c:pt idx="93">
                  <c:v>26178.9066058929</c:v>
                </c:pt>
                <c:pt idx="94">
                  <c:v>27604.03092742623</c:v>
                </c:pt>
                <c:pt idx="95">
                  <c:v>29029.15524895957</c:v>
                </c:pt>
                <c:pt idx="96">
                  <c:v>29538.12822093576</c:v>
                </c:pt>
                <c:pt idx="97">
                  <c:v>29538.12822093576</c:v>
                </c:pt>
                <c:pt idx="98">
                  <c:v>29538.12822093576</c:v>
                </c:pt>
                <c:pt idx="99">
                  <c:v>29538.12822093576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446.7370690236444</c:v>
                </c:pt>
                <c:pt idx="1">
                  <c:v>446.7370690236444</c:v>
                </c:pt>
                <c:pt idx="2">
                  <c:v>446.7370690236444</c:v>
                </c:pt>
                <c:pt idx="3">
                  <c:v>446.7370690236444</c:v>
                </c:pt>
                <c:pt idx="4">
                  <c:v>446.7370690236444</c:v>
                </c:pt>
                <c:pt idx="5">
                  <c:v>446.7370690236444</c:v>
                </c:pt>
                <c:pt idx="6">
                  <c:v>446.7370690236444</c:v>
                </c:pt>
                <c:pt idx="7">
                  <c:v>446.7370690236444</c:v>
                </c:pt>
                <c:pt idx="8">
                  <c:v>446.7370690236444</c:v>
                </c:pt>
                <c:pt idx="9">
                  <c:v>446.7370690236444</c:v>
                </c:pt>
                <c:pt idx="10">
                  <c:v>446.7370690236444</c:v>
                </c:pt>
                <c:pt idx="11">
                  <c:v>446.7370690236444</c:v>
                </c:pt>
                <c:pt idx="12">
                  <c:v>446.7370690236444</c:v>
                </c:pt>
                <c:pt idx="13">
                  <c:v>446.7370690236444</c:v>
                </c:pt>
                <c:pt idx="14">
                  <c:v>446.7370690236444</c:v>
                </c:pt>
                <c:pt idx="15">
                  <c:v>446.7370690236444</c:v>
                </c:pt>
                <c:pt idx="16">
                  <c:v>446.7370690236444</c:v>
                </c:pt>
                <c:pt idx="17">
                  <c:v>446.7370690236444</c:v>
                </c:pt>
                <c:pt idx="18">
                  <c:v>456.6172866714451</c:v>
                </c:pt>
                <c:pt idx="19">
                  <c:v>476.3777219670468</c:v>
                </c:pt>
                <c:pt idx="20">
                  <c:v>496.1381572626484</c:v>
                </c:pt>
                <c:pt idx="21">
                  <c:v>515.89859255825</c:v>
                </c:pt>
                <c:pt idx="22">
                  <c:v>535.6590278538516</c:v>
                </c:pt>
                <c:pt idx="23">
                  <c:v>555.4194631494532</c:v>
                </c:pt>
                <c:pt idx="24">
                  <c:v>575.1798984450548</c:v>
                </c:pt>
                <c:pt idx="25">
                  <c:v>594.9403337406564</c:v>
                </c:pt>
                <c:pt idx="26">
                  <c:v>614.7007690362581</c:v>
                </c:pt>
                <c:pt idx="27">
                  <c:v>634.4612043318598</c:v>
                </c:pt>
                <c:pt idx="28">
                  <c:v>654.2216396274613</c:v>
                </c:pt>
                <c:pt idx="29">
                  <c:v>673.982074923063</c:v>
                </c:pt>
                <c:pt idx="30">
                  <c:v>693.7425102186646</c:v>
                </c:pt>
                <c:pt idx="31">
                  <c:v>713.5029455142662</c:v>
                </c:pt>
                <c:pt idx="32">
                  <c:v>733.2633808098678</c:v>
                </c:pt>
                <c:pt idx="33">
                  <c:v>753.0238161054695</c:v>
                </c:pt>
                <c:pt idx="34">
                  <c:v>772.784251401071</c:v>
                </c:pt>
                <c:pt idx="35">
                  <c:v>792.5446866966726</c:v>
                </c:pt>
                <c:pt idx="36">
                  <c:v>812.3051219922743</c:v>
                </c:pt>
                <c:pt idx="37">
                  <c:v>832.0655572878759</c:v>
                </c:pt>
                <c:pt idx="38">
                  <c:v>851.8259925834775</c:v>
                </c:pt>
                <c:pt idx="39">
                  <c:v>871.5864278790791</c:v>
                </c:pt>
                <c:pt idx="40">
                  <c:v>891.3468631746807</c:v>
                </c:pt>
                <c:pt idx="41">
                  <c:v>911.1072984702823</c:v>
                </c:pt>
                <c:pt idx="42">
                  <c:v>930.8677337658839</c:v>
                </c:pt>
                <c:pt idx="43">
                  <c:v>950.6281690614856</c:v>
                </c:pt>
                <c:pt idx="44">
                  <c:v>970.388604357087</c:v>
                </c:pt>
                <c:pt idx="45">
                  <c:v>990.1490396526887</c:v>
                </c:pt>
                <c:pt idx="46">
                  <c:v>1009.90947494829</c:v>
                </c:pt>
                <c:pt idx="47">
                  <c:v>1029.669910243892</c:v>
                </c:pt>
                <c:pt idx="48">
                  <c:v>1049.430345539494</c:v>
                </c:pt>
                <c:pt idx="49">
                  <c:v>1069.190780835095</c:v>
                </c:pt>
                <c:pt idx="50">
                  <c:v>1088.951216130697</c:v>
                </c:pt>
                <c:pt idx="51">
                  <c:v>1108.711651426298</c:v>
                </c:pt>
                <c:pt idx="52">
                  <c:v>1144.248677703938</c:v>
                </c:pt>
                <c:pt idx="53">
                  <c:v>1188.550476749376</c:v>
                </c:pt>
                <c:pt idx="54">
                  <c:v>1232.852275794814</c:v>
                </c:pt>
                <c:pt idx="55">
                  <c:v>1277.154074840252</c:v>
                </c:pt>
                <c:pt idx="56">
                  <c:v>1321.45587388569</c:v>
                </c:pt>
                <c:pt idx="57">
                  <c:v>1365.757672931128</c:v>
                </c:pt>
                <c:pt idx="58">
                  <c:v>1410.059471976566</c:v>
                </c:pt>
                <c:pt idx="59">
                  <c:v>1454.361271022004</c:v>
                </c:pt>
                <c:pt idx="60">
                  <c:v>1498.663070067442</c:v>
                </c:pt>
                <c:pt idx="61">
                  <c:v>1542.96486911288</c:v>
                </c:pt>
                <c:pt idx="62">
                  <c:v>1587.266668158318</c:v>
                </c:pt>
                <c:pt idx="63">
                  <c:v>1631.568467203756</c:v>
                </c:pt>
                <c:pt idx="64">
                  <c:v>1675.870266249193</c:v>
                </c:pt>
                <c:pt idx="65">
                  <c:v>1720.172065294631</c:v>
                </c:pt>
                <c:pt idx="66">
                  <c:v>1764.473864340069</c:v>
                </c:pt>
                <c:pt idx="67">
                  <c:v>1808.775663385507</c:v>
                </c:pt>
                <c:pt idx="68">
                  <c:v>1853.077462430945</c:v>
                </c:pt>
                <c:pt idx="69">
                  <c:v>1897.379261476383</c:v>
                </c:pt>
                <c:pt idx="70">
                  <c:v>1941.681060521822</c:v>
                </c:pt>
                <c:pt idx="71">
                  <c:v>1985.98285956726</c:v>
                </c:pt>
                <c:pt idx="72">
                  <c:v>2030.284658612697</c:v>
                </c:pt>
                <c:pt idx="73">
                  <c:v>2074.586457658135</c:v>
                </c:pt>
                <c:pt idx="74">
                  <c:v>2118.888256703573</c:v>
                </c:pt>
                <c:pt idx="75">
                  <c:v>2163.190055749011</c:v>
                </c:pt>
                <c:pt idx="76">
                  <c:v>2207.491854794449</c:v>
                </c:pt>
                <c:pt idx="77">
                  <c:v>2251.793653839887</c:v>
                </c:pt>
                <c:pt idx="78">
                  <c:v>2296.095452885325</c:v>
                </c:pt>
                <c:pt idx="79">
                  <c:v>2340.397251930763</c:v>
                </c:pt>
                <c:pt idx="80">
                  <c:v>2409.274601400922</c:v>
                </c:pt>
                <c:pt idx="81">
                  <c:v>2484.854373714188</c:v>
                </c:pt>
                <c:pt idx="82">
                  <c:v>2560.434146027453</c:v>
                </c:pt>
                <c:pt idx="83">
                  <c:v>2636.013918340718</c:v>
                </c:pt>
                <c:pt idx="84">
                  <c:v>2711.593690653984</c:v>
                </c:pt>
                <c:pt idx="85">
                  <c:v>2787.173462967249</c:v>
                </c:pt>
                <c:pt idx="86">
                  <c:v>2862.753235280513</c:v>
                </c:pt>
                <c:pt idx="87">
                  <c:v>2938.33300759378</c:v>
                </c:pt>
                <c:pt idx="88">
                  <c:v>3013.912779907045</c:v>
                </c:pt>
                <c:pt idx="89">
                  <c:v>3089.49255222031</c:v>
                </c:pt>
                <c:pt idx="90">
                  <c:v>3165.072324533574</c:v>
                </c:pt>
                <c:pt idx="91">
                  <c:v>3240.65209684684</c:v>
                </c:pt>
                <c:pt idx="92">
                  <c:v>3316.231869160106</c:v>
                </c:pt>
                <c:pt idx="93">
                  <c:v>3391.811641473371</c:v>
                </c:pt>
                <c:pt idx="94">
                  <c:v>3467.391413786636</c:v>
                </c:pt>
                <c:pt idx="95">
                  <c:v>3542.971186099901</c:v>
                </c:pt>
                <c:pt idx="96">
                  <c:v>3569.963961926068</c:v>
                </c:pt>
                <c:pt idx="97">
                  <c:v>3569.963961926068</c:v>
                </c:pt>
                <c:pt idx="98">
                  <c:v>3569.963961926068</c:v>
                </c:pt>
                <c:pt idx="99">
                  <c:v>3569.963961926068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0.031545731813109</c:v>
                </c:pt>
                <c:pt idx="19">
                  <c:v>0.094637195439327</c:v>
                </c:pt>
                <c:pt idx="20">
                  <c:v>0.157728659065545</c:v>
                </c:pt>
                <c:pt idx="21">
                  <c:v>0.220820122691763</c:v>
                </c:pt>
                <c:pt idx="22">
                  <c:v>0.283911586317981</c:v>
                </c:pt>
                <c:pt idx="23">
                  <c:v>0.347003049944199</c:v>
                </c:pt>
                <c:pt idx="24">
                  <c:v>0.410094513570417</c:v>
                </c:pt>
                <c:pt idx="25">
                  <c:v>0.473185977196635</c:v>
                </c:pt>
                <c:pt idx="26">
                  <c:v>0.536277440822853</c:v>
                </c:pt>
                <c:pt idx="27">
                  <c:v>0.599368904449071</c:v>
                </c:pt>
                <c:pt idx="28">
                  <c:v>0.662460368075289</c:v>
                </c:pt>
                <c:pt idx="29">
                  <c:v>0.725551831701507</c:v>
                </c:pt>
                <c:pt idx="30">
                  <c:v>0.788643295327725</c:v>
                </c:pt>
                <c:pt idx="31">
                  <c:v>0.851734758953943</c:v>
                </c:pt>
                <c:pt idx="32">
                  <c:v>0.914826222580161</c:v>
                </c:pt>
                <c:pt idx="33">
                  <c:v>0.977917686206379</c:v>
                </c:pt>
                <c:pt idx="34">
                  <c:v>1.041009149832597</c:v>
                </c:pt>
                <c:pt idx="35">
                  <c:v>1.104100613458815</c:v>
                </c:pt>
                <c:pt idx="36">
                  <c:v>1.167192077085033</c:v>
                </c:pt>
                <c:pt idx="37">
                  <c:v>1.230283540711251</c:v>
                </c:pt>
                <c:pt idx="38">
                  <c:v>1.293375004337469</c:v>
                </c:pt>
                <c:pt idx="39">
                  <c:v>1.356466467963687</c:v>
                </c:pt>
                <c:pt idx="40">
                  <c:v>1.419557931589905</c:v>
                </c:pt>
                <c:pt idx="41">
                  <c:v>1.482649395216123</c:v>
                </c:pt>
                <c:pt idx="42">
                  <c:v>1.545740858842341</c:v>
                </c:pt>
                <c:pt idx="43">
                  <c:v>1.608832322468559</c:v>
                </c:pt>
                <c:pt idx="44">
                  <c:v>1.671923786094777</c:v>
                </c:pt>
                <c:pt idx="45">
                  <c:v>1.735015249720995</c:v>
                </c:pt>
                <c:pt idx="46">
                  <c:v>1.798106713347213</c:v>
                </c:pt>
                <c:pt idx="47">
                  <c:v>1.861198176973431</c:v>
                </c:pt>
                <c:pt idx="48">
                  <c:v>1.924289640599649</c:v>
                </c:pt>
                <c:pt idx="49">
                  <c:v>1.987381104225867</c:v>
                </c:pt>
                <c:pt idx="50">
                  <c:v>2.050472567852085</c:v>
                </c:pt>
                <c:pt idx="51">
                  <c:v>2.113564031478303</c:v>
                </c:pt>
                <c:pt idx="52">
                  <c:v>33.32545583312942</c:v>
                </c:pt>
                <c:pt idx="53">
                  <c:v>81.84223671146137</c:v>
                </c:pt>
                <c:pt idx="54">
                  <c:v>130.3590175897933</c:v>
                </c:pt>
                <c:pt idx="55">
                  <c:v>178.8757984681252</c:v>
                </c:pt>
                <c:pt idx="56">
                  <c:v>227.3925793464572</c:v>
                </c:pt>
                <c:pt idx="57">
                  <c:v>275.9093602247891</c:v>
                </c:pt>
                <c:pt idx="58">
                  <c:v>324.426141103121</c:v>
                </c:pt>
                <c:pt idx="59">
                  <c:v>372.942921981453</c:v>
                </c:pt>
                <c:pt idx="60">
                  <c:v>421.4597028597849</c:v>
                </c:pt>
                <c:pt idx="61">
                  <c:v>469.9764837381168</c:v>
                </c:pt>
                <c:pt idx="62">
                  <c:v>518.4932646164488</c:v>
                </c:pt>
                <c:pt idx="63">
                  <c:v>567.0100454947807</c:v>
                </c:pt>
                <c:pt idx="64">
                  <c:v>615.5268263731126</c:v>
                </c:pt>
                <c:pt idx="65">
                  <c:v>664.0436072514444</c:v>
                </c:pt>
                <c:pt idx="66">
                  <c:v>712.5603881297764</c:v>
                </c:pt>
                <c:pt idx="67">
                  <c:v>761.0771690081084</c:v>
                </c:pt>
                <c:pt idx="68">
                  <c:v>809.5939498864402</c:v>
                </c:pt>
                <c:pt idx="69">
                  <c:v>858.1107307647722</c:v>
                </c:pt>
                <c:pt idx="70">
                  <c:v>906.6275116431042</c:v>
                </c:pt>
                <c:pt idx="71">
                  <c:v>955.1442925214361</c:v>
                </c:pt>
                <c:pt idx="72">
                  <c:v>1003.661073399768</c:v>
                </c:pt>
                <c:pt idx="73">
                  <c:v>1052.1778542781</c:v>
                </c:pt>
                <c:pt idx="74">
                  <c:v>1100.694635156432</c:v>
                </c:pt>
                <c:pt idx="75">
                  <c:v>1149.211416034764</c:v>
                </c:pt>
                <c:pt idx="76">
                  <c:v>1197.728196913096</c:v>
                </c:pt>
                <c:pt idx="77">
                  <c:v>1246.244977791428</c:v>
                </c:pt>
                <c:pt idx="78">
                  <c:v>1294.76175866976</c:v>
                </c:pt>
                <c:pt idx="79">
                  <c:v>1343.278539548092</c:v>
                </c:pt>
                <c:pt idx="80">
                  <c:v>1407.382566690934</c:v>
                </c:pt>
                <c:pt idx="81">
                  <c:v>1475.737660996825</c:v>
                </c:pt>
                <c:pt idx="82">
                  <c:v>1544.092755302716</c:v>
                </c:pt>
                <c:pt idx="83">
                  <c:v>1612.447849608607</c:v>
                </c:pt>
                <c:pt idx="84">
                  <c:v>1680.802943914498</c:v>
                </c:pt>
                <c:pt idx="85">
                  <c:v>1749.15803822039</c:v>
                </c:pt>
                <c:pt idx="86">
                  <c:v>1817.513132526281</c:v>
                </c:pt>
                <c:pt idx="87">
                  <c:v>1885.868226832172</c:v>
                </c:pt>
                <c:pt idx="88">
                  <c:v>1954.223321138063</c:v>
                </c:pt>
                <c:pt idx="89">
                  <c:v>2022.578415443954</c:v>
                </c:pt>
                <c:pt idx="90">
                  <c:v>2090.933509749845</c:v>
                </c:pt>
                <c:pt idx="91">
                  <c:v>2159.288604055736</c:v>
                </c:pt>
                <c:pt idx="92">
                  <c:v>2227.643698361627</c:v>
                </c:pt>
                <c:pt idx="93">
                  <c:v>2295.998792667518</c:v>
                </c:pt>
                <c:pt idx="94">
                  <c:v>2364.35388697341</c:v>
                </c:pt>
                <c:pt idx="95">
                  <c:v>2432.7089812793</c:v>
                </c:pt>
                <c:pt idx="96">
                  <c:v>2457.121514959976</c:v>
                </c:pt>
                <c:pt idx="97">
                  <c:v>2457.121514959976</c:v>
                </c:pt>
                <c:pt idx="98">
                  <c:v>2457.121514959976</c:v>
                </c:pt>
                <c:pt idx="99">
                  <c:v>2457.121514959976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582.2389282841074</c:v>
                </c:pt>
                <c:pt idx="1">
                  <c:v>582.2389282841074</c:v>
                </c:pt>
                <c:pt idx="2">
                  <c:v>582.2389282841074</c:v>
                </c:pt>
                <c:pt idx="3">
                  <c:v>582.2389282841074</c:v>
                </c:pt>
                <c:pt idx="4">
                  <c:v>582.2389282841074</c:v>
                </c:pt>
                <c:pt idx="5">
                  <c:v>582.2389282841074</c:v>
                </c:pt>
                <c:pt idx="6">
                  <c:v>582.2389282841074</c:v>
                </c:pt>
                <c:pt idx="7">
                  <c:v>582.2389282841074</c:v>
                </c:pt>
                <c:pt idx="8">
                  <c:v>582.2389282841074</c:v>
                </c:pt>
                <c:pt idx="9">
                  <c:v>582.2389282841074</c:v>
                </c:pt>
                <c:pt idx="10">
                  <c:v>582.2389282841074</c:v>
                </c:pt>
                <c:pt idx="11">
                  <c:v>582.2389282841074</c:v>
                </c:pt>
                <c:pt idx="12">
                  <c:v>582.2389282841074</c:v>
                </c:pt>
                <c:pt idx="13">
                  <c:v>582.2389282841074</c:v>
                </c:pt>
                <c:pt idx="14">
                  <c:v>582.2389282841074</c:v>
                </c:pt>
                <c:pt idx="15">
                  <c:v>582.2389282841074</c:v>
                </c:pt>
                <c:pt idx="16">
                  <c:v>582.2389282841074</c:v>
                </c:pt>
                <c:pt idx="17">
                  <c:v>582.2389282841074</c:v>
                </c:pt>
                <c:pt idx="18">
                  <c:v>641.310789697368</c:v>
                </c:pt>
                <c:pt idx="19">
                  <c:v>759.4545125238889</c:v>
                </c:pt>
                <c:pt idx="20">
                  <c:v>877.5982353504098</c:v>
                </c:pt>
                <c:pt idx="21">
                  <c:v>995.7419581769308</c:v>
                </c:pt>
                <c:pt idx="22">
                  <c:v>1113.885681003452</c:v>
                </c:pt>
                <c:pt idx="23">
                  <c:v>1232.029403829973</c:v>
                </c:pt>
                <c:pt idx="24">
                  <c:v>1350.173126656493</c:v>
                </c:pt>
                <c:pt idx="25">
                  <c:v>1468.316849483015</c:v>
                </c:pt>
                <c:pt idx="26">
                  <c:v>1586.460572309536</c:v>
                </c:pt>
                <c:pt idx="27">
                  <c:v>1704.604295136056</c:v>
                </c:pt>
                <c:pt idx="28">
                  <c:v>1822.748017962577</c:v>
                </c:pt>
                <c:pt idx="29">
                  <c:v>1940.891740789098</c:v>
                </c:pt>
                <c:pt idx="30">
                  <c:v>2059.035463615619</c:v>
                </c:pt>
                <c:pt idx="31">
                  <c:v>2177.17918644214</c:v>
                </c:pt>
                <c:pt idx="32">
                  <c:v>2295.322909268661</c:v>
                </c:pt>
                <c:pt idx="33">
                  <c:v>2413.466632095182</c:v>
                </c:pt>
                <c:pt idx="34">
                  <c:v>2531.610354921703</c:v>
                </c:pt>
                <c:pt idx="35">
                  <c:v>2649.754077748224</c:v>
                </c:pt>
                <c:pt idx="36">
                  <c:v>2767.897800574745</c:v>
                </c:pt>
                <c:pt idx="37">
                  <c:v>2886.041523401265</c:v>
                </c:pt>
                <c:pt idx="38">
                  <c:v>3004.185246227787</c:v>
                </c:pt>
                <c:pt idx="39">
                  <c:v>3122.328969054308</c:v>
                </c:pt>
                <c:pt idx="40">
                  <c:v>3240.472691880828</c:v>
                </c:pt>
                <c:pt idx="41">
                  <c:v>3358.61641470735</c:v>
                </c:pt>
                <c:pt idx="42">
                  <c:v>3476.760137533871</c:v>
                </c:pt>
                <c:pt idx="43">
                  <c:v>3594.903860360391</c:v>
                </c:pt>
                <c:pt idx="44">
                  <c:v>3713.047583186913</c:v>
                </c:pt>
                <c:pt idx="45">
                  <c:v>3831.191306013433</c:v>
                </c:pt>
                <c:pt idx="46">
                  <c:v>3949.335028839954</c:v>
                </c:pt>
                <c:pt idx="47">
                  <c:v>4067.478751666476</c:v>
                </c:pt>
                <c:pt idx="48">
                  <c:v>4185.622474492995</c:v>
                </c:pt>
                <c:pt idx="49">
                  <c:v>4303.766197319517</c:v>
                </c:pt>
                <c:pt idx="50">
                  <c:v>4421.909920146039</c:v>
                </c:pt>
                <c:pt idx="51">
                  <c:v>4540.053642972559</c:v>
                </c:pt>
                <c:pt idx="52">
                  <c:v>4910.785722205374</c:v>
                </c:pt>
                <c:pt idx="53">
                  <c:v>5421.844666108355</c:v>
                </c:pt>
                <c:pt idx="54">
                  <c:v>5932.903610011336</c:v>
                </c:pt>
                <c:pt idx="55">
                  <c:v>6443.962553914318</c:v>
                </c:pt>
                <c:pt idx="56">
                  <c:v>6955.021497817299</c:v>
                </c:pt>
                <c:pt idx="57">
                  <c:v>7466.08044172028</c:v>
                </c:pt>
                <c:pt idx="58">
                  <c:v>7977.139385623261</c:v>
                </c:pt>
                <c:pt idx="59">
                  <c:v>8488.198329526241</c:v>
                </c:pt>
                <c:pt idx="60">
                  <c:v>8999.257273429223</c:v>
                </c:pt>
                <c:pt idx="61">
                  <c:v>9510.316217332205</c:v>
                </c:pt>
                <c:pt idx="62">
                  <c:v>10021.37516123518</c:v>
                </c:pt>
                <c:pt idx="63">
                  <c:v>10532.43410513817</c:v>
                </c:pt>
                <c:pt idx="64">
                  <c:v>11043.49304904115</c:v>
                </c:pt>
                <c:pt idx="65">
                  <c:v>11554.55199294413</c:v>
                </c:pt>
                <c:pt idx="66">
                  <c:v>12065.61093684711</c:v>
                </c:pt>
                <c:pt idx="67">
                  <c:v>12576.66988075009</c:v>
                </c:pt>
                <c:pt idx="68">
                  <c:v>13087.72882465307</c:v>
                </c:pt>
                <c:pt idx="69">
                  <c:v>13598.78776855605</c:v>
                </c:pt>
                <c:pt idx="70">
                  <c:v>14109.84671245904</c:v>
                </c:pt>
                <c:pt idx="71">
                  <c:v>14620.90565636201</c:v>
                </c:pt>
                <c:pt idx="72">
                  <c:v>15131.964600265</c:v>
                </c:pt>
                <c:pt idx="73">
                  <c:v>15643.02354416798</c:v>
                </c:pt>
                <c:pt idx="74">
                  <c:v>16154.08248807096</c:v>
                </c:pt>
                <c:pt idx="75">
                  <c:v>16665.14143197394</c:v>
                </c:pt>
                <c:pt idx="76">
                  <c:v>17176.20037587692</c:v>
                </c:pt>
                <c:pt idx="77">
                  <c:v>17687.2593197799</c:v>
                </c:pt>
                <c:pt idx="78">
                  <c:v>18198.31826368288</c:v>
                </c:pt>
                <c:pt idx="79">
                  <c:v>18709.37720758586</c:v>
                </c:pt>
                <c:pt idx="80">
                  <c:v>19767.57710026233</c:v>
                </c:pt>
                <c:pt idx="81">
                  <c:v>20974.99725169522</c:v>
                </c:pt>
                <c:pt idx="82">
                  <c:v>22182.41740312811</c:v>
                </c:pt>
                <c:pt idx="83">
                  <c:v>23389.837554561</c:v>
                </c:pt>
                <c:pt idx="84">
                  <c:v>24597.25770599388</c:v>
                </c:pt>
                <c:pt idx="85">
                  <c:v>25804.67785742677</c:v>
                </c:pt>
                <c:pt idx="86">
                  <c:v>27012.09800885966</c:v>
                </c:pt>
                <c:pt idx="87">
                  <c:v>28219.51816029254</c:v>
                </c:pt>
                <c:pt idx="88">
                  <c:v>29426.93831172543</c:v>
                </c:pt>
                <c:pt idx="89">
                  <c:v>30634.35846315831</c:v>
                </c:pt>
                <c:pt idx="90">
                  <c:v>31841.7786145912</c:v>
                </c:pt>
                <c:pt idx="91">
                  <c:v>33049.19876602409</c:v>
                </c:pt>
                <c:pt idx="92">
                  <c:v>34256.61891745697</c:v>
                </c:pt>
                <c:pt idx="93">
                  <c:v>35464.03906888986</c:v>
                </c:pt>
                <c:pt idx="94">
                  <c:v>36671.45922032275</c:v>
                </c:pt>
                <c:pt idx="95">
                  <c:v>37878.87937175564</c:v>
                </c:pt>
                <c:pt idx="96">
                  <c:v>38310.10085441024</c:v>
                </c:pt>
                <c:pt idx="97">
                  <c:v>38310.10085441024</c:v>
                </c:pt>
                <c:pt idx="98">
                  <c:v>38310.10085441024</c:v>
                </c:pt>
                <c:pt idx="99">
                  <c:v>38310.10085441024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333.7110872293431</c:v>
                </c:pt>
                <c:pt idx="1">
                  <c:v>333.7110872293431</c:v>
                </c:pt>
                <c:pt idx="2">
                  <c:v>333.7110872293431</c:v>
                </c:pt>
                <c:pt idx="3">
                  <c:v>333.7110872293431</c:v>
                </c:pt>
                <c:pt idx="4">
                  <c:v>333.7110872293431</c:v>
                </c:pt>
                <c:pt idx="5">
                  <c:v>333.7110872293431</c:v>
                </c:pt>
                <c:pt idx="6">
                  <c:v>333.7110872293431</c:v>
                </c:pt>
                <c:pt idx="7">
                  <c:v>333.7110872293431</c:v>
                </c:pt>
                <c:pt idx="8">
                  <c:v>333.7110872293431</c:v>
                </c:pt>
                <c:pt idx="9">
                  <c:v>333.7110872293431</c:v>
                </c:pt>
                <c:pt idx="10">
                  <c:v>333.7110872293431</c:v>
                </c:pt>
                <c:pt idx="11">
                  <c:v>333.7110872293431</c:v>
                </c:pt>
                <c:pt idx="12">
                  <c:v>333.7110872293431</c:v>
                </c:pt>
                <c:pt idx="13">
                  <c:v>333.7110872293431</c:v>
                </c:pt>
                <c:pt idx="14">
                  <c:v>333.7110872293431</c:v>
                </c:pt>
                <c:pt idx="15">
                  <c:v>333.7110872293431</c:v>
                </c:pt>
                <c:pt idx="16">
                  <c:v>333.7110872293431</c:v>
                </c:pt>
                <c:pt idx="17">
                  <c:v>333.7110872293431</c:v>
                </c:pt>
                <c:pt idx="18">
                  <c:v>332.6473143033392</c:v>
                </c:pt>
                <c:pt idx="19">
                  <c:v>330.5197684513315</c:v>
                </c:pt>
                <c:pt idx="20">
                  <c:v>328.3922225993237</c:v>
                </c:pt>
                <c:pt idx="21">
                  <c:v>326.264676747316</c:v>
                </c:pt>
                <c:pt idx="22">
                  <c:v>324.1371308953082</c:v>
                </c:pt>
                <c:pt idx="23">
                  <c:v>322.0095850433005</c:v>
                </c:pt>
                <c:pt idx="24">
                  <c:v>319.8820391912928</c:v>
                </c:pt>
                <c:pt idx="25">
                  <c:v>317.754493339285</c:v>
                </c:pt>
                <c:pt idx="26">
                  <c:v>315.6269474872773</c:v>
                </c:pt>
                <c:pt idx="27">
                  <c:v>313.4994016352695</c:v>
                </c:pt>
                <c:pt idx="28">
                  <c:v>311.3718557832618</c:v>
                </c:pt>
                <c:pt idx="29">
                  <c:v>309.244309931254</c:v>
                </c:pt>
                <c:pt idx="30">
                  <c:v>307.1167640792462</c:v>
                </c:pt>
                <c:pt idx="31">
                  <c:v>304.9892182272385</c:v>
                </c:pt>
                <c:pt idx="32">
                  <c:v>302.8616723752307</c:v>
                </c:pt>
                <c:pt idx="33">
                  <c:v>300.734126523223</c:v>
                </c:pt>
                <c:pt idx="34">
                  <c:v>298.6065806712152</c:v>
                </c:pt>
                <c:pt idx="35">
                  <c:v>296.4790348192075</c:v>
                </c:pt>
                <c:pt idx="36">
                  <c:v>294.3514889671998</c:v>
                </c:pt>
                <c:pt idx="37">
                  <c:v>292.223943115192</c:v>
                </c:pt>
                <c:pt idx="38">
                  <c:v>290.0963972631843</c:v>
                </c:pt>
                <c:pt idx="39">
                  <c:v>287.9688514111765</c:v>
                </c:pt>
                <c:pt idx="40">
                  <c:v>285.8413055591687</c:v>
                </c:pt>
                <c:pt idx="41">
                  <c:v>283.713759707161</c:v>
                </c:pt>
                <c:pt idx="42">
                  <c:v>281.5862138551532</c:v>
                </c:pt>
                <c:pt idx="43">
                  <c:v>279.4586680031455</c:v>
                </c:pt>
                <c:pt idx="44">
                  <c:v>277.3311221511377</c:v>
                </c:pt>
                <c:pt idx="45">
                  <c:v>275.20357629913</c:v>
                </c:pt>
                <c:pt idx="46">
                  <c:v>273.0760304471222</c:v>
                </c:pt>
                <c:pt idx="47">
                  <c:v>270.9484845951145</c:v>
                </c:pt>
                <c:pt idx="48">
                  <c:v>268.8209387431067</c:v>
                </c:pt>
                <c:pt idx="49">
                  <c:v>266.6933928910989</c:v>
                </c:pt>
                <c:pt idx="50">
                  <c:v>264.5658470390912</c:v>
                </c:pt>
                <c:pt idx="51">
                  <c:v>262.4383011870834</c:v>
                </c:pt>
                <c:pt idx="52">
                  <c:v>256.5488294096099</c:v>
                </c:pt>
                <c:pt idx="53">
                  <c:v>248.5693987846554</c:v>
                </c:pt>
                <c:pt idx="54">
                  <c:v>240.5899681597008</c:v>
                </c:pt>
                <c:pt idx="55">
                  <c:v>232.6105375347462</c:v>
                </c:pt>
                <c:pt idx="56">
                  <c:v>224.6311069097916</c:v>
                </c:pt>
                <c:pt idx="57">
                  <c:v>216.6516762848371</c:v>
                </c:pt>
                <c:pt idx="58">
                  <c:v>208.6722456598825</c:v>
                </c:pt>
                <c:pt idx="59">
                  <c:v>200.6928150349279</c:v>
                </c:pt>
                <c:pt idx="60">
                  <c:v>192.7133844099733</c:v>
                </c:pt>
                <c:pt idx="61">
                  <c:v>184.7339537850188</c:v>
                </c:pt>
                <c:pt idx="62">
                  <c:v>176.7545231600642</c:v>
                </c:pt>
                <c:pt idx="63">
                  <c:v>168.7750925351096</c:v>
                </c:pt>
                <c:pt idx="64">
                  <c:v>160.795661910155</c:v>
                </c:pt>
                <c:pt idx="65">
                  <c:v>152.8162312852005</c:v>
                </c:pt>
                <c:pt idx="66">
                  <c:v>144.8368006602459</c:v>
                </c:pt>
                <c:pt idx="67">
                  <c:v>136.8573700352913</c:v>
                </c:pt>
                <c:pt idx="68">
                  <c:v>128.8779394103367</c:v>
                </c:pt>
                <c:pt idx="69">
                  <c:v>120.8985087853822</c:v>
                </c:pt>
                <c:pt idx="70">
                  <c:v>112.9190781604276</c:v>
                </c:pt>
                <c:pt idx="71">
                  <c:v>104.939647535473</c:v>
                </c:pt>
                <c:pt idx="72">
                  <c:v>96.96021691051848</c:v>
                </c:pt>
                <c:pt idx="73">
                  <c:v>88.98078628556391</c:v>
                </c:pt>
                <c:pt idx="74">
                  <c:v>81.00135566060933</c:v>
                </c:pt>
                <c:pt idx="75">
                  <c:v>73.02192503565476</c:v>
                </c:pt>
                <c:pt idx="76">
                  <c:v>65.04249441070015</c:v>
                </c:pt>
                <c:pt idx="77">
                  <c:v>57.06306378574558</c:v>
                </c:pt>
                <c:pt idx="78">
                  <c:v>49.08363316079101</c:v>
                </c:pt>
                <c:pt idx="79">
                  <c:v>41.10420253583644</c:v>
                </c:pt>
                <c:pt idx="80">
                  <c:v>38.98739454900603</c:v>
                </c:pt>
                <c:pt idx="81">
                  <c:v>38.46948364530046</c:v>
                </c:pt>
                <c:pt idx="82">
                  <c:v>37.9515727415949</c:v>
                </c:pt>
                <c:pt idx="83">
                  <c:v>37.43366183788933</c:v>
                </c:pt>
                <c:pt idx="84">
                  <c:v>36.91575093418376</c:v>
                </c:pt>
                <c:pt idx="85">
                  <c:v>36.39784003047821</c:v>
                </c:pt>
                <c:pt idx="86">
                  <c:v>35.87992912677264</c:v>
                </c:pt>
                <c:pt idx="87">
                  <c:v>35.36201822306708</c:v>
                </c:pt>
                <c:pt idx="88">
                  <c:v>34.84410731936152</c:v>
                </c:pt>
                <c:pt idx="89">
                  <c:v>34.32619641565595</c:v>
                </c:pt>
                <c:pt idx="90">
                  <c:v>33.80828551195039</c:v>
                </c:pt>
                <c:pt idx="91">
                  <c:v>33.29037460824482</c:v>
                </c:pt>
                <c:pt idx="92">
                  <c:v>32.77246370453926</c:v>
                </c:pt>
                <c:pt idx="93">
                  <c:v>32.2545528008337</c:v>
                </c:pt>
                <c:pt idx="94">
                  <c:v>31.73664189712814</c:v>
                </c:pt>
                <c:pt idx="95">
                  <c:v>31.21873099342257</c:v>
                </c:pt>
                <c:pt idx="96">
                  <c:v>31.03376281352773</c:v>
                </c:pt>
                <c:pt idx="97">
                  <c:v>31.03376281352773</c:v>
                </c:pt>
                <c:pt idx="98">
                  <c:v>31.03376281352773</c:v>
                </c:pt>
                <c:pt idx="99">
                  <c:v>31.03376281352773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8702.96675659552</c:v>
                </c:pt>
                <c:pt idx="1">
                  <c:v>8702.96675659552</c:v>
                </c:pt>
                <c:pt idx="2">
                  <c:v>8702.96675659552</c:v>
                </c:pt>
                <c:pt idx="3">
                  <c:v>8702.96675659552</c:v>
                </c:pt>
                <c:pt idx="4">
                  <c:v>8702.96675659552</c:v>
                </c:pt>
                <c:pt idx="5">
                  <c:v>8702.96675659552</c:v>
                </c:pt>
                <c:pt idx="6">
                  <c:v>8702.96675659552</c:v>
                </c:pt>
                <c:pt idx="7">
                  <c:v>8702.96675659552</c:v>
                </c:pt>
                <c:pt idx="8">
                  <c:v>8702.96675659552</c:v>
                </c:pt>
                <c:pt idx="9">
                  <c:v>8702.96675659552</c:v>
                </c:pt>
                <c:pt idx="10">
                  <c:v>8702.96675659552</c:v>
                </c:pt>
                <c:pt idx="11">
                  <c:v>8702.96675659552</c:v>
                </c:pt>
                <c:pt idx="12">
                  <c:v>8702.96675659552</c:v>
                </c:pt>
                <c:pt idx="13">
                  <c:v>8702.96675659552</c:v>
                </c:pt>
                <c:pt idx="14">
                  <c:v>8702.96675659552</c:v>
                </c:pt>
                <c:pt idx="15">
                  <c:v>8702.96675659552</c:v>
                </c:pt>
                <c:pt idx="16">
                  <c:v>8702.96675659552</c:v>
                </c:pt>
                <c:pt idx="17">
                  <c:v>8702.96675659552</c:v>
                </c:pt>
                <c:pt idx="18">
                  <c:v>8722.338300402985</c:v>
                </c:pt>
                <c:pt idx="19">
                  <c:v>8761.081388017913</c:v>
                </c:pt>
                <c:pt idx="20">
                  <c:v>8799.824475632844</c:v>
                </c:pt>
                <c:pt idx="21">
                  <c:v>8838.567563247772</c:v>
                </c:pt>
                <c:pt idx="22">
                  <c:v>8877.310650862702</c:v>
                </c:pt>
                <c:pt idx="23">
                  <c:v>8916.053738477631</c:v>
                </c:pt>
                <c:pt idx="24">
                  <c:v>8954.79682609256</c:v>
                </c:pt>
                <c:pt idx="25">
                  <c:v>8993.539913707489</c:v>
                </c:pt>
                <c:pt idx="26">
                  <c:v>9032.28300132242</c:v>
                </c:pt>
                <c:pt idx="27">
                  <c:v>9071.02608893735</c:v>
                </c:pt>
                <c:pt idx="28">
                  <c:v>9109.769176552277</c:v>
                </c:pt>
                <c:pt idx="29">
                  <c:v>9148.512264167207</c:v>
                </c:pt>
                <c:pt idx="30">
                  <c:v>9187.255351782136</c:v>
                </c:pt>
                <c:pt idx="31">
                  <c:v>9225.998439397066</c:v>
                </c:pt>
                <c:pt idx="32">
                  <c:v>9264.741527011994</c:v>
                </c:pt>
                <c:pt idx="33">
                  <c:v>9303.484614626925</c:v>
                </c:pt>
                <c:pt idx="34">
                  <c:v>9342.227702241852</c:v>
                </c:pt>
                <c:pt idx="35">
                  <c:v>9380.970789856783</c:v>
                </c:pt>
                <c:pt idx="36">
                  <c:v>9419.71387747171</c:v>
                </c:pt>
                <c:pt idx="37">
                  <c:v>9458.456965086642</c:v>
                </c:pt>
                <c:pt idx="38">
                  <c:v>9497.20005270157</c:v>
                </c:pt>
                <c:pt idx="39">
                  <c:v>9535.9431403165</c:v>
                </c:pt>
                <c:pt idx="40">
                  <c:v>9574.68622793143</c:v>
                </c:pt>
                <c:pt idx="41">
                  <c:v>9613.429315546358</c:v>
                </c:pt>
                <c:pt idx="42">
                  <c:v>9652.172403161288</c:v>
                </c:pt>
                <c:pt idx="43">
                  <c:v>9690.915490776217</c:v>
                </c:pt>
                <c:pt idx="44">
                  <c:v>9729.658578391146</c:v>
                </c:pt>
                <c:pt idx="45">
                  <c:v>9768.401666006075</c:v>
                </c:pt>
                <c:pt idx="46">
                  <c:v>9807.144753621005</c:v>
                </c:pt>
                <c:pt idx="47">
                  <c:v>9845.887841235933</c:v>
                </c:pt>
                <c:pt idx="48">
                  <c:v>9884.630928850863</c:v>
                </c:pt>
                <c:pt idx="49">
                  <c:v>9923.374016465792</c:v>
                </c:pt>
                <c:pt idx="50">
                  <c:v>9962.117104080722</c:v>
                </c:pt>
                <c:pt idx="51">
                  <c:v>10000.86019169565</c:v>
                </c:pt>
                <c:pt idx="52">
                  <c:v>9979.411700721837</c:v>
                </c:pt>
                <c:pt idx="53">
                  <c:v>9924.523443865387</c:v>
                </c:pt>
                <c:pt idx="54">
                  <c:v>9869.635187008938</c:v>
                </c:pt>
                <c:pt idx="55">
                  <c:v>9814.746930152488</c:v>
                </c:pt>
                <c:pt idx="56">
                  <c:v>9759.858673296039</c:v>
                </c:pt>
                <c:pt idx="57">
                  <c:v>9704.97041643959</c:v>
                </c:pt>
                <c:pt idx="58">
                  <c:v>9650.08215958314</c:v>
                </c:pt>
                <c:pt idx="59">
                  <c:v>9595.193902726692</c:v>
                </c:pt>
                <c:pt idx="60">
                  <c:v>9540.305645870243</c:v>
                </c:pt>
                <c:pt idx="61">
                  <c:v>9485.417389013794</c:v>
                </c:pt>
                <c:pt idx="62">
                  <c:v>9430.529132157344</c:v>
                </c:pt>
                <c:pt idx="63">
                  <c:v>9375.640875300894</c:v>
                </c:pt>
                <c:pt idx="64">
                  <c:v>9320.752618444445</c:v>
                </c:pt>
                <c:pt idx="65">
                  <c:v>9265.864361587996</c:v>
                </c:pt>
                <c:pt idx="66">
                  <c:v>9210.976104731546</c:v>
                </c:pt>
                <c:pt idx="67">
                  <c:v>9156.087847875096</c:v>
                </c:pt>
                <c:pt idx="68">
                  <c:v>9101.199591018646</c:v>
                </c:pt>
                <c:pt idx="69">
                  <c:v>9046.311334162197</c:v>
                </c:pt>
                <c:pt idx="70">
                  <c:v>8991.42307730575</c:v>
                </c:pt>
                <c:pt idx="71">
                  <c:v>8936.5348204493</c:v>
                </c:pt>
                <c:pt idx="72">
                  <c:v>8881.64656359285</c:v>
                </c:pt>
                <c:pt idx="73">
                  <c:v>8826.7583067364</c:v>
                </c:pt>
                <c:pt idx="74">
                  <c:v>8771.870049879951</c:v>
                </c:pt>
                <c:pt idx="75">
                  <c:v>8716.981793023502</c:v>
                </c:pt>
                <c:pt idx="76">
                  <c:v>8662.093536167053</c:v>
                </c:pt>
                <c:pt idx="77">
                  <c:v>8607.205279310603</c:v>
                </c:pt>
                <c:pt idx="78">
                  <c:v>8552.317022454154</c:v>
                </c:pt>
                <c:pt idx="79">
                  <c:v>8497.428765597704</c:v>
                </c:pt>
                <c:pt idx="80">
                  <c:v>8072.647806187324</c:v>
                </c:pt>
                <c:pt idx="81">
                  <c:v>7546.987018807685</c:v>
                </c:pt>
                <c:pt idx="82">
                  <c:v>7021.326231428044</c:v>
                </c:pt>
                <c:pt idx="83">
                  <c:v>6495.665444048405</c:v>
                </c:pt>
                <c:pt idx="84">
                  <c:v>5970.004656668765</c:v>
                </c:pt>
                <c:pt idx="85">
                  <c:v>5444.343869289126</c:v>
                </c:pt>
                <c:pt idx="86">
                  <c:v>4918.683081909486</c:v>
                </c:pt>
                <c:pt idx="87">
                  <c:v>4393.022294529847</c:v>
                </c:pt>
                <c:pt idx="88">
                  <c:v>3867.361507150207</c:v>
                </c:pt>
                <c:pt idx="89">
                  <c:v>3341.700719770568</c:v>
                </c:pt>
                <c:pt idx="90">
                  <c:v>2816.039932390928</c:v>
                </c:pt>
                <c:pt idx="91">
                  <c:v>2290.379145011288</c:v>
                </c:pt>
                <c:pt idx="92">
                  <c:v>1764.71835763165</c:v>
                </c:pt>
                <c:pt idx="93">
                  <c:v>1239.05757025201</c:v>
                </c:pt>
                <c:pt idx="94">
                  <c:v>713.3967828723707</c:v>
                </c:pt>
                <c:pt idx="95">
                  <c:v>187.7359954927306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1227.01150053486</c:v>
                </c:pt>
                <c:pt idx="53">
                  <c:v>3135.696056922432</c:v>
                </c:pt>
                <c:pt idx="54">
                  <c:v>5044.380613310004</c:v>
                </c:pt>
                <c:pt idx="55">
                  <c:v>6953.065169697576</c:v>
                </c:pt>
                <c:pt idx="56">
                  <c:v>8861.749726085148</c:v>
                </c:pt>
                <c:pt idx="57">
                  <c:v>10770.43428247272</c:v>
                </c:pt>
                <c:pt idx="58">
                  <c:v>12679.11883886029</c:v>
                </c:pt>
                <c:pt idx="59">
                  <c:v>14587.80339524786</c:v>
                </c:pt>
                <c:pt idx="60">
                  <c:v>16496.48795163543</c:v>
                </c:pt>
                <c:pt idx="61">
                  <c:v>18405.17250802301</c:v>
                </c:pt>
                <c:pt idx="62">
                  <c:v>20313.85706441058</c:v>
                </c:pt>
                <c:pt idx="63">
                  <c:v>22222.54162079815</c:v>
                </c:pt>
                <c:pt idx="64">
                  <c:v>24131.22617718572</c:v>
                </c:pt>
                <c:pt idx="65">
                  <c:v>26039.9107335733</c:v>
                </c:pt>
                <c:pt idx="66">
                  <c:v>27948.59528996087</c:v>
                </c:pt>
                <c:pt idx="67">
                  <c:v>29857.27984634844</c:v>
                </c:pt>
                <c:pt idx="68">
                  <c:v>31765.96440273601</c:v>
                </c:pt>
                <c:pt idx="69">
                  <c:v>33674.64895912358</c:v>
                </c:pt>
                <c:pt idx="70">
                  <c:v>35583.33351551116</c:v>
                </c:pt>
                <c:pt idx="71">
                  <c:v>37492.01807189873</c:v>
                </c:pt>
                <c:pt idx="72">
                  <c:v>39400.7026282863</c:v>
                </c:pt>
                <c:pt idx="73">
                  <c:v>41309.38718467387</c:v>
                </c:pt>
                <c:pt idx="74">
                  <c:v>43218.07174106145</c:v>
                </c:pt>
                <c:pt idx="75">
                  <c:v>45126.75629744902</c:v>
                </c:pt>
                <c:pt idx="76">
                  <c:v>47035.44085383658</c:v>
                </c:pt>
                <c:pt idx="77">
                  <c:v>48944.12541022416</c:v>
                </c:pt>
                <c:pt idx="78">
                  <c:v>50852.80996661173</c:v>
                </c:pt>
                <c:pt idx="79">
                  <c:v>52761.49452299931</c:v>
                </c:pt>
                <c:pt idx="80">
                  <c:v>59975.67575410204</c:v>
                </c:pt>
                <c:pt idx="81">
                  <c:v>68636.81062376352</c:v>
                </c:pt>
                <c:pt idx="82">
                  <c:v>77297.94549342501</c:v>
                </c:pt>
                <c:pt idx="83">
                  <c:v>85959.08036308648</c:v>
                </c:pt>
                <c:pt idx="84">
                  <c:v>94620.21523274799</c:v>
                </c:pt>
                <c:pt idx="85">
                  <c:v>103281.3501024095</c:v>
                </c:pt>
                <c:pt idx="86">
                  <c:v>111942.4849720709</c:v>
                </c:pt>
                <c:pt idx="87">
                  <c:v>120603.6198417324</c:v>
                </c:pt>
                <c:pt idx="88">
                  <c:v>129264.754711394</c:v>
                </c:pt>
                <c:pt idx="89">
                  <c:v>137925.8895810554</c:v>
                </c:pt>
                <c:pt idx="90">
                  <c:v>146587.0244507169</c:v>
                </c:pt>
                <c:pt idx="91">
                  <c:v>155248.1593203784</c:v>
                </c:pt>
                <c:pt idx="92">
                  <c:v>163909.2941900399</c:v>
                </c:pt>
                <c:pt idx="93">
                  <c:v>172570.4290597013</c:v>
                </c:pt>
                <c:pt idx="94">
                  <c:v>181231.5639293628</c:v>
                </c:pt>
                <c:pt idx="95">
                  <c:v>189892.6987990243</c:v>
                </c:pt>
                <c:pt idx="96">
                  <c:v>192985.9612524749</c:v>
                </c:pt>
                <c:pt idx="97">
                  <c:v>192985.9612524749</c:v>
                </c:pt>
                <c:pt idx="98">
                  <c:v>192985.9612524749</c:v>
                </c:pt>
                <c:pt idx="99">
                  <c:v>192985.9612524749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3573.994930850873</c:v>
                </c:pt>
                <c:pt idx="1">
                  <c:v>3573.994930850873</c:v>
                </c:pt>
                <c:pt idx="2">
                  <c:v>3573.994930850873</c:v>
                </c:pt>
                <c:pt idx="3">
                  <c:v>3573.994930850873</c:v>
                </c:pt>
                <c:pt idx="4">
                  <c:v>3573.994930850873</c:v>
                </c:pt>
                <c:pt idx="5">
                  <c:v>3573.994930850873</c:v>
                </c:pt>
                <c:pt idx="6">
                  <c:v>3573.994930850873</c:v>
                </c:pt>
                <c:pt idx="7">
                  <c:v>3573.994930850873</c:v>
                </c:pt>
                <c:pt idx="8">
                  <c:v>3573.994930850873</c:v>
                </c:pt>
                <c:pt idx="9">
                  <c:v>3573.994930850873</c:v>
                </c:pt>
                <c:pt idx="10">
                  <c:v>3573.994930850873</c:v>
                </c:pt>
                <c:pt idx="11">
                  <c:v>3573.994930850873</c:v>
                </c:pt>
                <c:pt idx="12">
                  <c:v>3573.994930850873</c:v>
                </c:pt>
                <c:pt idx="13">
                  <c:v>3573.994930850873</c:v>
                </c:pt>
                <c:pt idx="14">
                  <c:v>3573.994930850873</c:v>
                </c:pt>
                <c:pt idx="15">
                  <c:v>3573.994930850873</c:v>
                </c:pt>
                <c:pt idx="16">
                  <c:v>3573.994930850873</c:v>
                </c:pt>
                <c:pt idx="17">
                  <c:v>3573.994930850873</c:v>
                </c:pt>
                <c:pt idx="18">
                  <c:v>3558.375287070268</c:v>
                </c:pt>
                <c:pt idx="19">
                  <c:v>3527.135999509058</c:v>
                </c:pt>
                <c:pt idx="20">
                  <c:v>3495.896711947848</c:v>
                </c:pt>
                <c:pt idx="21">
                  <c:v>3464.657424386638</c:v>
                </c:pt>
                <c:pt idx="22">
                  <c:v>3433.418136825427</c:v>
                </c:pt>
                <c:pt idx="23">
                  <c:v>3402.178849264218</c:v>
                </c:pt>
                <c:pt idx="24">
                  <c:v>3370.939561703007</c:v>
                </c:pt>
                <c:pt idx="25">
                  <c:v>3339.700274141797</c:v>
                </c:pt>
                <c:pt idx="26">
                  <c:v>3308.460986580587</c:v>
                </c:pt>
                <c:pt idx="27">
                  <c:v>3277.221699019377</c:v>
                </c:pt>
                <c:pt idx="28">
                  <c:v>3245.982411458167</c:v>
                </c:pt>
                <c:pt idx="29">
                  <c:v>3214.743123896956</c:v>
                </c:pt>
                <c:pt idx="30">
                  <c:v>3183.503836335746</c:v>
                </c:pt>
                <c:pt idx="31">
                  <c:v>3152.264548774536</c:v>
                </c:pt>
                <c:pt idx="32">
                  <c:v>3121.025261213326</c:v>
                </c:pt>
                <c:pt idx="33">
                  <c:v>3089.785973652115</c:v>
                </c:pt>
                <c:pt idx="34">
                  <c:v>3058.546686090905</c:v>
                </c:pt>
                <c:pt idx="35">
                  <c:v>3027.307398529695</c:v>
                </c:pt>
                <c:pt idx="36">
                  <c:v>2996.068110968485</c:v>
                </c:pt>
                <c:pt idx="37">
                  <c:v>2964.828823407275</c:v>
                </c:pt>
                <c:pt idx="38">
                  <c:v>2933.589535846065</c:v>
                </c:pt>
                <c:pt idx="39">
                  <c:v>2902.350248284854</c:v>
                </c:pt>
                <c:pt idx="40">
                  <c:v>2871.110960723644</c:v>
                </c:pt>
                <c:pt idx="41">
                  <c:v>2839.871673162434</c:v>
                </c:pt>
                <c:pt idx="42">
                  <c:v>2808.632385601224</c:v>
                </c:pt>
                <c:pt idx="43">
                  <c:v>2777.393098040013</c:v>
                </c:pt>
                <c:pt idx="44">
                  <c:v>2746.153810478803</c:v>
                </c:pt>
                <c:pt idx="45">
                  <c:v>2714.914522917593</c:v>
                </c:pt>
                <c:pt idx="46">
                  <c:v>2683.675235356383</c:v>
                </c:pt>
                <c:pt idx="47">
                  <c:v>2652.435947795173</c:v>
                </c:pt>
                <c:pt idx="48">
                  <c:v>2621.196660233963</c:v>
                </c:pt>
                <c:pt idx="49">
                  <c:v>2589.957372672752</c:v>
                </c:pt>
                <c:pt idx="50">
                  <c:v>2558.718085111542</c:v>
                </c:pt>
                <c:pt idx="51">
                  <c:v>2527.478797550332</c:v>
                </c:pt>
                <c:pt idx="52">
                  <c:v>2767.81701428312</c:v>
                </c:pt>
                <c:pt idx="53">
                  <c:v>3159.031622290355</c:v>
                </c:pt>
                <c:pt idx="54">
                  <c:v>3550.246230297591</c:v>
                </c:pt>
                <c:pt idx="55">
                  <c:v>3941.460838304826</c:v>
                </c:pt>
                <c:pt idx="56">
                  <c:v>4332.675446312061</c:v>
                </c:pt>
                <c:pt idx="57">
                  <c:v>4723.890054319296</c:v>
                </c:pt>
                <c:pt idx="58">
                  <c:v>5115.104662326531</c:v>
                </c:pt>
                <c:pt idx="59">
                  <c:v>5506.319270333766</c:v>
                </c:pt>
                <c:pt idx="60">
                  <c:v>5897.533878341002</c:v>
                </c:pt>
                <c:pt idx="61">
                  <c:v>6288.748486348237</c:v>
                </c:pt>
                <c:pt idx="62">
                  <c:v>6679.963094355471</c:v>
                </c:pt>
                <c:pt idx="63">
                  <c:v>7071.177702362706</c:v>
                </c:pt>
                <c:pt idx="64">
                  <c:v>7462.392310369941</c:v>
                </c:pt>
                <c:pt idx="65">
                  <c:v>7853.606918377176</c:v>
                </c:pt>
                <c:pt idx="66">
                  <c:v>8244.821526384412</c:v>
                </c:pt>
                <c:pt idx="67">
                  <c:v>8636.036134391648</c:v>
                </c:pt>
                <c:pt idx="68">
                  <c:v>9027.25074239888</c:v>
                </c:pt>
                <c:pt idx="69">
                  <c:v>9418.465350406117</c:v>
                </c:pt>
                <c:pt idx="70">
                  <c:v>9809.679958413353</c:v>
                </c:pt>
                <c:pt idx="71">
                  <c:v>10200.89456642059</c:v>
                </c:pt>
                <c:pt idx="72">
                  <c:v>10592.10917442782</c:v>
                </c:pt>
                <c:pt idx="73">
                  <c:v>10983.32378243506</c:v>
                </c:pt>
                <c:pt idx="74">
                  <c:v>11374.53839044229</c:v>
                </c:pt>
                <c:pt idx="75">
                  <c:v>11765.75299844953</c:v>
                </c:pt>
                <c:pt idx="76">
                  <c:v>12156.96760645676</c:v>
                </c:pt>
                <c:pt idx="77">
                  <c:v>12548.182214464</c:v>
                </c:pt>
                <c:pt idx="78">
                  <c:v>12939.39682247123</c:v>
                </c:pt>
                <c:pt idx="79">
                  <c:v>13330.61143047847</c:v>
                </c:pt>
                <c:pt idx="80">
                  <c:v>12832.82099845585</c:v>
                </c:pt>
                <c:pt idx="81">
                  <c:v>12092.57464642509</c:v>
                </c:pt>
                <c:pt idx="82">
                  <c:v>11352.32829439432</c:v>
                </c:pt>
                <c:pt idx="83">
                  <c:v>10612.08194236356</c:v>
                </c:pt>
                <c:pt idx="84">
                  <c:v>9871.835590332791</c:v>
                </c:pt>
                <c:pt idx="85">
                  <c:v>9131.589238302025</c:v>
                </c:pt>
                <c:pt idx="86">
                  <c:v>8391.34288627126</c:v>
                </c:pt>
                <c:pt idx="87">
                  <c:v>7651.096534240494</c:v>
                </c:pt>
                <c:pt idx="88">
                  <c:v>6910.85018220973</c:v>
                </c:pt>
                <c:pt idx="89">
                  <c:v>6170.603830178963</c:v>
                </c:pt>
                <c:pt idx="90">
                  <c:v>5430.357478148198</c:v>
                </c:pt>
                <c:pt idx="91">
                  <c:v>4690.11112611743</c:v>
                </c:pt>
                <c:pt idx="92">
                  <c:v>3949.864774086667</c:v>
                </c:pt>
                <c:pt idx="93">
                  <c:v>3209.618422055901</c:v>
                </c:pt>
                <c:pt idx="94">
                  <c:v>2469.372070025136</c:v>
                </c:pt>
                <c:pt idx="95">
                  <c:v>1729.125717994371</c:v>
                </c:pt>
                <c:pt idx="96">
                  <c:v>1464.752020840522</c:v>
                </c:pt>
                <c:pt idx="97">
                  <c:v>1464.752020840522</c:v>
                </c:pt>
                <c:pt idx="98">
                  <c:v>1464.752020840522</c:v>
                </c:pt>
                <c:pt idx="99">
                  <c:v>1464.752020840522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878.8512125043133</c:v>
                </c:pt>
                <c:pt idx="1">
                  <c:v>878.8512125043133</c:v>
                </c:pt>
                <c:pt idx="2">
                  <c:v>878.8512125043133</c:v>
                </c:pt>
                <c:pt idx="3">
                  <c:v>878.8512125043133</c:v>
                </c:pt>
                <c:pt idx="4">
                  <c:v>878.8512125043133</c:v>
                </c:pt>
                <c:pt idx="5">
                  <c:v>878.8512125043133</c:v>
                </c:pt>
                <c:pt idx="6">
                  <c:v>878.8512125043133</c:v>
                </c:pt>
                <c:pt idx="7">
                  <c:v>878.8512125043133</c:v>
                </c:pt>
                <c:pt idx="8">
                  <c:v>878.8512125043133</c:v>
                </c:pt>
                <c:pt idx="9">
                  <c:v>878.8512125043133</c:v>
                </c:pt>
                <c:pt idx="10">
                  <c:v>878.8512125043133</c:v>
                </c:pt>
                <c:pt idx="11">
                  <c:v>878.8512125043133</c:v>
                </c:pt>
                <c:pt idx="12">
                  <c:v>878.8512125043133</c:v>
                </c:pt>
                <c:pt idx="13">
                  <c:v>878.8512125043133</c:v>
                </c:pt>
                <c:pt idx="14">
                  <c:v>878.8512125043133</c:v>
                </c:pt>
                <c:pt idx="15">
                  <c:v>878.8512125043133</c:v>
                </c:pt>
                <c:pt idx="16">
                  <c:v>878.8512125043133</c:v>
                </c:pt>
                <c:pt idx="17">
                  <c:v>878.8512125043133</c:v>
                </c:pt>
                <c:pt idx="18">
                  <c:v>910.162604595382</c:v>
                </c:pt>
                <c:pt idx="19">
                  <c:v>972.7853887775195</c:v>
                </c:pt>
                <c:pt idx="20">
                  <c:v>1035.408172959657</c:v>
                </c:pt>
                <c:pt idx="21">
                  <c:v>1098.030957141794</c:v>
                </c:pt>
                <c:pt idx="22">
                  <c:v>1160.653741323932</c:v>
                </c:pt>
                <c:pt idx="23">
                  <c:v>1223.276525506069</c:v>
                </c:pt>
                <c:pt idx="24">
                  <c:v>1285.899309688207</c:v>
                </c:pt>
                <c:pt idx="25">
                  <c:v>1348.522093870345</c:v>
                </c:pt>
                <c:pt idx="26">
                  <c:v>1411.144878052482</c:v>
                </c:pt>
                <c:pt idx="27">
                  <c:v>1473.767662234619</c:v>
                </c:pt>
                <c:pt idx="28">
                  <c:v>1536.390446416757</c:v>
                </c:pt>
                <c:pt idx="29">
                  <c:v>1599.013230598895</c:v>
                </c:pt>
                <c:pt idx="30">
                  <c:v>1661.636014781032</c:v>
                </c:pt>
                <c:pt idx="31">
                  <c:v>1724.25879896317</c:v>
                </c:pt>
                <c:pt idx="32">
                  <c:v>1786.881583145307</c:v>
                </c:pt>
                <c:pt idx="33">
                  <c:v>1849.504367327444</c:v>
                </c:pt>
                <c:pt idx="34">
                  <c:v>1912.127151509582</c:v>
                </c:pt>
                <c:pt idx="35">
                  <c:v>1974.74993569172</c:v>
                </c:pt>
                <c:pt idx="36">
                  <c:v>2037.372719873857</c:v>
                </c:pt>
                <c:pt idx="37">
                  <c:v>2099.995504055994</c:v>
                </c:pt>
                <c:pt idx="38">
                  <c:v>2162.618288238132</c:v>
                </c:pt>
                <c:pt idx="39">
                  <c:v>2225.24107242027</c:v>
                </c:pt>
                <c:pt idx="40">
                  <c:v>2287.863856602407</c:v>
                </c:pt>
                <c:pt idx="41">
                  <c:v>2350.486640784545</c:v>
                </c:pt>
                <c:pt idx="42">
                  <c:v>2413.109424966682</c:v>
                </c:pt>
                <c:pt idx="43">
                  <c:v>2475.732209148819</c:v>
                </c:pt>
                <c:pt idx="44">
                  <c:v>2538.354993330957</c:v>
                </c:pt>
                <c:pt idx="45">
                  <c:v>2600.977777513094</c:v>
                </c:pt>
                <c:pt idx="46">
                  <c:v>2663.600561695232</c:v>
                </c:pt>
                <c:pt idx="47">
                  <c:v>2726.22334587737</c:v>
                </c:pt>
                <c:pt idx="48">
                  <c:v>2788.846130059507</c:v>
                </c:pt>
                <c:pt idx="49">
                  <c:v>2851.468914241645</c:v>
                </c:pt>
                <c:pt idx="50">
                  <c:v>2914.091698423782</c:v>
                </c:pt>
                <c:pt idx="51">
                  <c:v>2976.714482605919</c:v>
                </c:pt>
                <c:pt idx="52">
                  <c:v>3388.900978371197</c:v>
                </c:pt>
                <c:pt idx="53">
                  <c:v>3995.289536127111</c:v>
                </c:pt>
                <c:pt idx="54">
                  <c:v>4601.678093883024</c:v>
                </c:pt>
                <c:pt idx="55">
                  <c:v>5208.06665163894</c:v>
                </c:pt>
                <c:pt idx="56">
                  <c:v>5814.455209394853</c:v>
                </c:pt>
                <c:pt idx="57">
                  <c:v>6420.843767150766</c:v>
                </c:pt>
                <c:pt idx="58">
                  <c:v>7027.23232490668</c:v>
                </c:pt>
                <c:pt idx="59">
                  <c:v>7633.620882662593</c:v>
                </c:pt>
                <c:pt idx="60">
                  <c:v>8240.009440418507</c:v>
                </c:pt>
                <c:pt idx="61">
                  <c:v>8846.397998174421</c:v>
                </c:pt>
                <c:pt idx="62">
                  <c:v>9452.786555930335</c:v>
                </c:pt>
                <c:pt idx="63">
                  <c:v>10059.17511368625</c:v>
                </c:pt>
                <c:pt idx="64">
                  <c:v>10665.56367144216</c:v>
                </c:pt>
                <c:pt idx="65">
                  <c:v>11271.95222919808</c:v>
                </c:pt>
                <c:pt idx="66">
                  <c:v>11878.34078695399</c:v>
                </c:pt>
                <c:pt idx="67">
                  <c:v>12484.7293447099</c:v>
                </c:pt>
                <c:pt idx="68">
                  <c:v>13091.11790246582</c:v>
                </c:pt>
                <c:pt idx="69">
                  <c:v>13697.50646022173</c:v>
                </c:pt>
                <c:pt idx="70">
                  <c:v>14303.89501797765</c:v>
                </c:pt>
                <c:pt idx="71">
                  <c:v>14910.28357573356</c:v>
                </c:pt>
                <c:pt idx="72">
                  <c:v>15516.67213348948</c:v>
                </c:pt>
                <c:pt idx="73">
                  <c:v>16123.06069124539</c:v>
                </c:pt>
                <c:pt idx="74">
                  <c:v>16729.4492490013</c:v>
                </c:pt>
                <c:pt idx="75">
                  <c:v>17335.83780675722</c:v>
                </c:pt>
                <c:pt idx="76">
                  <c:v>17942.22636451313</c:v>
                </c:pt>
                <c:pt idx="77">
                  <c:v>18548.61492226904</c:v>
                </c:pt>
                <c:pt idx="78">
                  <c:v>19155.00348002495</c:v>
                </c:pt>
                <c:pt idx="79">
                  <c:v>19761.39203778087</c:v>
                </c:pt>
                <c:pt idx="80">
                  <c:v>21998.33285656793</c:v>
                </c:pt>
                <c:pt idx="81">
                  <c:v>24679.96974654532</c:v>
                </c:pt>
                <c:pt idx="82">
                  <c:v>27361.60663652272</c:v>
                </c:pt>
                <c:pt idx="83">
                  <c:v>30043.24352650011</c:v>
                </c:pt>
                <c:pt idx="84">
                  <c:v>32724.88041647751</c:v>
                </c:pt>
                <c:pt idx="85">
                  <c:v>35406.5173064549</c:v>
                </c:pt>
                <c:pt idx="86">
                  <c:v>38088.1541964323</c:v>
                </c:pt>
                <c:pt idx="87">
                  <c:v>40769.79108640969</c:v>
                </c:pt>
                <c:pt idx="88">
                  <c:v>43451.42797638709</c:v>
                </c:pt>
                <c:pt idx="89">
                  <c:v>46133.06486636448</c:v>
                </c:pt>
                <c:pt idx="90">
                  <c:v>48814.70175634188</c:v>
                </c:pt>
                <c:pt idx="91">
                  <c:v>51496.33864631927</c:v>
                </c:pt>
                <c:pt idx="92">
                  <c:v>54177.97553629666</c:v>
                </c:pt>
                <c:pt idx="93">
                  <c:v>56859.61242627406</c:v>
                </c:pt>
                <c:pt idx="94">
                  <c:v>59541.24931625146</c:v>
                </c:pt>
                <c:pt idx="95">
                  <c:v>62222.88620622883</c:v>
                </c:pt>
                <c:pt idx="96">
                  <c:v>63180.61366693507</c:v>
                </c:pt>
                <c:pt idx="97">
                  <c:v>63180.61366693507</c:v>
                </c:pt>
                <c:pt idx="98">
                  <c:v>63180.61366693507</c:v>
                </c:pt>
                <c:pt idx="99">
                  <c:v>63180.61366693507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2064.52118346463</c:v>
                </c:pt>
                <c:pt idx="1">
                  <c:v>2064.52118346463</c:v>
                </c:pt>
                <c:pt idx="2">
                  <c:v>2064.52118346463</c:v>
                </c:pt>
                <c:pt idx="3">
                  <c:v>2064.52118346463</c:v>
                </c:pt>
                <c:pt idx="4">
                  <c:v>2064.52118346463</c:v>
                </c:pt>
                <c:pt idx="5">
                  <c:v>2064.52118346463</c:v>
                </c:pt>
                <c:pt idx="6">
                  <c:v>2064.52118346463</c:v>
                </c:pt>
                <c:pt idx="7">
                  <c:v>2064.52118346463</c:v>
                </c:pt>
                <c:pt idx="8">
                  <c:v>2064.52118346463</c:v>
                </c:pt>
                <c:pt idx="9">
                  <c:v>2064.52118346463</c:v>
                </c:pt>
                <c:pt idx="10">
                  <c:v>2064.52118346463</c:v>
                </c:pt>
                <c:pt idx="11">
                  <c:v>2064.52118346463</c:v>
                </c:pt>
                <c:pt idx="12">
                  <c:v>2064.52118346463</c:v>
                </c:pt>
                <c:pt idx="13">
                  <c:v>2064.52118346463</c:v>
                </c:pt>
                <c:pt idx="14">
                  <c:v>2064.52118346463</c:v>
                </c:pt>
                <c:pt idx="15">
                  <c:v>2064.52118346463</c:v>
                </c:pt>
                <c:pt idx="16">
                  <c:v>2064.52118346463</c:v>
                </c:pt>
                <c:pt idx="17">
                  <c:v>2064.52118346463</c:v>
                </c:pt>
                <c:pt idx="18">
                  <c:v>2064.805606113988</c:v>
                </c:pt>
                <c:pt idx="19">
                  <c:v>2065.374451412704</c:v>
                </c:pt>
                <c:pt idx="20">
                  <c:v>2065.94329671142</c:v>
                </c:pt>
                <c:pt idx="21">
                  <c:v>2066.512142010135</c:v>
                </c:pt>
                <c:pt idx="22">
                  <c:v>2067.080987308851</c:v>
                </c:pt>
                <c:pt idx="23">
                  <c:v>2067.649832607566</c:v>
                </c:pt>
                <c:pt idx="24">
                  <c:v>2068.218677906282</c:v>
                </c:pt>
                <c:pt idx="25">
                  <c:v>2068.787523204997</c:v>
                </c:pt>
                <c:pt idx="26">
                  <c:v>2069.356368503713</c:v>
                </c:pt>
                <c:pt idx="27">
                  <c:v>2069.925213802428</c:v>
                </c:pt>
                <c:pt idx="28">
                  <c:v>2070.494059101144</c:v>
                </c:pt>
                <c:pt idx="29">
                  <c:v>2071.06290439986</c:v>
                </c:pt>
                <c:pt idx="30">
                  <c:v>2071.631749698575</c:v>
                </c:pt>
                <c:pt idx="31">
                  <c:v>2072.200594997291</c:v>
                </c:pt>
                <c:pt idx="32">
                  <c:v>2072.769440296006</c:v>
                </c:pt>
                <c:pt idx="33">
                  <c:v>2073.338285594722</c:v>
                </c:pt>
                <c:pt idx="34">
                  <c:v>2073.907130893437</c:v>
                </c:pt>
                <c:pt idx="35">
                  <c:v>2074.475976192153</c:v>
                </c:pt>
                <c:pt idx="36">
                  <c:v>2075.044821490869</c:v>
                </c:pt>
                <c:pt idx="37">
                  <c:v>2075.613666789585</c:v>
                </c:pt>
                <c:pt idx="38">
                  <c:v>2076.1825120883</c:v>
                </c:pt>
                <c:pt idx="39">
                  <c:v>2076.751357387016</c:v>
                </c:pt>
                <c:pt idx="40">
                  <c:v>2077.320202685732</c:v>
                </c:pt>
                <c:pt idx="41">
                  <c:v>2077.889047984447</c:v>
                </c:pt>
                <c:pt idx="42">
                  <c:v>2078.457893283163</c:v>
                </c:pt>
                <c:pt idx="43">
                  <c:v>2079.026738581878</c:v>
                </c:pt>
                <c:pt idx="44">
                  <c:v>2079.595583880593</c:v>
                </c:pt>
                <c:pt idx="45">
                  <c:v>2080.16442917931</c:v>
                </c:pt>
                <c:pt idx="46">
                  <c:v>2080.733274478025</c:v>
                </c:pt>
                <c:pt idx="47">
                  <c:v>2081.302119776741</c:v>
                </c:pt>
                <c:pt idx="48">
                  <c:v>2081.870965075456</c:v>
                </c:pt>
                <c:pt idx="49">
                  <c:v>2082.439810374172</c:v>
                </c:pt>
                <c:pt idx="50">
                  <c:v>2083.008655672887</c:v>
                </c:pt>
                <c:pt idx="51">
                  <c:v>2083.577500971603</c:v>
                </c:pt>
                <c:pt idx="52">
                  <c:v>2076.086133702575</c:v>
                </c:pt>
                <c:pt idx="53">
                  <c:v>2064.116870562577</c:v>
                </c:pt>
                <c:pt idx="54">
                  <c:v>2052.14760742258</c:v>
                </c:pt>
                <c:pt idx="55">
                  <c:v>2040.178344282583</c:v>
                </c:pt>
                <c:pt idx="56">
                  <c:v>2028.209081142585</c:v>
                </c:pt>
                <c:pt idx="57">
                  <c:v>2016.239818002588</c:v>
                </c:pt>
                <c:pt idx="58">
                  <c:v>2004.270554862591</c:v>
                </c:pt>
                <c:pt idx="59">
                  <c:v>1992.301291722593</c:v>
                </c:pt>
                <c:pt idx="60">
                  <c:v>1980.332028582596</c:v>
                </c:pt>
                <c:pt idx="61">
                  <c:v>1968.362765442598</c:v>
                </c:pt>
                <c:pt idx="62">
                  <c:v>1956.393502302601</c:v>
                </c:pt>
                <c:pt idx="63">
                  <c:v>1944.424239162604</c:v>
                </c:pt>
                <c:pt idx="64">
                  <c:v>1932.454976022606</c:v>
                </c:pt>
                <c:pt idx="65">
                  <c:v>1920.48571288261</c:v>
                </c:pt>
                <c:pt idx="66">
                  <c:v>1908.516449742612</c:v>
                </c:pt>
                <c:pt idx="67">
                  <c:v>1896.547186602614</c:v>
                </c:pt>
                <c:pt idx="68">
                  <c:v>1884.577923462617</c:v>
                </c:pt>
                <c:pt idx="69">
                  <c:v>1872.608660322619</c:v>
                </c:pt>
                <c:pt idx="70">
                  <c:v>1860.639397182622</c:v>
                </c:pt>
                <c:pt idx="71">
                  <c:v>1848.670134042625</c:v>
                </c:pt>
                <c:pt idx="72">
                  <c:v>1836.700870902627</c:v>
                </c:pt>
                <c:pt idx="73">
                  <c:v>1824.73160776263</c:v>
                </c:pt>
                <c:pt idx="74">
                  <c:v>1812.762344622633</c:v>
                </c:pt>
                <c:pt idx="75">
                  <c:v>1800.793081482635</c:v>
                </c:pt>
                <c:pt idx="76">
                  <c:v>1788.823818342638</c:v>
                </c:pt>
                <c:pt idx="77">
                  <c:v>1776.854555202641</c:v>
                </c:pt>
                <c:pt idx="78">
                  <c:v>1764.885292062643</c:v>
                </c:pt>
                <c:pt idx="79">
                  <c:v>1752.916028922646</c:v>
                </c:pt>
                <c:pt idx="80">
                  <c:v>1713.630439546648</c:v>
                </c:pt>
                <c:pt idx="81">
                  <c:v>1666.894943015378</c:v>
                </c:pt>
                <c:pt idx="82">
                  <c:v>1620.159446484107</c:v>
                </c:pt>
                <c:pt idx="83">
                  <c:v>1573.423949952837</c:v>
                </c:pt>
                <c:pt idx="84">
                  <c:v>1526.688453421566</c:v>
                </c:pt>
                <c:pt idx="85">
                  <c:v>1479.952956890296</c:v>
                </c:pt>
                <c:pt idx="86">
                  <c:v>1433.217460359025</c:v>
                </c:pt>
                <c:pt idx="87">
                  <c:v>1386.481963827755</c:v>
                </c:pt>
                <c:pt idx="88">
                  <c:v>1339.746467296484</c:v>
                </c:pt>
                <c:pt idx="89">
                  <c:v>1293.010970765214</c:v>
                </c:pt>
                <c:pt idx="90">
                  <c:v>1246.275474233943</c:v>
                </c:pt>
                <c:pt idx="91">
                  <c:v>1199.539977702673</c:v>
                </c:pt>
                <c:pt idx="92">
                  <c:v>1152.804481171402</c:v>
                </c:pt>
                <c:pt idx="93">
                  <c:v>1106.068984640132</c:v>
                </c:pt>
                <c:pt idx="94">
                  <c:v>1059.333488108861</c:v>
                </c:pt>
                <c:pt idx="95">
                  <c:v>1012.597991577591</c:v>
                </c:pt>
                <c:pt idx="96">
                  <c:v>995.9067428164226</c:v>
                </c:pt>
                <c:pt idx="97">
                  <c:v>995.9067428164226</c:v>
                </c:pt>
                <c:pt idx="98">
                  <c:v>995.9067428164226</c:v>
                </c:pt>
                <c:pt idx="99">
                  <c:v>995.9067428164226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33527.37387631745</c:v>
                </c:pt>
                <c:pt idx="1">
                  <c:v>33527.37387631745</c:v>
                </c:pt>
                <c:pt idx="2">
                  <c:v>33527.37387631745</c:v>
                </c:pt>
                <c:pt idx="3">
                  <c:v>33527.37387631745</c:v>
                </c:pt>
                <c:pt idx="4">
                  <c:v>33527.37387631745</c:v>
                </c:pt>
                <c:pt idx="5">
                  <c:v>33527.37387631745</c:v>
                </c:pt>
                <c:pt idx="6">
                  <c:v>33527.37387631745</c:v>
                </c:pt>
                <c:pt idx="7">
                  <c:v>33527.37387631745</c:v>
                </c:pt>
                <c:pt idx="8">
                  <c:v>33527.37387631745</c:v>
                </c:pt>
                <c:pt idx="9">
                  <c:v>33527.37387631745</c:v>
                </c:pt>
                <c:pt idx="10">
                  <c:v>33527.37387631745</c:v>
                </c:pt>
                <c:pt idx="11">
                  <c:v>33527.37387631745</c:v>
                </c:pt>
                <c:pt idx="12">
                  <c:v>33527.37387631745</c:v>
                </c:pt>
                <c:pt idx="13">
                  <c:v>33527.37387631745</c:v>
                </c:pt>
                <c:pt idx="14">
                  <c:v>33527.37387631745</c:v>
                </c:pt>
                <c:pt idx="15">
                  <c:v>33527.37387631745</c:v>
                </c:pt>
                <c:pt idx="16">
                  <c:v>33527.37387631745</c:v>
                </c:pt>
                <c:pt idx="17">
                  <c:v>33527.37387631745</c:v>
                </c:pt>
                <c:pt idx="18">
                  <c:v>33527.15720054113</c:v>
                </c:pt>
                <c:pt idx="19">
                  <c:v>33526.72384898849</c:v>
                </c:pt>
                <c:pt idx="20">
                  <c:v>33526.29049743585</c:v>
                </c:pt>
                <c:pt idx="21">
                  <c:v>33525.85714588322</c:v>
                </c:pt>
                <c:pt idx="22">
                  <c:v>33525.42379433058</c:v>
                </c:pt>
                <c:pt idx="23">
                  <c:v>33524.99044277793</c:v>
                </c:pt>
                <c:pt idx="24">
                  <c:v>33524.5570912253</c:v>
                </c:pt>
                <c:pt idx="25">
                  <c:v>33524.12373967266</c:v>
                </c:pt>
                <c:pt idx="26">
                  <c:v>33523.69038812002</c:v>
                </c:pt>
                <c:pt idx="27">
                  <c:v>33523.25703656738</c:v>
                </c:pt>
                <c:pt idx="28">
                  <c:v>33522.82368501474</c:v>
                </c:pt>
                <c:pt idx="29">
                  <c:v>33522.3903334621</c:v>
                </c:pt>
                <c:pt idx="30">
                  <c:v>33521.95698190947</c:v>
                </c:pt>
                <c:pt idx="31">
                  <c:v>33521.52363035683</c:v>
                </c:pt>
                <c:pt idx="32">
                  <c:v>33521.0902788042</c:v>
                </c:pt>
                <c:pt idx="33">
                  <c:v>33520.65692725155</c:v>
                </c:pt>
                <c:pt idx="34">
                  <c:v>33520.22357569891</c:v>
                </c:pt>
                <c:pt idx="35">
                  <c:v>33519.79022414627</c:v>
                </c:pt>
                <c:pt idx="36">
                  <c:v>33519.35687259363</c:v>
                </c:pt>
                <c:pt idx="37">
                  <c:v>33518.923521041</c:v>
                </c:pt>
                <c:pt idx="38">
                  <c:v>33518.49016948836</c:v>
                </c:pt>
                <c:pt idx="39">
                  <c:v>33518.05681793572</c:v>
                </c:pt>
                <c:pt idx="40">
                  <c:v>33517.62346638308</c:v>
                </c:pt>
                <c:pt idx="41">
                  <c:v>33517.19011483045</c:v>
                </c:pt>
                <c:pt idx="42">
                  <c:v>33516.75676327781</c:v>
                </c:pt>
                <c:pt idx="43">
                  <c:v>33516.32341172516</c:v>
                </c:pt>
                <c:pt idx="44">
                  <c:v>33515.89006017252</c:v>
                </c:pt>
                <c:pt idx="45">
                  <c:v>33515.45670861989</c:v>
                </c:pt>
                <c:pt idx="46">
                  <c:v>33515.02335706725</c:v>
                </c:pt>
                <c:pt idx="47">
                  <c:v>33514.59000551461</c:v>
                </c:pt>
                <c:pt idx="48">
                  <c:v>33514.15665396197</c:v>
                </c:pt>
                <c:pt idx="49">
                  <c:v>33513.72330240934</c:v>
                </c:pt>
                <c:pt idx="50">
                  <c:v>33513.2899508567</c:v>
                </c:pt>
                <c:pt idx="51">
                  <c:v>33512.85659930406</c:v>
                </c:pt>
                <c:pt idx="52">
                  <c:v>33288.68042732956</c:v>
                </c:pt>
                <c:pt idx="53">
                  <c:v>32940.20268845404</c:v>
                </c:pt>
                <c:pt idx="54">
                  <c:v>32591.72494957851</c:v>
                </c:pt>
                <c:pt idx="55">
                  <c:v>32243.24721070299</c:v>
                </c:pt>
                <c:pt idx="56">
                  <c:v>31894.76947182746</c:v>
                </c:pt>
                <c:pt idx="57">
                  <c:v>31546.29173295194</c:v>
                </c:pt>
                <c:pt idx="58">
                  <c:v>31197.81399407641</c:v>
                </c:pt>
                <c:pt idx="59">
                  <c:v>30849.33625520088</c:v>
                </c:pt>
                <c:pt idx="60">
                  <c:v>30500.85851632536</c:v>
                </c:pt>
                <c:pt idx="61">
                  <c:v>30152.38077744983</c:v>
                </c:pt>
                <c:pt idx="62">
                  <c:v>29803.90303857431</c:v>
                </c:pt>
                <c:pt idx="63">
                  <c:v>29455.42529969878</c:v>
                </c:pt>
                <c:pt idx="64">
                  <c:v>29106.94756082325</c:v>
                </c:pt>
                <c:pt idx="65">
                  <c:v>28758.46982194773</c:v>
                </c:pt>
                <c:pt idx="66">
                  <c:v>28409.9920830722</c:v>
                </c:pt>
                <c:pt idx="67">
                  <c:v>28061.51434419668</c:v>
                </c:pt>
                <c:pt idx="68">
                  <c:v>27713.03660532115</c:v>
                </c:pt>
                <c:pt idx="69">
                  <c:v>27364.55886644562</c:v>
                </c:pt>
                <c:pt idx="70">
                  <c:v>27016.0811275701</c:v>
                </c:pt>
                <c:pt idx="71">
                  <c:v>26667.60338869457</c:v>
                </c:pt>
                <c:pt idx="72">
                  <c:v>26319.12564981905</c:v>
                </c:pt>
                <c:pt idx="73">
                  <c:v>25970.64791094352</c:v>
                </c:pt>
                <c:pt idx="74">
                  <c:v>25622.170172068</c:v>
                </c:pt>
                <c:pt idx="75">
                  <c:v>25273.69243319247</c:v>
                </c:pt>
                <c:pt idx="76">
                  <c:v>24925.21469431694</c:v>
                </c:pt>
                <c:pt idx="77">
                  <c:v>24576.73695544142</c:v>
                </c:pt>
                <c:pt idx="78">
                  <c:v>24228.25921656589</c:v>
                </c:pt>
                <c:pt idx="79">
                  <c:v>23879.78147769037</c:v>
                </c:pt>
                <c:pt idx="80">
                  <c:v>23369.43468715355</c:v>
                </c:pt>
                <c:pt idx="81">
                  <c:v>22814.9417916182</c:v>
                </c:pt>
                <c:pt idx="82">
                  <c:v>22260.44889608284</c:v>
                </c:pt>
                <c:pt idx="83">
                  <c:v>21705.95600054749</c:v>
                </c:pt>
                <c:pt idx="84">
                  <c:v>21151.46310501213</c:v>
                </c:pt>
                <c:pt idx="85">
                  <c:v>20596.97020947677</c:v>
                </c:pt>
                <c:pt idx="86">
                  <c:v>20042.47731394142</c:v>
                </c:pt>
                <c:pt idx="87">
                  <c:v>19487.98441840606</c:v>
                </c:pt>
                <c:pt idx="88">
                  <c:v>18933.49152287071</c:v>
                </c:pt>
                <c:pt idx="89">
                  <c:v>18378.99862733536</c:v>
                </c:pt>
                <c:pt idx="90">
                  <c:v>17824.5057318</c:v>
                </c:pt>
                <c:pt idx="91">
                  <c:v>17270.01283626465</c:v>
                </c:pt>
                <c:pt idx="92">
                  <c:v>16715.51994072929</c:v>
                </c:pt>
                <c:pt idx="93">
                  <c:v>16161.02704519394</c:v>
                </c:pt>
                <c:pt idx="94">
                  <c:v>15606.53414965858</c:v>
                </c:pt>
                <c:pt idx="95">
                  <c:v>15052.04125412323</c:v>
                </c:pt>
                <c:pt idx="96">
                  <c:v>14854.00807714631</c:v>
                </c:pt>
                <c:pt idx="97">
                  <c:v>14854.00807714631</c:v>
                </c:pt>
                <c:pt idx="98">
                  <c:v>14854.00807714631</c:v>
                </c:pt>
                <c:pt idx="99">
                  <c:v>14854.00807714631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2294.778165983484</c:v>
                </c:pt>
                <c:pt idx="1">
                  <c:v>2294.778165983484</c:v>
                </c:pt>
                <c:pt idx="2">
                  <c:v>2294.778165983484</c:v>
                </c:pt>
                <c:pt idx="3">
                  <c:v>2294.778165983484</c:v>
                </c:pt>
                <c:pt idx="4">
                  <c:v>2294.778165983484</c:v>
                </c:pt>
                <c:pt idx="5">
                  <c:v>2294.778165983484</c:v>
                </c:pt>
                <c:pt idx="6">
                  <c:v>2294.778165983484</c:v>
                </c:pt>
                <c:pt idx="7">
                  <c:v>2294.778165983484</c:v>
                </c:pt>
                <c:pt idx="8">
                  <c:v>2294.778165983484</c:v>
                </c:pt>
                <c:pt idx="9">
                  <c:v>2294.778165983484</c:v>
                </c:pt>
                <c:pt idx="10">
                  <c:v>2294.778165983484</c:v>
                </c:pt>
                <c:pt idx="11">
                  <c:v>2294.778165983484</c:v>
                </c:pt>
                <c:pt idx="12">
                  <c:v>2294.778165983484</c:v>
                </c:pt>
                <c:pt idx="13">
                  <c:v>2294.778165983484</c:v>
                </c:pt>
                <c:pt idx="14">
                  <c:v>2294.778165983484</c:v>
                </c:pt>
                <c:pt idx="15">
                  <c:v>2294.778165983484</c:v>
                </c:pt>
                <c:pt idx="16">
                  <c:v>2294.778165983484</c:v>
                </c:pt>
                <c:pt idx="17">
                  <c:v>2294.778165983484</c:v>
                </c:pt>
                <c:pt idx="18">
                  <c:v>2319.879555440486</c:v>
                </c:pt>
                <c:pt idx="19">
                  <c:v>2370.082334354492</c:v>
                </c:pt>
                <c:pt idx="20">
                  <c:v>2420.285113268496</c:v>
                </c:pt>
                <c:pt idx="21">
                  <c:v>2470.487892182501</c:v>
                </c:pt>
                <c:pt idx="22">
                  <c:v>2520.690671096506</c:v>
                </c:pt>
                <c:pt idx="23">
                  <c:v>2570.893450010511</c:v>
                </c:pt>
                <c:pt idx="24">
                  <c:v>2621.096228924516</c:v>
                </c:pt>
                <c:pt idx="25">
                  <c:v>2671.299007838521</c:v>
                </c:pt>
                <c:pt idx="26">
                  <c:v>2721.501786752526</c:v>
                </c:pt>
                <c:pt idx="27">
                  <c:v>2771.70456566653</c:v>
                </c:pt>
                <c:pt idx="28">
                  <c:v>2821.907344580535</c:v>
                </c:pt>
                <c:pt idx="29">
                  <c:v>2872.11012349454</c:v>
                </c:pt>
                <c:pt idx="30">
                  <c:v>2922.312902408545</c:v>
                </c:pt>
                <c:pt idx="31">
                  <c:v>2972.51568132255</c:v>
                </c:pt>
                <c:pt idx="32">
                  <c:v>3022.718460236555</c:v>
                </c:pt>
                <c:pt idx="33">
                  <c:v>3072.92123915056</c:v>
                </c:pt>
                <c:pt idx="34">
                  <c:v>3123.124018064565</c:v>
                </c:pt>
                <c:pt idx="35">
                  <c:v>3173.32679697857</c:v>
                </c:pt>
                <c:pt idx="36">
                  <c:v>3223.529575892575</c:v>
                </c:pt>
                <c:pt idx="37">
                  <c:v>3273.73235480658</c:v>
                </c:pt>
                <c:pt idx="38">
                  <c:v>3323.935133720584</c:v>
                </c:pt>
                <c:pt idx="39">
                  <c:v>3374.13791263459</c:v>
                </c:pt>
                <c:pt idx="40">
                  <c:v>3424.340691548594</c:v>
                </c:pt>
                <c:pt idx="41">
                  <c:v>3474.5434704626</c:v>
                </c:pt>
                <c:pt idx="42">
                  <c:v>3524.746249376604</c:v>
                </c:pt>
                <c:pt idx="43">
                  <c:v>3574.94902829061</c:v>
                </c:pt>
                <c:pt idx="44">
                  <c:v>3625.151807204614</c:v>
                </c:pt>
                <c:pt idx="45">
                  <c:v>3675.354586118619</c:v>
                </c:pt>
                <c:pt idx="46">
                  <c:v>3725.557365032624</c:v>
                </c:pt>
                <c:pt idx="47">
                  <c:v>3775.760143946629</c:v>
                </c:pt>
                <c:pt idx="48">
                  <c:v>3825.962922860634</c:v>
                </c:pt>
                <c:pt idx="49">
                  <c:v>3876.165701774638</c:v>
                </c:pt>
                <c:pt idx="50">
                  <c:v>3926.368480688644</c:v>
                </c:pt>
                <c:pt idx="51">
                  <c:v>3976.571259602649</c:v>
                </c:pt>
                <c:pt idx="52">
                  <c:v>4054.42889896855</c:v>
                </c:pt>
                <c:pt idx="53">
                  <c:v>4147.650349696616</c:v>
                </c:pt>
                <c:pt idx="54">
                  <c:v>4240.871800424682</c:v>
                </c:pt>
                <c:pt idx="55">
                  <c:v>4334.093251152748</c:v>
                </c:pt>
                <c:pt idx="56">
                  <c:v>4427.314701880814</c:v>
                </c:pt>
                <c:pt idx="57">
                  <c:v>4520.53615260888</c:v>
                </c:pt>
                <c:pt idx="58">
                  <c:v>4613.757603336946</c:v>
                </c:pt>
                <c:pt idx="59">
                  <c:v>4706.979054065012</c:v>
                </c:pt>
                <c:pt idx="60">
                  <c:v>4800.200504793077</c:v>
                </c:pt>
                <c:pt idx="61">
                  <c:v>4893.421955521144</c:v>
                </c:pt>
                <c:pt idx="62">
                  <c:v>4986.64340624921</c:v>
                </c:pt>
                <c:pt idx="63">
                  <c:v>5079.864856977276</c:v>
                </c:pt>
                <c:pt idx="64">
                  <c:v>5173.086307705342</c:v>
                </c:pt>
                <c:pt idx="65">
                  <c:v>5266.307758433408</c:v>
                </c:pt>
                <c:pt idx="66">
                  <c:v>5359.529209161474</c:v>
                </c:pt>
                <c:pt idx="67">
                  <c:v>5452.75065988954</c:v>
                </c:pt>
                <c:pt idx="68">
                  <c:v>5545.972110617606</c:v>
                </c:pt>
                <c:pt idx="69">
                  <c:v>5639.193561345672</c:v>
                </c:pt>
                <c:pt idx="70">
                  <c:v>5732.415012073738</c:v>
                </c:pt>
                <c:pt idx="71">
                  <c:v>5825.636462801804</c:v>
                </c:pt>
                <c:pt idx="72">
                  <c:v>5918.85791352987</c:v>
                </c:pt>
                <c:pt idx="73">
                  <c:v>6012.079364257936</c:v>
                </c:pt>
                <c:pt idx="74">
                  <c:v>6105.300814986002</c:v>
                </c:pt>
                <c:pt idx="75">
                  <c:v>6198.52226571407</c:v>
                </c:pt>
                <c:pt idx="76">
                  <c:v>6291.743716442135</c:v>
                </c:pt>
                <c:pt idx="77">
                  <c:v>6384.965167170201</c:v>
                </c:pt>
                <c:pt idx="78">
                  <c:v>6478.186617898267</c:v>
                </c:pt>
                <c:pt idx="79">
                  <c:v>6571.408068626333</c:v>
                </c:pt>
                <c:pt idx="80">
                  <c:v>6773.181855661004</c:v>
                </c:pt>
                <c:pt idx="81">
                  <c:v>7004.56082532475</c:v>
                </c:pt>
                <c:pt idx="82">
                  <c:v>7235.939794988497</c:v>
                </c:pt>
                <c:pt idx="83">
                  <c:v>7467.318764652242</c:v>
                </c:pt>
                <c:pt idx="84">
                  <c:v>7698.69773431599</c:v>
                </c:pt>
                <c:pt idx="85">
                  <c:v>7930.076703979736</c:v>
                </c:pt>
                <c:pt idx="86">
                  <c:v>8161.455673643482</c:v>
                </c:pt>
                <c:pt idx="87">
                  <c:v>8392.83464330723</c:v>
                </c:pt>
                <c:pt idx="88">
                  <c:v>8624.213612970976</c:v>
                </c:pt>
                <c:pt idx="89">
                  <c:v>8855.59258263472</c:v>
                </c:pt>
                <c:pt idx="90">
                  <c:v>9086.971552298467</c:v>
                </c:pt>
                <c:pt idx="91">
                  <c:v>9318.350521962215</c:v>
                </c:pt>
                <c:pt idx="92">
                  <c:v>9549.72949162596</c:v>
                </c:pt>
                <c:pt idx="93">
                  <c:v>9781.108461289706</c:v>
                </c:pt>
                <c:pt idx="94">
                  <c:v>10012.48743095345</c:v>
                </c:pt>
                <c:pt idx="95">
                  <c:v>10243.8664006172</c:v>
                </c:pt>
                <c:pt idx="96">
                  <c:v>10326.50174692568</c:v>
                </c:pt>
                <c:pt idx="97">
                  <c:v>10326.50174692568</c:v>
                </c:pt>
                <c:pt idx="98">
                  <c:v>10326.50174692568</c:v>
                </c:pt>
                <c:pt idx="99">
                  <c:v>10326.50174692568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0171032"/>
        <c:axId val="-2030177512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37756.62117311318</c:v>
                </c:pt>
                <c:pt idx="1">
                  <c:v>37756.62117311318</c:v>
                </c:pt>
                <c:pt idx="2">
                  <c:v>37756.62117311318</c:v>
                </c:pt>
                <c:pt idx="3">
                  <c:v>37756.62117311318</c:v>
                </c:pt>
                <c:pt idx="4">
                  <c:v>37756.62117311318</c:v>
                </c:pt>
                <c:pt idx="5">
                  <c:v>37756.62117311318</c:v>
                </c:pt>
                <c:pt idx="6">
                  <c:v>37756.62117311318</c:v>
                </c:pt>
                <c:pt idx="7">
                  <c:v>37756.62117311318</c:v>
                </c:pt>
                <c:pt idx="8">
                  <c:v>37756.62117311318</c:v>
                </c:pt>
                <c:pt idx="9">
                  <c:v>37756.62117311318</c:v>
                </c:pt>
                <c:pt idx="10">
                  <c:v>37756.62117311318</c:v>
                </c:pt>
                <c:pt idx="11">
                  <c:v>37756.62117311318</c:v>
                </c:pt>
                <c:pt idx="12">
                  <c:v>37756.62117311318</c:v>
                </c:pt>
                <c:pt idx="13">
                  <c:v>37756.62117311318</c:v>
                </c:pt>
                <c:pt idx="14">
                  <c:v>37756.62117311318</c:v>
                </c:pt>
                <c:pt idx="15">
                  <c:v>37756.62117311318</c:v>
                </c:pt>
                <c:pt idx="16">
                  <c:v>37756.62117311318</c:v>
                </c:pt>
                <c:pt idx="17">
                  <c:v>37756.62117311318</c:v>
                </c:pt>
                <c:pt idx="18">
                  <c:v>37756.62117311318</c:v>
                </c:pt>
                <c:pt idx="19">
                  <c:v>37756.62117311318</c:v>
                </c:pt>
                <c:pt idx="20">
                  <c:v>37756.62117311318</c:v>
                </c:pt>
                <c:pt idx="21">
                  <c:v>37756.62117311318</c:v>
                </c:pt>
                <c:pt idx="22">
                  <c:v>37756.62117311318</c:v>
                </c:pt>
                <c:pt idx="23">
                  <c:v>37756.62117311318</c:v>
                </c:pt>
                <c:pt idx="24">
                  <c:v>37756.62117311318</c:v>
                </c:pt>
                <c:pt idx="25">
                  <c:v>37756.62117311318</c:v>
                </c:pt>
                <c:pt idx="26">
                  <c:v>37756.62117311318</c:v>
                </c:pt>
                <c:pt idx="27">
                  <c:v>37756.62117311318</c:v>
                </c:pt>
                <c:pt idx="28">
                  <c:v>37756.62117311318</c:v>
                </c:pt>
                <c:pt idx="29">
                  <c:v>37756.62117311318</c:v>
                </c:pt>
                <c:pt idx="30">
                  <c:v>37756.62117311318</c:v>
                </c:pt>
                <c:pt idx="31">
                  <c:v>37756.62117311318</c:v>
                </c:pt>
                <c:pt idx="32">
                  <c:v>37756.62117311318</c:v>
                </c:pt>
                <c:pt idx="33">
                  <c:v>37756.62117311318</c:v>
                </c:pt>
                <c:pt idx="34">
                  <c:v>37756.62117311318</c:v>
                </c:pt>
                <c:pt idx="35">
                  <c:v>37756.62117311317</c:v>
                </c:pt>
                <c:pt idx="36">
                  <c:v>37756.62117311317</c:v>
                </c:pt>
                <c:pt idx="37">
                  <c:v>37756.62117311317</c:v>
                </c:pt>
                <c:pt idx="38">
                  <c:v>37756.62117311317</c:v>
                </c:pt>
                <c:pt idx="39">
                  <c:v>37756.62117311317</c:v>
                </c:pt>
                <c:pt idx="40">
                  <c:v>37756.62117311317</c:v>
                </c:pt>
                <c:pt idx="41">
                  <c:v>37756.62117311317</c:v>
                </c:pt>
                <c:pt idx="42">
                  <c:v>37756.62117311317</c:v>
                </c:pt>
                <c:pt idx="43">
                  <c:v>37756.62117311317</c:v>
                </c:pt>
                <c:pt idx="44">
                  <c:v>37756.62117311317</c:v>
                </c:pt>
                <c:pt idx="45">
                  <c:v>37756.62117311317</c:v>
                </c:pt>
                <c:pt idx="46">
                  <c:v>37756.62117311317</c:v>
                </c:pt>
                <c:pt idx="47">
                  <c:v>37756.62117311317</c:v>
                </c:pt>
                <c:pt idx="48">
                  <c:v>37756.62117311317</c:v>
                </c:pt>
                <c:pt idx="49">
                  <c:v>37756.62117311317</c:v>
                </c:pt>
                <c:pt idx="50">
                  <c:v>37756.62117311317</c:v>
                </c:pt>
                <c:pt idx="51">
                  <c:v>37756.62117311317</c:v>
                </c:pt>
                <c:pt idx="52">
                  <c:v>37756.62117311317</c:v>
                </c:pt>
                <c:pt idx="53">
                  <c:v>37756.62117311317</c:v>
                </c:pt>
                <c:pt idx="54">
                  <c:v>37756.62117311317</c:v>
                </c:pt>
                <c:pt idx="55">
                  <c:v>37756.62117311317</c:v>
                </c:pt>
                <c:pt idx="56">
                  <c:v>37756.62117311317</c:v>
                </c:pt>
                <c:pt idx="57">
                  <c:v>37756.62117311317</c:v>
                </c:pt>
                <c:pt idx="58">
                  <c:v>37756.62117311317</c:v>
                </c:pt>
                <c:pt idx="59">
                  <c:v>37756.62117311317</c:v>
                </c:pt>
                <c:pt idx="60">
                  <c:v>37756.62117311317</c:v>
                </c:pt>
                <c:pt idx="61">
                  <c:v>37756.62117311317</c:v>
                </c:pt>
                <c:pt idx="62">
                  <c:v>37756.62117311317</c:v>
                </c:pt>
                <c:pt idx="63">
                  <c:v>37756.62117311317</c:v>
                </c:pt>
                <c:pt idx="64">
                  <c:v>37756.62117311317</c:v>
                </c:pt>
                <c:pt idx="65">
                  <c:v>37756.62117311317</c:v>
                </c:pt>
                <c:pt idx="66">
                  <c:v>37756.62117311317</c:v>
                </c:pt>
                <c:pt idx="67">
                  <c:v>37756.62117311318</c:v>
                </c:pt>
                <c:pt idx="68">
                  <c:v>37756.62117311318</c:v>
                </c:pt>
                <c:pt idx="69">
                  <c:v>37756.62117311318</c:v>
                </c:pt>
                <c:pt idx="70">
                  <c:v>37756.62117311318</c:v>
                </c:pt>
                <c:pt idx="71">
                  <c:v>37756.62117311318</c:v>
                </c:pt>
                <c:pt idx="72">
                  <c:v>37756.62117311318</c:v>
                </c:pt>
                <c:pt idx="73">
                  <c:v>37756.62117311318</c:v>
                </c:pt>
                <c:pt idx="74">
                  <c:v>37756.62117311318</c:v>
                </c:pt>
                <c:pt idx="75">
                  <c:v>37756.62117311318</c:v>
                </c:pt>
                <c:pt idx="76">
                  <c:v>37756.62117311318</c:v>
                </c:pt>
                <c:pt idx="77">
                  <c:v>37756.62117311318</c:v>
                </c:pt>
                <c:pt idx="78">
                  <c:v>37756.62117311318</c:v>
                </c:pt>
                <c:pt idx="79">
                  <c:v>37756.62117311318</c:v>
                </c:pt>
                <c:pt idx="80">
                  <c:v>37756.62117311318</c:v>
                </c:pt>
                <c:pt idx="81">
                  <c:v>37756.62117311318</c:v>
                </c:pt>
                <c:pt idx="82">
                  <c:v>37756.62117311318</c:v>
                </c:pt>
                <c:pt idx="83">
                  <c:v>37756.62117311318</c:v>
                </c:pt>
                <c:pt idx="84">
                  <c:v>37756.62117311318</c:v>
                </c:pt>
                <c:pt idx="85">
                  <c:v>37756.62117311318</c:v>
                </c:pt>
                <c:pt idx="86">
                  <c:v>37756.62117311318</c:v>
                </c:pt>
                <c:pt idx="87">
                  <c:v>37756.62117311318</c:v>
                </c:pt>
                <c:pt idx="88">
                  <c:v>37756.62117311318</c:v>
                </c:pt>
                <c:pt idx="89">
                  <c:v>37756.62117311318</c:v>
                </c:pt>
                <c:pt idx="90">
                  <c:v>37756.62117311318</c:v>
                </c:pt>
                <c:pt idx="91">
                  <c:v>37756.62117311318</c:v>
                </c:pt>
                <c:pt idx="92">
                  <c:v>37756.62117311318</c:v>
                </c:pt>
                <c:pt idx="93">
                  <c:v>37756.62117311318</c:v>
                </c:pt>
                <c:pt idx="94">
                  <c:v>37756.62117311318</c:v>
                </c:pt>
                <c:pt idx="95">
                  <c:v>37756.62117311318</c:v>
                </c:pt>
                <c:pt idx="96">
                  <c:v>37756.62117311318</c:v>
                </c:pt>
                <c:pt idx="97">
                  <c:v>37756.62117311318</c:v>
                </c:pt>
                <c:pt idx="98">
                  <c:v>37756.62117311318</c:v>
                </c:pt>
                <c:pt idx="99">
                  <c:v>37756.62117311318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0171032"/>
        <c:axId val="-2030177512"/>
      </c:lineChart>
      <c:catAx>
        <c:axId val="-203017103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017751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301775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017103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6816082347248"/>
          <c:y val="0.1875"/>
          <c:w val="0.166201227290723"/>
          <c:h val="0.6041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34.9005273499267</c:v>
                </c:pt>
                <c:pt idx="1">
                  <c:v>47.09360461946279</c:v>
                </c:pt>
                <c:pt idx="2">
                  <c:v>148.002539033666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15.77106329330803</c:v>
                </c:pt>
                <c:pt idx="1">
                  <c:v>204.4584123688674</c:v>
                </c:pt>
                <c:pt idx="2">
                  <c:v>1425.124321533336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-2.127545852007752</c:v>
                </c:pt>
                <c:pt idx="1">
                  <c:v>-7.979430624954573</c:v>
                </c:pt>
                <c:pt idx="2">
                  <c:v>-0.517910903705563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-31.2392875612102</c:v>
                </c:pt>
                <c:pt idx="1">
                  <c:v>391.2146080072351</c:v>
                </c:pt>
                <c:pt idx="2">
                  <c:v>-740.2463520307656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0.568845298715614</c:v>
                </c:pt>
                <c:pt idx="1">
                  <c:v>-11.96926313999738</c:v>
                </c:pt>
                <c:pt idx="2">
                  <c:v>-46.7354965312705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-0.433351552638496</c:v>
                </c:pt>
                <c:pt idx="1">
                  <c:v>-348.4777388755259</c:v>
                </c:pt>
                <c:pt idx="2">
                  <c:v>-554.4928955353546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0752184"/>
        <c:axId val="-2030767512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19.76043529560161</c:v>
                </c:pt>
                <c:pt idx="1">
                  <c:v>44.30179904543798</c:v>
                </c:pt>
                <c:pt idx="2">
                  <c:v>75.57977231326527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0.063091463626218</c:v>
                </c:pt>
                <c:pt idx="1">
                  <c:v>48.51678087833193</c:v>
                </c:pt>
                <c:pt idx="2">
                  <c:v>68.35509430589109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118.1437228265209</c:v>
                </c:pt>
                <c:pt idx="1">
                  <c:v>511.0589439029811</c:v>
                </c:pt>
                <c:pt idx="2">
                  <c:v>1207.420151432887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38.74308761492927</c:v>
                </c:pt>
                <c:pt idx="1">
                  <c:v>-54.88825685644936</c:v>
                </c:pt>
                <c:pt idx="2">
                  <c:v>-525.6607873796396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1908.684556387572</c:v>
                </c:pt>
                <c:pt idx="2">
                  <c:v>8661.134869661484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62.6227841821375</c:v>
                </c:pt>
                <c:pt idx="1">
                  <c:v>606.3885577559139</c:v>
                </c:pt>
                <c:pt idx="2">
                  <c:v>2681.636889977394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50.2027789140049</c:v>
                </c:pt>
                <c:pt idx="1">
                  <c:v>93.22145072806604</c:v>
                </c:pt>
                <c:pt idx="2">
                  <c:v>231.3789696637464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0814936"/>
        <c:axId val="-2030823144"/>
      </c:scatterChart>
      <c:valAx>
        <c:axId val="-2030752184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0767512"/>
        <c:crosses val="autoZero"/>
        <c:crossBetween val="midCat"/>
      </c:valAx>
      <c:valAx>
        <c:axId val="-20307675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0752184"/>
        <c:crosses val="autoZero"/>
        <c:crossBetween val="midCat"/>
      </c:valAx>
      <c:valAx>
        <c:axId val="-203081493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30823144"/>
        <c:crosses val="autoZero"/>
        <c:crossBetween val="midCat"/>
      </c:valAx>
      <c:valAx>
        <c:axId val="-2030823144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0814936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0000651822496"/>
          <c:y val="0.0385852090032154"/>
          <c:w val="0.231788209834698"/>
          <c:h val="0.90353799022710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3341.474724058787</c:v>
                </c:pt>
                <c:pt idx="1">
                  <c:v>3341.474724058787</c:v>
                </c:pt>
                <c:pt idx="2">
                  <c:v>3341.474724058787</c:v>
                </c:pt>
                <c:pt idx="3">
                  <c:v>3341.474724058787</c:v>
                </c:pt>
                <c:pt idx="4">
                  <c:v>3341.474724058787</c:v>
                </c:pt>
                <c:pt idx="5">
                  <c:v>3341.474724058787</c:v>
                </c:pt>
                <c:pt idx="6">
                  <c:v>3341.474724058787</c:v>
                </c:pt>
                <c:pt idx="7">
                  <c:v>3341.474724058787</c:v>
                </c:pt>
                <c:pt idx="8">
                  <c:v>3341.474724058787</c:v>
                </c:pt>
                <c:pt idx="9">
                  <c:v>3341.474724058787</c:v>
                </c:pt>
                <c:pt idx="10">
                  <c:v>3341.474724058787</c:v>
                </c:pt>
                <c:pt idx="11">
                  <c:v>3341.474724058787</c:v>
                </c:pt>
                <c:pt idx="12">
                  <c:v>3341.474724058787</c:v>
                </c:pt>
                <c:pt idx="13">
                  <c:v>3341.474724058787</c:v>
                </c:pt>
                <c:pt idx="14">
                  <c:v>3341.474724058787</c:v>
                </c:pt>
                <c:pt idx="15">
                  <c:v>3341.474724058787</c:v>
                </c:pt>
                <c:pt idx="16">
                  <c:v>3341.474724058787</c:v>
                </c:pt>
                <c:pt idx="17">
                  <c:v>3341.474724058787</c:v>
                </c:pt>
                <c:pt idx="18">
                  <c:v>3358.92498773375</c:v>
                </c:pt>
                <c:pt idx="19">
                  <c:v>3393.825515083677</c:v>
                </c:pt>
                <c:pt idx="20">
                  <c:v>3428.726042433604</c:v>
                </c:pt>
                <c:pt idx="21">
                  <c:v>3463.62656978353</c:v>
                </c:pt>
                <c:pt idx="22">
                  <c:v>3498.527097133457</c:v>
                </c:pt>
                <c:pt idx="23">
                  <c:v>3533.427624483384</c:v>
                </c:pt>
                <c:pt idx="24">
                  <c:v>3568.32815183331</c:v>
                </c:pt>
                <c:pt idx="25">
                  <c:v>3603.228679183237</c:v>
                </c:pt>
                <c:pt idx="26">
                  <c:v>3638.129206533163</c:v>
                </c:pt>
                <c:pt idx="27">
                  <c:v>3673.02973388309</c:v>
                </c:pt>
                <c:pt idx="28">
                  <c:v>3707.930261233017</c:v>
                </c:pt>
                <c:pt idx="29">
                  <c:v>3742.830788582943</c:v>
                </c:pt>
                <c:pt idx="30">
                  <c:v>3777.73131593287</c:v>
                </c:pt>
                <c:pt idx="31">
                  <c:v>3812.631843282797</c:v>
                </c:pt>
                <c:pt idx="32">
                  <c:v>3847.532370632723</c:v>
                </c:pt>
                <c:pt idx="33">
                  <c:v>3882.432897982651</c:v>
                </c:pt>
                <c:pt idx="34">
                  <c:v>3917.333425332577</c:v>
                </c:pt>
                <c:pt idx="35">
                  <c:v>3952.233952682503</c:v>
                </c:pt>
                <c:pt idx="36">
                  <c:v>3987.13448003243</c:v>
                </c:pt>
                <c:pt idx="37">
                  <c:v>4022.035007382357</c:v>
                </c:pt>
                <c:pt idx="38">
                  <c:v>4056.935534732283</c:v>
                </c:pt>
                <c:pt idx="39">
                  <c:v>4091.83606208221</c:v>
                </c:pt>
                <c:pt idx="40">
                  <c:v>4126.736589432137</c:v>
                </c:pt>
                <c:pt idx="41">
                  <c:v>4161.637116782063</c:v>
                </c:pt>
                <c:pt idx="42">
                  <c:v>4196.53764413199</c:v>
                </c:pt>
                <c:pt idx="43">
                  <c:v>4231.438171481917</c:v>
                </c:pt>
                <c:pt idx="44">
                  <c:v>4266.338698831844</c:v>
                </c:pt>
                <c:pt idx="45">
                  <c:v>4301.23922618177</c:v>
                </c:pt>
                <c:pt idx="46">
                  <c:v>4336.139753531697</c:v>
                </c:pt>
                <c:pt idx="47">
                  <c:v>4371.040280881624</c:v>
                </c:pt>
                <c:pt idx="48">
                  <c:v>4405.940808231551</c:v>
                </c:pt>
                <c:pt idx="49">
                  <c:v>4440.841335581477</c:v>
                </c:pt>
                <c:pt idx="50">
                  <c:v>4475.741862931404</c:v>
                </c:pt>
                <c:pt idx="51">
                  <c:v>4510.642390281331</c:v>
                </c:pt>
                <c:pt idx="52">
                  <c:v>4553.381324447387</c:v>
                </c:pt>
                <c:pt idx="53">
                  <c:v>4600.47492906685</c:v>
                </c:pt>
                <c:pt idx="54">
                  <c:v>4647.568533686313</c:v>
                </c:pt>
                <c:pt idx="55">
                  <c:v>4694.662138305776</c:v>
                </c:pt>
                <c:pt idx="56">
                  <c:v>4741.755742925239</c:v>
                </c:pt>
                <c:pt idx="57">
                  <c:v>4788.849347544702</c:v>
                </c:pt>
                <c:pt idx="58">
                  <c:v>4835.942952164165</c:v>
                </c:pt>
                <c:pt idx="59">
                  <c:v>4883.036556783627</c:v>
                </c:pt>
                <c:pt idx="60">
                  <c:v>4930.13016140309</c:v>
                </c:pt>
                <c:pt idx="61">
                  <c:v>4977.223766022553</c:v>
                </c:pt>
                <c:pt idx="62">
                  <c:v>5024.317370642016</c:v>
                </c:pt>
                <c:pt idx="63">
                  <c:v>5071.410975261478</c:v>
                </c:pt>
                <c:pt idx="64">
                  <c:v>5118.504579880941</c:v>
                </c:pt>
                <c:pt idx="65">
                  <c:v>5165.598184500404</c:v>
                </c:pt>
                <c:pt idx="66">
                  <c:v>5212.691789119867</c:v>
                </c:pt>
                <c:pt idx="67">
                  <c:v>5259.78539373933</c:v>
                </c:pt>
                <c:pt idx="68">
                  <c:v>5306.878998358792</c:v>
                </c:pt>
                <c:pt idx="69">
                  <c:v>5353.972602978255</c:v>
                </c:pt>
                <c:pt idx="70">
                  <c:v>5401.066207597717</c:v>
                </c:pt>
                <c:pt idx="71">
                  <c:v>5448.159812217181</c:v>
                </c:pt>
                <c:pt idx="72">
                  <c:v>5495.253416836644</c:v>
                </c:pt>
                <c:pt idx="73">
                  <c:v>5542.347021456106</c:v>
                </c:pt>
                <c:pt idx="74">
                  <c:v>5589.44062607557</c:v>
                </c:pt>
                <c:pt idx="75">
                  <c:v>5636.534230695031</c:v>
                </c:pt>
                <c:pt idx="76">
                  <c:v>5683.627835314495</c:v>
                </c:pt>
                <c:pt idx="77">
                  <c:v>5730.721439933957</c:v>
                </c:pt>
                <c:pt idx="78">
                  <c:v>5777.81504455342</c:v>
                </c:pt>
                <c:pt idx="79">
                  <c:v>5824.908649172883</c:v>
                </c:pt>
                <c:pt idx="80">
                  <c:v>5951.28784511779</c:v>
                </c:pt>
                <c:pt idx="81">
                  <c:v>6099.290384151456</c:v>
                </c:pt>
                <c:pt idx="82">
                  <c:v>6247.292923185122</c:v>
                </c:pt>
                <c:pt idx="83">
                  <c:v>6395.295462218788</c:v>
                </c:pt>
                <c:pt idx="84">
                  <c:v>6543.298001252454</c:v>
                </c:pt>
                <c:pt idx="85">
                  <c:v>6691.30054028612</c:v>
                </c:pt>
                <c:pt idx="86">
                  <c:v>6839.303079319786</c:v>
                </c:pt>
                <c:pt idx="87">
                  <c:v>6987.305618353451</c:v>
                </c:pt>
                <c:pt idx="88">
                  <c:v>7135.308157387119</c:v>
                </c:pt>
                <c:pt idx="89">
                  <c:v>7283.310696420783</c:v>
                </c:pt>
                <c:pt idx="90">
                  <c:v>7431.31323545445</c:v>
                </c:pt>
                <c:pt idx="91">
                  <c:v>7579.315774488115</c:v>
                </c:pt>
                <c:pt idx="92">
                  <c:v>7727.318313521782</c:v>
                </c:pt>
                <c:pt idx="93">
                  <c:v>7875.320852555447</c:v>
                </c:pt>
                <c:pt idx="94">
                  <c:v>8023.323391589114</c:v>
                </c:pt>
                <c:pt idx="95">
                  <c:v>8171.32593062278</c:v>
                </c:pt>
                <c:pt idx="96">
                  <c:v>8292.558265991947</c:v>
                </c:pt>
                <c:pt idx="97">
                  <c:v>8398.918265991946</c:v>
                </c:pt>
                <c:pt idx="98">
                  <c:v>8505.278265991946</c:v>
                </c:pt>
                <c:pt idx="99">
                  <c:v>8611.638265991947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6257.509542977182</c:v>
                </c:pt>
                <c:pt idx="1">
                  <c:v>5917.249542977182</c:v>
                </c:pt>
                <c:pt idx="2">
                  <c:v>5576.989542977181</c:v>
                </c:pt>
                <c:pt idx="3">
                  <c:v>5236.729542977181</c:v>
                </c:pt>
                <c:pt idx="4">
                  <c:v>4896.469542977182</c:v>
                </c:pt>
                <c:pt idx="5">
                  <c:v>4556.209542977182</c:v>
                </c:pt>
                <c:pt idx="6">
                  <c:v>4215.949542977181</c:v>
                </c:pt>
                <c:pt idx="7">
                  <c:v>3875.689542977181</c:v>
                </c:pt>
                <c:pt idx="8">
                  <c:v>3535.429542977181</c:v>
                </c:pt>
                <c:pt idx="9">
                  <c:v>3195.169542977181</c:v>
                </c:pt>
                <c:pt idx="10">
                  <c:v>2854.909542977181</c:v>
                </c:pt>
                <c:pt idx="11">
                  <c:v>2514.649542977181</c:v>
                </c:pt>
                <c:pt idx="12">
                  <c:v>2174.389542977181</c:v>
                </c:pt>
                <c:pt idx="13">
                  <c:v>1834.129542977181</c:v>
                </c:pt>
                <c:pt idx="14">
                  <c:v>1493.869542977181</c:v>
                </c:pt>
                <c:pt idx="15">
                  <c:v>1153.609542977181</c:v>
                </c:pt>
                <c:pt idx="16">
                  <c:v>813.3495429771812</c:v>
                </c:pt>
                <c:pt idx="17">
                  <c:v>473.0895429771813</c:v>
                </c:pt>
                <c:pt idx="18">
                  <c:v>310.8450746238353</c:v>
                </c:pt>
                <c:pt idx="19">
                  <c:v>326.6161379171434</c:v>
                </c:pt>
                <c:pt idx="20">
                  <c:v>342.3872012104514</c:v>
                </c:pt>
                <c:pt idx="21">
                  <c:v>358.1582645037594</c:v>
                </c:pt>
                <c:pt idx="22">
                  <c:v>373.9293277970675</c:v>
                </c:pt>
                <c:pt idx="23">
                  <c:v>389.7003910903755</c:v>
                </c:pt>
                <c:pt idx="24">
                  <c:v>405.4714543836835</c:v>
                </c:pt>
                <c:pt idx="25">
                  <c:v>421.2425176769916</c:v>
                </c:pt>
                <c:pt idx="26">
                  <c:v>437.0135809702996</c:v>
                </c:pt>
                <c:pt idx="27">
                  <c:v>452.7846442636076</c:v>
                </c:pt>
                <c:pt idx="28">
                  <c:v>468.5557075569156</c:v>
                </c:pt>
                <c:pt idx="29">
                  <c:v>484.3267708502237</c:v>
                </c:pt>
                <c:pt idx="30">
                  <c:v>500.0978341435317</c:v>
                </c:pt>
                <c:pt idx="31">
                  <c:v>515.8688974368397</c:v>
                </c:pt>
                <c:pt idx="32">
                  <c:v>531.6399607301477</c:v>
                </c:pt>
                <c:pt idx="33">
                  <c:v>547.4110240234559</c:v>
                </c:pt>
                <c:pt idx="34">
                  <c:v>563.1820873167638</c:v>
                </c:pt>
                <c:pt idx="35">
                  <c:v>578.9531506100718</c:v>
                </c:pt>
                <c:pt idx="36">
                  <c:v>594.72421390338</c:v>
                </c:pt>
                <c:pt idx="37">
                  <c:v>610.495277196688</c:v>
                </c:pt>
                <c:pt idx="38">
                  <c:v>626.266340489996</c:v>
                </c:pt>
                <c:pt idx="39">
                  <c:v>642.0374037833039</c:v>
                </c:pt>
                <c:pt idx="40">
                  <c:v>657.808467076612</c:v>
                </c:pt>
                <c:pt idx="41">
                  <c:v>673.57953036992</c:v>
                </c:pt>
                <c:pt idx="42">
                  <c:v>689.3505936632281</c:v>
                </c:pt>
                <c:pt idx="43">
                  <c:v>705.121656956536</c:v>
                </c:pt>
                <c:pt idx="44">
                  <c:v>720.8927202498441</c:v>
                </c:pt>
                <c:pt idx="45">
                  <c:v>736.663783543152</c:v>
                </c:pt>
                <c:pt idx="46">
                  <c:v>752.4348468364602</c:v>
                </c:pt>
                <c:pt idx="47">
                  <c:v>768.2059101297682</c:v>
                </c:pt>
                <c:pt idx="48">
                  <c:v>783.9769734230762</c:v>
                </c:pt>
                <c:pt idx="49">
                  <c:v>799.7480367163843</c:v>
                </c:pt>
                <c:pt idx="50">
                  <c:v>815.5191000096923</c:v>
                </c:pt>
                <c:pt idx="51">
                  <c:v>831.2901633030004</c:v>
                </c:pt>
                <c:pt idx="52">
                  <c:v>968.3602367163102</c:v>
                </c:pt>
                <c:pt idx="53">
                  <c:v>1172.818649085178</c:v>
                </c:pt>
                <c:pt idx="54">
                  <c:v>1377.277061454045</c:v>
                </c:pt>
                <c:pt idx="55">
                  <c:v>1581.735473822912</c:v>
                </c:pt>
                <c:pt idx="56">
                  <c:v>1786.19388619178</c:v>
                </c:pt>
                <c:pt idx="57">
                  <c:v>1990.652298560648</c:v>
                </c:pt>
                <c:pt idx="58">
                  <c:v>2195.110710929515</c:v>
                </c:pt>
                <c:pt idx="59">
                  <c:v>2399.569123298382</c:v>
                </c:pt>
                <c:pt idx="60">
                  <c:v>2604.02753566725</c:v>
                </c:pt>
                <c:pt idx="61">
                  <c:v>2808.485948036117</c:v>
                </c:pt>
                <c:pt idx="62">
                  <c:v>3012.944360404985</c:v>
                </c:pt>
                <c:pt idx="63">
                  <c:v>3217.402772773852</c:v>
                </c:pt>
                <c:pt idx="64">
                  <c:v>3421.861185142719</c:v>
                </c:pt>
                <c:pt idx="65">
                  <c:v>3626.319597511586</c:v>
                </c:pt>
                <c:pt idx="66">
                  <c:v>3830.778009880455</c:v>
                </c:pt>
                <c:pt idx="67">
                  <c:v>4035.236422249322</c:v>
                </c:pt>
                <c:pt idx="68">
                  <c:v>4239.694834618188</c:v>
                </c:pt>
                <c:pt idx="69">
                  <c:v>4444.153246987056</c:v>
                </c:pt>
                <c:pt idx="70">
                  <c:v>4648.611659355923</c:v>
                </c:pt>
                <c:pt idx="71">
                  <c:v>4853.070071724792</c:v>
                </c:pt>
                <c:pt idx="72">
                  <c:v>5057.52848409366</c:v>
                </c:pt>
                <c:pt idx="73">
                  <c:v>5261.986896462526</c:v>
                </c:pt>
                <c:pt idx="74">
                  <c:v>5466.445308831394</c:v>
                </c:pt>
                <c:pt idx="75">
                  <c:v>5670.903721200261</c:v>
                </c:pt>
                <c:pt idx="76">
                  <c:v>5875.362133569128</c:v>
                </c:pt>
                <c:pt idx="77">
                  <c:v>6079.820545937996</c:v>
                </c:pt>
                <c:pt idx="78">
                  <c:v>6284.278958306863</c:v>
                </c:pt>
                <c:pt idx="79">
                  <c:v>6488.737370675732</c:v>
                </c:pt>
                <c:pt idx="80">
                  <c:v>7652.290425959528</c:v>
                </c:pt>
                <c:pt idx="81">
                  <c:v>9077.414747492864</c:v>
                </c:pt>
                <c:pt idx="82">
                  <c:v>10502.5390690262</c:v>
                </c:pt>
                <c:pt idx="83">
                  <c:v>11927.66339055954</c:v>
                </c:pt>
                <c:pt idx="84">
                  <c:v>13352.78771209287</c:v>
                </c:pt>
                <c:pt idx="85">
                  <c:v>14777.91203362621</c:v>
                </c:pt>
                <c:pt idx="86">
                  <c:v>16203.03635515954</c:v>
                </c:pt>
                <c:pt idx="87">
                  <c:v>17628.16067669288</c:v>
                </c:pt>
                <c:pt idx="88">
                  <c:v>19053.28499822621</c:v>
                </c:pt>
                <c:pt idx="89">
                  <c:v>20478.40931975955</c:v>
                </c:pt>
                <c:pt idx="90">
                  <c:v>21903.53364129289</c:v>
                </c:pt>
                <c:pt idx="91">
                  <c:v>23328.65796282622</c:v>
                </c:pt>
                <c:pt idx="92">
                  <c:v>24753.78228435956</c:v>
                </c:pt>
                <c:pt idx="93">
                  <c:v>26178.9066058929</c:v>
                </c:pt>
                <c:pt idx="94">
                  <c:v>27604.03092742623</c:v>
                </c:pt>
                <c:pt idx="95">
                  <c:v>29029.15524895957</c:v>
                </c:pt>
                <c:pt idx="96">
                  <c:v>30004.10964950719</c:v>
                </c:pt>
                <c:pt idx="97">
                  <c:v>30728.96964950719</c:v>
                </c:pt>
                <c:pt idx="98">
                  <c:v>31453.82964950719</c:v>
                </c:pt>
                <c:pt idx="99">
                  <c:v>32178.68964950719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446.7370690236444</c:v>
                </c:pt>
                <c:pt idx="1">
                  <c:v>446.7370690236444</c:v>
                </c:pt>
                <c:pt idx="2">
                  <c:v>446.7370690236444</c:v>
                </c:pt>
                <c:pt idx="3">
                  <c:v>446.7370690236444</c:v>
                </c:pt>
                <c:pt idx="4">
                  <c:v>446.7370690236444</c:v>
                </c:pt>
                <c:pt idx="5">
                  <c:v>446.7370690236444</c:v>
                </c:pt>
                <c:pt idx="6">
                  <c:v>446.7370690236444</c:v>
                </c:pt>
                <c:pt idx="7">
                  <c:v>446.7370690236444</c:v>
                </c:pt>
                <c:pt idx="8">
                  <c:v>446.7370690236444</c:v>
                </c:pt>
                <c:pt idx="9">
                  <c:v>446.7370690236444</c:v>
                </c:pt>
                <c:pt idx="10">
                  <c:v>446.7370690236444</c:v>
                </c:pt>
                <c:pt idx="11">
                  <c:v>446.7370690236444</c:v>
                </c:pt>
                <c:pt idx="12">
                  <c:v>446.7370690236444</c:v>
                </c:pt>
                <c:pt idx="13">
                  <c:v>446.7370690236444</c:v>
                </c:pt>
                <c:pt idx="14">
                  <c:v>446.7370690236444</c:v>
                </c:pt>
                <c:pt idx="15">
                  <c:v>446.7370690236444</c:v>
                </c:pt>
                <c:pt idx="16">
                  <c:v>446.7370690236444</c:v>
                </c:pt>
                <c:pt idx="17">
                  <c:v>446.7370690236444</c:v>
                </c:pt>
                <c:pt idx="18">
                  <c:v>456.6172866714451</c:v>
                </c:pt>
                <c:pt idx="19">
                  <c:v>476.3777219670468</c:v>
                </c:pt>
                <c:pt idx="20">
                  <c:v>496.1381572626484</c:v>
                </c:pt>
                <c:pt idx="21">
                  <c:v>515.89859255825</c:v>
                </c:pt>
                <c:pt idx="22">
                  <c:v>535.6590278538516</c:v>
                </c:pt>
                <c:pt idx="23">
                  <c:v>555.4194631494532</c:v>
                </c:pt>
                <c:pt idx="24">
                  <c:v>575.1798984450548</c:v>
                </c:pt>
                <c:pt idx="25">
                  <c:v>594.9403337406564</c:v>
                </c:pt>
                <c:pt idx="26">
                  <c:v>614.700769036258</c:v>
                </c:pt>
                <c:pt idx="27">
                  <c:v>634.4612043318597</c:v>
                </c:pt>
                <c:pt idx="28">
                  <c:v>654.2216396274612</c:v>
                </c:pt>
                <c:pt idx="29">
                  <c:v>673.9820749230628</c:v>
                </c:pt>
                <c:pt idx="30">
                  <c:v>693.7425102186646</c:v>
                </c:pt>
                <c:pt idx="31">
                  <c:v>713.5029455142662</c:v>
                </c:pt>
                <c:pt idx="32">
                  <c:v>733.2633808098678</c:v>
                </c:pt>
                <c:pt idx="33">
                  <c:v>753.0238161054695</c:v>
                </c:pt>
                <c:pt idx="34">
                  <c:v>772.784251401071</c:v>
                </c:pt>
                <c:pt idx="35">
                  <c:v>792.5446866966726</c:v>
                </c:pt>
                <c:pt idx="36">
                  <c:v>812.3051219922743</c:v>
                </c:pt>
                <c:pt idx="37">
                  <c:v>832.0655572878759</c:v>
                </c:pt>
                <c:pt idx="38">
                  <c:v>851.8259925834775</c:v>
                </c:pt>
                <c:pt idx="39">
                  <c:v>871.5864278790791</c:v>
                </c:pt>
                <c:pt idx="40">
                  <c:v>891.3468631746807</c:v>
                </c:pt>
                <c:pt idx="41">
                  <c:v>911.1072984702823</c:v>
                </c:pt>
                <c:pt idx="42">
                  <c:v>930.8677337658839</c:v>
                </c:pt>
                <c:pt idx="43">
                  <c:v>950.6281690614856</c:v>
                </c:pt>
                <c:pt idx="44">
                  <c:v>970.388604357087</c:v>
                </c:pt>
                <c:pt idx="45">
                  <c:v>990.1490396526887</c:v>
                </c:pt>
                <c:pt idx="46">
                  <c:v>1009.90947494829</c:v>
                </c:pt>
                <c:pt idx="47">
                  <c:v>1029.669910243892</c:v>
                </c:pt>
                <c:pt idx="48">
                  <c:v>1049.430345539494</c:v>
                </c:pt>
                <c:pt idx="49">
                  <c:v>1069.190780835095</c:v>
                </c:pt>
                <c:pt idx="50">
                  <c:v>1088.951216130697</c:v>
                </c:pt>
                <c:pt idx="51">
                  <c:v>1108.711651426298</c:v>
                </c:pt>
                <c:pt idx="52">
                  <c:v>1144.248677703938</c:v>
                </c:pt>
                <c:pt idx="53">
                  <c:v>1188.550476749376</c:v>
                </c:pt>
                <c:pt idx="54">
                  <c:v>1232.852275794814</c:v>
                </c:pt>
                <c:pt idx="55">
                  <c:v>1277.154074840252</c:v>
                </c:pt>
                <c:pt idx="56">
                  <c:v>1321.45587388569</c:v>
                </c:pt>
                <c:pt idx="57">
                  <c:v>1365.757672931128</c:v>
                </c:pt>
                <c:pt idx="58">
                  <c:v>1410.059471976566</c:v>
                </c:pt>
                <c:pt idx="59">
                  <c:v>1454.361271022004</c:v>
                </c:pt>
                <c:pt idx="60">
                  <c:v>1498.663070067442</c:v>
                </c:pt>
                <c:pt idx="61">
                  <c:v>1542.96486911288</c:v>
                </c:pt>
                <c:pt idx="62">
                  <c:v>1587.266668158318</c:v>
                </c:pt>
                <c:pt idx="63">
                  <c:v>1631.568467203756</c:v>
                </c:pt>
                <c:pt idx="64">
                  <c:v>1675.870266249193</c:v>
                </c:pt>
                <c:pt idx="65">
                  <c:v>1720.172065294631</c:v>
                </c:pt>
                <c:pt idx="66">
                  <c:v>1764.473864340069</c:v>
                </c:pt>
                <c:pt idx="67">
                  <c:v>1808.775663385507</c:v>
                </c:pt>
                <c:pt idx="68">
                  <c:v>1853.077462430945</c:v>
                </c:pt>
                <c:pt idx="69">
                  <c:v>1897.379261476383</c:v>
                </c:pt>
                <c:pt idx="70">
                  <c:v>1941.681060521821</c:v>
                </c:pt>
                <c:pt idx="71">
                  <c:v>1985.98285956726</c:v>
                </c:pt>
                <c:pt idx="72">
                  <c:v>2030.284658612697</c:v>
                </c:pt>
                <c:pt idx="73">
                  <c:v>2074.586457658135</c:v>
                </c:pt>
                <c:pt idx="74">
                  <c:v>2118.888256703573</c:v>
                </c:pt>
                <c:pt idx="75">
                  <c:v>2163.190055749011</c:v>
                </c:pt>
                <c:pt idx="76">
                  <c:v>2207.491854794449</c:v>
                </c:pt>
                <c:pt idx="77">
                  <c:v>2251.793653839887</c:v>
                </c:pt>
                <c:pt idx="78">
                  <c:v>2296.095452885325</c:v>
                </c:pt>
                <c:pt idx="79">
                  <c:v>2340.397251930763</c:v>
                </c:pt>
                <c:pt idx="80">
                  <c:v>2409.274601400922</c:v>
                </c:pt>
                <c:pt idx="81">
                  <c:v>2484.854373714188</c:v>
                </c:pt>
                <c:pt idx="82">
                  <c:v>2560.434146027453</c:v>
                </c:pt>
                <c:pt idx="83">
                  <c:v>2636.013918340718</c:v>
                </c:pt>
                <c:pt idx="84">
                  <c:v>2711.593690653983</c:v>
                </c:pt>
                <c:pt idx="85">
                  <c:v>2787.173462967249</c:v>
                </c:pt>
                <c:pt idx="86">
                  <c:v>2862.753235280513</c:v>
                </c:pt>
                <c:pt idx="87">
                  <c:v>2938.33300759378</c:v>
                </c:pt>
                <c:pt idx="88">
                  <c:v>3013.912779907045</c:v>
                </c:pt>
                <c:pt idx="89">
                  <c:v>3089.49255222031</c:v>
                </c:pt>
                <c:pt idx="90">
                  <c:v>3165.072324533574</c:v>
                </c:pt>
                <c:pt idx="91">
                  <c:v>3240.65209684684</c:v>
                </c:pt>
                <c:pt idx="92">
                  <c:v>3316.231869160106</c:v>
                </c:pt>
                <c:pt idx="93">
                  <c:v>3391.811641473371</c:v>
                </c:pt>
                <c:pt idx="94">
                  <c:v>3467.391413786636</c:v>
                </c:pt>
                <c:pt idx="95">
                  <c:v>3542.971186099901</c:v>
                </c:pt>
                <c:pt idx="96">
                  <c:v>3575.383890497496</c:v>
                </c:pt>
                <c:pt idx="97">
                  <c:v>3583.814890497496</c:v>
                </c:pt>
                <c:pt idx="98">
                  <c:v>3592.245890497496</c:v>
                </c:pt>
                <c:pt idx="99">
                  <c:v>3600.676890497497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0.031545731813109</c:v>
                </c:pt>
                <c:pt idx="19">
                  <c:v>0.094637195439327</c:v>
                </c:pt>
                <c:pt idx="20">
                  <c:v>0.157728659065545</c:v>
                </c:pt>
                <c:pt idx="21">
                  <c:v>0.220820122691763</c:v>
                </c:pt>
                <c:pt idx="22">
                  <c:v>0.283911586317981</c:v>
                </c:pt>
                <c:pt idx="23">
                  <c:v>0.347003049944199</c:v>
                </c:pt>
                <c:pt idx="24">
                  <c:v>0.410094513570417</c:v>
                </c:pt>
                <c:pt idx="25">
                  <c:v>0.473185977196635</c:v>
                </c:pt>
                <c:pt idx="26">
                  <c:v>0.536277440822853</c:v>
                </c:pt>
                <c:pt idx="27">
                  <c:v>0.599368904449071</c:v>
                </c:pt>
                <c:pt idx="28">
                  <c:v>0.662460368075289</c:v>
                </c:pt>
                <c:pt idx="29">
                  <c:v>0.725551831701507</c:v>
                </c:pt>
                <c:pt idx="30">
                  <c:v>0.788643295327725</c:v>
                </c:pt>
                <c:pt idx="31">
                  <c:v>0.851734758953943</c:v>
                </c:pt>
                <c:pt idx="32">
                  <c:v>0.914826222580161</c:v>
                </c:pt>
                <c:pt idx="33">
                  <c:v>0.977917686206379</c:v>
                </c:pt>
                <c:pt idx="34">
                  <c:v>1.041009149832597</c:v>
                </c:pt>
                <c:pt idx="35">
                  <c:v>1.104100613458815</c:v>
                </c:pt>
                <c:pt idx="36">
                  <c:v>1.167192077085033</c:v>
                </c:pt>
                <c:pt idx="37">
                  <c:v>1.230283540711251</c:v>
                </c:pt>
                <c:pt idx="38">
                  <c:v>1.293375004337469</c:v>
                </c:pt>
                <c:pt idx="39">
                  <c:v>1.356466467963687</c:v>
                </c:pt>
                <c:pt idx="40">
                  <c:v>1.419557931589905</c:v>
                </c:pt>
                <c:pt idx="41">
                  <c:v>1.482649395216123</c:v>
                </c:pt>
                <c:pt idx="42">
                  <c:v>1.545740858842341</c:v>
                </c:pt>
                <c:pt idx="43">
                  <c:v>1.608832322468559</c:v>
                </c:pt>
                <c:pt idx="44">
                  <c:v>1.671923786094777</c:v>
                </c:pt>
                <c:pt idx="45">
                  <c:v>1.735015249720995</c:v>
                </c:pt>
                <c:pt idx="46">
                  <c:v>1.798106713347213</c:v>
                </c:pt>
                <c:pt idx="47">
                  <c:v>1.861198176973431</c:v>
                </c:pt>
                <c:pt idx="48">
                  <c:v>1.924289640599649</c:v>
                </c:pt>
                <c:pt idx="49">
                  <c:v>1.987381104225867</c:v>
                </c:pt>
                <c:pt idx="50">
                  <c:v>2.050472567852085</c:v>
                </c:pt>
                <c:pt idx="51">
                  <c:v>2.113564031478303</c:v>
                </c:pt>
                <c:pt idx="52">
                  <c:v>33.32545583312942</c:v>
                </c:pt>
                <c:pt idx="53">
                  <c:v>81.84223671146134</c:v>
                </c:pt>
                <c:pt idx="54">
                  <c:v>130.3590175897933</c:v>
                </c:pt>
                <c:pt idx="55">
                  <c:v>178.8757984681252</c:v>
                </c:pt>
                <c:pt idx="56">
                  <c:v>227.3925793464571</c:v>
                </c:pt>
                <c:pt idx="57">
                  <c:v>275.9093602247891</c:v>
                </c:pt>
                <c:pt idx="58">
                  <c:v>324.426141103121</c:v>
                </c:pt>
                <c:pt idx="59">
                  <c:v>372.942921981453</c:v>
                </c:pt>
                <c:pt idx="60">
                  <c:v>421.4597028597848</c:v>
                </c:pt>
                <c:pt idx="61">
                  <c:v>469.9764837381168</c:v>
                </c:pt>
                <c:pt idx="62">
                  <c:v>518.4932646164488</c:v>
                </c:pt>
                <c:pt idx="63">
                  <c:v>567.0100454947807</c:v>
                </c:pt>
                <c:pt idx="64">
                  <c:v>615.5268263731126</c:v>
                </c:pt>
                <c:pt idx="65">
                  <c:v>664.0436072514445</c:v>
                </c:pt>
                <c:pt idx="66">
                  <c:v>712.5603881297764</c:v>
                </c:pt>
                <c:pt idx="67">
                  <c:v>761.0771690081084</c:v>
                </c:pt>
                <c:pt idx="68">
                  <c:v>809.5939498864403</c:v>
                </c:pt>
                <c:pt idx="69">
                  <c:v>858.1107307647722</c:v>
                </c:pt>
                <c:pt idx="70">
                  <c:v>906.6275116431042</c:v>
                </c:pt>
                <c:pt idx="71">
                  <c:v>955.1442925214361</c:v>
                </c:pt>
                <c:pt idx="72">
                  <c:v>1003.661073399768</c:v>
                </c:pt>
                <c:pt idx="73">
                  <c:v>1052.1778542781</c:v>
                </c:pt>
                <c:pt idx="74">
                  <c:v>1100.694635156432</c:v>
                </c:pt>
                <c:pt idx="75">
                  <c:v>1149.211416034764</c:v>
                </c:pt>
                <c:pt idx="76">
                  <c:v>1197.728196913096</c:v>
                </c:pt>
                <c:pt idx="77">
                  <c:v>1246.244977791428</c:v>
                </c:pt>
                <c:pt idx="78">
                  <c:v>1294.76175866976</c:v>
                </c:pt>
                <c:pt idx="79">
                  <c:v>1343.278539548092</c:v>
                </c:pt>
                <c:pt idx="80">
                  <c:v>1407.382566690934</c:v>
                </c:pt>
                <c:pt idx="81">
                  <c:v>1475.737660996825</c:v>
                </c:pt>
                <c:pt idx="82">
                  <c:v>1544.092755302716</c:v>
                </c:pt>
                <c:pt idx="83">
                  <c:v>1612.447849608607</c:v>
                </c:pt>
                <c:pt idx="84">
                  <c:v>1680.802943914498</c:v>
                </c:pt>
                <c:pt idx="85">
                  <c:v>1749.15803822039</c:v>
                </c:pt>
                <c:pt idx="86">
                  <c:v>1817.513132526281</c:v>
                </c:pt>
                <c:pt idx="87">
                  <c:v>1885.868226832172</c:v>
                </c:pt>
                <c:pt idx="88">
                  <c:v>1954.223321138063</c:v>
                </c:pt>
                <c:pt idx="89">
                  <c:v>2022.578415443954</c:v>
                </c:pt>
                <c:pt idx="90">
                  <c:v>2090.933509749845</c:v>
                </c:pt>
                <c:pt idx="91">
                  <c:v>2159.288604055736</c:v>
                </c:pt>
                <c:pt idx="92">
                  <c:v>2227.643698361627</c:v>
                </c:pt>
                <c:pt idx="93">
                  <c:v>2295.998792667518</c:v>
                </c:pt>
                <c:pt idx="94">
                  <c:v>2364.35388697341</c:v>
                </c:pt>
                <c:pt idx="95">
                  <c:v>2432.708981279301</c:v>
                </c:pt>
                <c:pt idx="96">
                  <c:v>2457.121514959976</c:v>
                </c:pt>
                <c:pt idx="97">
                  <c:v>2457.121514959976</c:v>
                </c:pt>
                <c:pt idx="98">
                  <c:v>2457.121514959976</c:v>
                </c:pt>
                <c:pt idx="99">
                  <c:v>2457.121514959976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582.2389282841074</c:v>
                </c:pt>
                <c:pt idx="1">
                  <c:v>582.2389282841074</c:v>
                </c:pt>
                <c:pt idx="2">
                  <c:v>582.2389282841074</c:v>
                </c:pt>
                <c:pt idx="3">
                  <c:v>582.2389282841074</c:v>
                </c:pt>
                <c:pt idx="4">
                  <c:v>582.2389282841074</c:v>
                </c:pt>
                <c:pt idx="5">
                  <c:v>582.2389282841074</c:v>
                </c:pt>
                <c:pt idx="6">
                  <c:v>582.2389282841074</c:v>
                </c:pt>
                <c:pt idx="7">
                  <c:v>582.2389282841074</c:v>
                </c:pt>
                <c:pt idx="8">
                  <c:v>582.2389282841074</c:v>
                </c:pt>
                <c:pt idx="9">
                  <c:v>582.2389282841074</c:v>
                </c:pt>
                <c:pt idx="10">
                  <c:v>582.2389282841074</c:v>
                </c:pt>
                <c:pt idx="11">
                  <c:v>582.2389282841074</c:v>
                </c:pt>
                <c:pt idx="12">
                  <c:v>582.2389282841074</c:v>
                </c:pt>
                <c:pt idx="13">
                  <c:v>582.2389282841074</c:v>
                </c:pt>
                <c:pt idx="14">
                  <c:v>582.2389282841074</c:v>
                </c:pt>
                <c:pt idx="15">
                  <c:v>582.2389282841074</c:v>
                </c:pt>
                <c:pt idx="16">
                  <c:v>582.2389282841074</c:v>
                </c:pt>
                <c:pt idx="17">
                  <c:v>582.2389282841074</c:v>
                </c:pt>
                <c:pt idx="18">
                  <c:v>641.310789697368</c:v>
                </c:pt>
                <c:pt idx="19">
                  <c:v>759.4545125238889</c:v>
                </c:pt>
                <c:pt idx="20">
                  <c:v>877.5982353504098</c:v>
                </c:pt>
                <c:pt idx="21">
                  <c:v>995.7419581769308</c:v>
                </c:pt>
                <c:pt idx="22">
                  <c:v>1113.885681003452</c:v>
                </c:pt>
                <c:pt idx="23">
                  <c:v>1232.029403829973</c:v>
                </c:pt>
                <c:pt idx="24">
                  <c:v>1350.173126656494</c:v>
                </c:pt>
                <c:pt idx="25">
                  <c:v>1468.316849483015</c:v>
                </c:pt>
                <c:pt idx="26">
                  <c:v>1586.460572309536</c:v>
                </c:pt>
                <c:pt idx="27">
                  <c:v>1704.604295136056</c:v>
                </c:pt>
                <c:pt idx="28">
                  <c:v>1822.748017962577</c:v>
                </c:pt>
                <c:pt idx="29">
                  <c:v>1940.891740789098</c:v>
                </c:pt>
                <c:pt idx="30">
                  <c:v>2059.035463615619</c:v>
                </c:pt>
                <c:pt idx="31">
                  <c:v>2177.17918644214</c:v>
                </c:pt>
                <c:pt idx="32">
                  <c:v>2295.322909268661</c:v>
                </c:pt>
                <c:pt idx="33">
                  <c:v>2413.466632095182</c:v>
                </c:pt>
                <c:pt idx="34">
                  <c:v>2531.610354921703</c:v>
                </c:pt>
                <c:pt idx="35">
                  <c:v>2649.754077748224</c:v>
                </c:pt>
                <c:pt idx="36">
                  <c:v>2767.897800574745</c:v>
                </c:pt>
                <c:pt idx="37">
                  <c:v>2886.041523401266</c:v>
                </c:pt>
                <c:pt idx="38">
                  <c:v>3004.185246227787</c:v>
                </c:pt>
                <c:pt idx="39">
                  <c:v>3122.328969054308</c:v>
                </c:pt>
                <c:pt idx="40">
                  <c:v>3240.472691880828</c:v>
                </c:pt>
                <c:pt idx="41">
                  <c:v>3358.61641470735</c:v>
                </c:pt>
                <c:pt idx="42">
                  <c:v>3476.760137533871</c:v>
                </c:pt>
                <c:pt idx="43">
                  <c:v>3594.903860360391</c:v>
                </c:pt>
                <c:pt idx="44">
                  <c:v>3713.047583186913</c:v>
                </c:pt>
                <c:pt idx="45">
                  <c:v>3831.191306013433</c:v>
                </c:pt>
                <c:pt idx="46">
                  <c:v>3949.335028839954</c:v>
                </c:pt>
                <c:pt idx="47">
                  <c:v>4067.478751666476</c:v>
                </c:pt>
                <c:pt idx="48">
                  <c:v>4185.622474492995</c:v>
                </c:pt>
                <c:pt idx="49">
                  <c:v>4303.766197319517</c:v>
                </c:pt>
                <c:pt idx="50">
                  <c:v>4421.909920146039</c:v>
                </c:pt>
                <c:pt idx="51">
                  <c:v>4540.053642972559</c:v>
                </c:pt>
                <c:pt idx="52">
                  <c:v>4910.785722205374</c:v>
                </c:pt>
                <c:pt idx="53">
                  <c:v>5421.844666108355</c:v>
                </c:pt>
                <c:pt idx="54">
                  <c:v>5932.903610011336</c:v>
                </c:pt>
                <c:pt idx="55">
                  <c:v>6443.962553914318</c:v>
                </c:pt>
                <c:pt idx="56">
                  <c:v>6955.021497817299</c:v>
                </c:pt>
                <c:pt idx="57">
                  <c:v>7466.08044172028</c:v>
                </c:pt>
                <c:pt idx="58">
                  <c:v>7977.139385623261</c:v>
                </c:pt>
                <c:pt idx="59">
                  <c:v>8488.198329526241</c:v>
                </c:pt>
                <c:pt idx="60">
                  <c:v>8999.257273429223</c:v>
                </c:pt>
                <c:pt idx="61">
                  <c:v>9510.316217332205</c:v>
                </c:pt>
                <c:pt idx="62">
                  <c:v>10021.37516123518</c:v>
                </c:pt>
                <c:pt idx="63">
                  <c:v>10532.43410513817</c:v>
                </c:pt>
                <c:pt idx="64">
                  <c:v>11043.49304904115</c:v>
                </c:pt>
                <c:pt idx="65">
                  <c:v>11554.55199294413</c:v>
                </c:pt>
                <c:pt idx="66">
                  <c:v>12065.61093684711</c:v>
                </c:pt>
                <c:pt idx="67">
                  <c:v>12576.66988075009</c:v>
                </c:pt>
                <c:pt idx="68">
                  <c:v>13087.72882465307</c:v>
                </c:pt>
                <c:pt idx="69">
                  <c:v>13598.78776855605</c:v>
                </c:pt>
                <c:pt idx="70">
                  <c:v>14109.84671245904</c:v>
                </c:pt>
                <c:pt idx="71">
                  <c:v>14620.90565636201</c:v>
                </c:pt>
                <c:pt idx="72">
                  <c:v>15131.964600265</c:v>
                </c:pt>
                <c:pt idx="73">
                  <c:v>15643.02354416798</c:v>
                </c:pt>
                <c:pt idx="74">
                  <c:v>16154.08248807096</c:v>
                </c:pt>
                <c:pt idx="75">
                  <c:v>16665.14143197394</c:v>
                </c:pt>
                <c:pt idx="76">
                  <c:v>17176.20037587692</c:v>
                </c:pt>
                <c:pt idx="77">
                  <c:v>17687.2593197799</c:v>
                </c:pt>
                <c:pt idx="78">
                  <c:v>18198.31826368288</c:v>
                </c:pt>
                <c:pt idx="79">
                  <c:v>18709.37720758587</c:v>
                </c:pt>
                <c:pt idx="80">
                  <c:v>19767.57710026233</c:v>
                </c:pt>
                <c:pt idx="81">
                  <c:v>20974.99725169522</c:v>
                </c:pt>
                <c:pt idx="82">
                  <c:v>22182.41740312811</c:v>
                </c:pt>
                <c:pt idx="83">
                  <c:v>23389.837554561</c:v>
                </c:pt>
                <c:pt idx="84">
                  <c:v>24597.25770599388</c:v>
                </c:pt>
                <c:pt idx="85">
                  <c:v>25804.67785742677</c:v>
                </c:pt>
                <c:pt idx="86">
                  <c:v>27012.09800885966</c:v>
                </c:pt>
                <c:pt idx="87">
                  <c:v>28219.51816029254</c:v>
                </c:pt>
                <c:pt idx="88">
                  <c:v>29426.93831172543</c:v>
                </c:pt>
                <c:pt idx="89">
                  <c:v>30634.35846315831</c:v>
                </c:pt>
                <c:pt idx="90">
                  <c:v>31841.7786145912</c:v>
                </c:pt>
                <c:pt idx="91">
                  <c:v>33049.19876602408</c:v>
                </c:pt>
                <c:pt idx="92">
                  <c:v>34256.61891745697</c:v>
                </c:pt>
                <c:pt idx="93">
                  <c:v>35464.03906888986</c:v>
                </c:pt>
                <c:pt idx="94">
                  <c:v>36671.45922032275</c:v>
                </c:pt>
                <c:pt idx="95">
                  <c:v>37878.87937175564</c:v>
                </c:pt>
                <c:pt idx="96">
                  <c:v>38310.10085441024</c:v>
                </c:pt>
                <c:pt idx="97">
                  <c:v>38310.10085441024</c:v>
                </c:pt>
                <c:pt idx="98">
                  <c:v>38310.10085441024</c:v>
                </c:pt>
                <c:pt idx="99">
                  <c:v>38310.10085441024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333.7110872293431</c:v>
                </c:pt>
                <c:pt idx="1">
                  <c:v>333.7110872293431</c:v>
                </c:pt>
                <c:pt idx="2">
                  <c:v>333.7110872293431</c:v>
                </c:pt>
                <c:pt idx="3">
                  <c:v>333.7110872293431</c:v>
                </c:pt>
                <c:pt idx="4">
                  <c:v>333.7110872293431</c:v>
                </c:pt>
                <c:pt idx="5">
                  <c:v>333.7110872293431</c:v>
                </c:pt>
                <c:pt idx="6">
                  <c:v>333.7110872293431</c:v>
                </c:pt>
                <c:pt idx="7">
                  <c:v>333.7110872293431</c:v>
                </c:pt>
                <c:pt idx="8">
                  <c:v>333.7110872293431</c:v>
                </c:pt>
                <c:pt idx="9">
                  <c:v>333.7110872293431</c:v>
                </c:pt>
                <c:pt idx="10">
                  <c:v>333.7110872293431</c:v>
                </c:pt>
                <c:pt idx="11">
                  <c:v>333.7110872293431</c:v>
                </c:pt>
                <c:pt idx="12">
                  <c:v>333.7110872293431</c:v>
                </c:pt>
                <c:pt idx="13">
                  <c:v>333.7110872293431</c:v>
                </c:pt>
                <c:pt idx="14">
                  <c:v>333.7110872293431</c:v>
                </c:pt>
                <c:pt idx="15">
                  <c:v>333.7110872293431</c:v>
                </c:pt>
                <c:pt idx="16">
                  <c:v>333.7110872293431</c:v>
                </c:pt>
                <c:pt idx="17">
                  <c:v>333.7110872293431</c:v>
                </c:pt>
                <c:pt idx="18">
                  <c:v>332.6473143033392</c:v>
                </c:pt>
                <c:pt idx="19">
                  <c:v>330.5197684513315</c:v>
                </c:pt>
                <c:pt idx="20">
                  <c:v>328.3922225993237</c:v>
                </c:pt>
                <c:pt idx="21">
                  <c:v>326.264676747316</c:v>
                </c:pt>
                <c:pt idx="22">
                  <c:v>324.1371308953082</c:v>
                </c:pt>
                <c:pt idx="23">
                  <c:v>322.0095850433005</c:v>
                </c:pt>
                <c:pt idx="24">
                  <c:v>319.8820391912927</c:v>
                </c:pt>
                <c:pt idx="25">
                  <c:v>317.754493339285</c:v>
                </c:pt>
                <c:pt idx="26">
                  <c:v>315.6269474872773</c:v>
                </c:pt>
                <c:pt idx="27">
                  <c:v>313.4994016352695</c:v>
                </c:pt>
                <c:pt idx="28">
                  <c:v>311.3718557832618</c:v>
                </c:pt>
                <c:pt idx="29">
                  <c:v>309.244309931254</c:v>
                </c:pt>
                <c:pt idx="30">
                  <c:v>307.1167640792462</c:v>
                </c:pt>
                <c:pt idx="31">
                  <c:v>304.9892182272385</c:v>
                </c:pt>
                <c:pt idx="32">
                  <c:v>302.8616723752307</c:v>
                </c:pt>
                <c:pt idx="33">
                  <c:v>300.734126523223</c:v>
                </c:pt>
                <c:pt idx="34">
                  <c:v>298.6065806712152</c:v>
                </c:pt>
                <c:pt idx="35">
                  <c:v>296.4790348192075</c:v>
                </c:pt>
                <c:pt idx="36">
                  <c:v>294.3514889671998</c:v>
                </c:pt>
                <c:pt idx="37">
                  <c:v>292.223943115192</c:v>
                </c:pt>
                <c:pt idx="38">
                  <c:v>290.0963972631843</c:v>
                </c:pt>
                <c:pt idx="39">
                  <c:v>287.9688514111765</c:v>
                </c:pt>
                <c:pt idx="40">
                  <c:v>285.8413055591687</c:v>
                </c:pt>
                <c:pt idx="41">
                  <c:v>283.713759707161</c:v>
                </c:pt>
                <c:pt idx="42">
                  <c:v>281.5862138551532</c:v>
                </c:pt>
                <c:pt idx="43">
                  <c:v>279.4586680031455</c:v>
                </c:pt>
                <c:pt idx="44">
                  <c:v>277.3311221511377</c:v>
                </c:pt>
                <c:pt idx="45">
                  <c:v>275.20357629913</c:v>
                </c:pt>
                <c:pt idx="46">
                  <c:v>273.0760304471222</c:v>
                </c:pt>
                <c:pt idx="47">
                  <c:v>270.9484845951145</c:v>
                </c:pt>
                <c:pt idx="48">
                  <c:v>268.8209387431067</c:v>
                </c:pt>
                <c:pt idx="49">
                  <c:v>266.6933928910989</c:v>
                </c:pt>
                <c:pt idx="50">
                  <c:v>264.5658470390911</c:v>
                </c:pt>
                <c:pt idx="51">
                  <c:v>262.4383011870834</c:v>
                </c:pt>
                <c:pt idx="52">
                  <c:v>256.5488294096099</c:v>
                </c:pt>
                <c:pt idx="53">
                  <c:v>248.5693987846554</c:v>
                </c:pt>
                <c:pt idx="54">
                  <c:v>240.5899681597008</c:v>
                </c:pt>
                <c:pt idx="55">
                  <c:v>232.6105375347462</c:v>
                </c:pt>
                <c:pt idx="56">
                  <c:v>224.6311069097916</c:v>
                </c:pt>
                <c:pt idx="57">
                  <c:v>216.6516762848371</c:v>
                </c:pt>
                <c:pt idx="58">
                  <c:v>208.6722456598825</c:v>
                </c:pt>
                <c:pt idx="59">
                  <c:v>200.6928150349279</c:v>
                </c:pt>
                <c:pt idx="60">
                  <c:v>192.7133844099733</c:v>
                </c:pt>
                <c:pt idx="61">
                  <c:v>184.7339537850188</c:v>
                </c:pt>
                <c:pt idx="62">
                  <c:v>176.7545231600642</c:v>
                </c:pt>
                <c:pt idx="63">
                  <c:v>168.7750925351096</c:v>
                </c:pt>
                <c:pt idx="64">
                  <c:v>160.795661910155</c:v>
                </c:pt>
                <c:pt idx="65">
                  <c:v>152.8162312852005</c:v>
                </c:pt>
                <c:pt idx="66">
                  <c:v>144.8368006602459</c:v>
                </c:pt>
                <c:pt idx="67">
                  <c:v>136.8573700352913</c:v>
                </c:pt>
                <c:pt idx="68">
                  <c:v>128.8779394103367</c:v>
                </c:pt>
                <c:pt idx="69">
                  <c:v>120.8985087853822</c:v>
                </c:pt>
                <c:pt idx="70">
                  <c:v>112.9190781604276</c:v>
                </c:pt>
                <c:pt idx="71">
                  <c:v>104.939647535473</c:v>
                </c:pt>
                <c:pt idx="72">
                  <c:v>96.96021691051845</c:v>
                </c:pt>
                <c:pt idx="73">
                  <c:v>88.98078628556388</c:v>
                </c:pt>
                <c:pt idx="74">
                  <c:v>81.0013556606093</c:v>
                </c:pt>
                <c:pt idx="75">
                  <c:v>73.02192503565473</c:v>
                </c:pt>
                <c:pt idx="76">
                  <c:v>65.04249441070015</c:v>
                </c:pt>
                <c:pt idx="77">
                  <c:v>57.06306378574558</c:v>
                </c:pt>
                <c:pt idx="78">
                  <c:v>49.08363316079101</c:v>
                </c:pt>
                <c:pt idx="79">
                  <c:v>41.10420253583644</c:v>
                </c:pt>
                <c:pt idx="80">
                  <c:v>38.98739454900603</c:v>
                </c:pt>
                <c:pt idx="81">
                  <c:v>38.46948364530046</c:v>
                </c:pt>
                <c:pt idx="82">
                  <c:v>37.9515727415949</c:v>
                </c:pt>
                <c:pt idx="83">
                  <c:v>37.43366183788933</c:v>
                </c:pt>
                <c:pt idx="84">
                  <c:v>36.91575093418376</c:v>
                </c:pt>
                <c:pt idx="85">
                  <c:v>36.39784003047821</c:v>
                </c:pt>
                <c:pt idx="86">
                  <c:v>35.87992912677264</c:v>
                </c:pt>
                <c:pt idx="87">
                  <c:v>35.36201822306708</c:v>
                </c:pt>
                <c:pt idx="88">
                  <c:v>34.84410731936152</c:v>
                </c:pt>
                <c:pt idx="89">
                  <c:v>34.32619641565596</c:v>
                </c:pt>
                <c:pt idx="90">
                  <c:v>33.80828551195039</c:v>
                </c:pt>
                <c:pt idx="91">
                  <c:v>33.29037460824482</c:v>
                </c:pt>
                <c:pt idx="92">
                  <c:v>32.77246370453926</c:v>
                </c:pt>
                <c:pt idx="93">
                  <c:v>32.2545528008337</c:v>
                </c:pt>
                <c:pt idx="94">
                  <c:v>31.73664189712814</c:v>
                </c:pt>
                <c:pt idx="95">
                  <c:v>31.21873099342258</c:v>
                </c:pt>
                <c:pt idx="96">
                  <c:v>64.58447709924195</c:v>
                </c:pt>
                <c:pt idx="97">
                  <c:v>116.7744770992422</c:v>
                </c:pt>
                <c:pt idx="98">
                  <c:v>168.9644770992424</c:v>
                </c:pt>
                <c:pt idx="99">
                  <c:v>221.1544770992426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8702.96675659552</c:v>
                </c:pt>
                <c:pt idx="1">
                  <c:v>8702.96675659552</c:v>
                </c:pt>
                <c:pt idx="2">
                  <c:v>8702.96675659552</c:v>
                </c:pt>
                <c:pt idx="3">
                  <c:v>8702.96675659552</c:v>
                </c:pt>
                <c:pt idx="4">
                  <c:v>8702.96675659552</c:v>
                </c:pt>
                <c:pt idx="5">
                  <c:v>8702.96675659552</c:v>
                </c:pt>
                <c:pt idx="6">
                  <c:v>8702.96675659552</c:v>
                </c:pt>
                <c:pt idx="7">
                  <c:v>8702.96675659552</c:v>
                </c:pt>
                <c:pt idx="8">
                  <c:v>8702.96675659552</c:v>
                </c:pt>
                <c:pt idx="9">
                  <c:v>8702.96675659552</c:v>
                </c:pt>
                <c:pt idx="10">
                  <c:v>8702.96675659552</c:v>
                </c:pt>
                <c:pt idx="11">
                  <c:v>8702.96675659552</c:v>
                </c:pt>
                <c:pt idx="12">
                  <c:v>8702.96675659552</c:v>
                </c:pt>
                <c:pt idx="13">
                  <c:v>8702.96675659552</c:v>
                </c:pt>
                <c:pt idx="14">
                  <c:v>8702.96675659552</c:v>
                </c:pt>
                <c:pt idx="15">
                  <c:v>8702.96675659552</c:v>
                </c:pt>
                <c:pt idx="16">
                  <c:v>8702.96675659552</c:v>
                </c:pt>
                <c:pt idx="17">
                  <c:v>8702.96675659552</c:v>
                </c:pt>
                <c:pt idx="18">
                  <c:v>8722.338300402985</c:v>
                </c:pt>
                <c:pt idx="19">
                  <c:v>8761.081388017913</c:v>
                </c:pt>
                <c:pt idx="20">
                  <c:v>8799.824475632844</c:v>
                </c:pt>
                <c:pt idx="21">
                  <c:v>8838.567563247772</c:v>
                </c:pt>
                <c:pt idx="22">
                  <c:v>8877.310650862702</c:v>
                </c:pt>
                <c:pt idx="23">
                  <c:v>8916.053738477631</c:v>
                </c:pt>
                <c:pt idx="24">
                  <c:v>8954.79682609256</c:v>
                </c:pt>
                <c:pt idx="25">
                  <c:v>8993.539913707489</c:v>
                </c:pt>
                <c:pt idx="26">
                  <c:v>9032.28300132242</c:v>
                </c:pt>
                <c:pt idx="27">
                  <c:v>9071.02608893735</c:v>
                </c:pt>
                <c:pt idx="28">
                  <c:v>9109.769176552277</c:v>
                </c:pt>
                <c:pt idx="29">
                  <c:v>9148.512264167207</c:v>
                </c:pt>
                <c:pt idx="30">
                  <c:v>9187.255351782136</c:v>
                </c:pt>
                <c:pt idx="31">
                  <c:v>9225.998439397066</c:v>
                </c:pt>
                <c:pt idx="32">
                  <c:v>9264.741527011994</c:v>
                </c:pt>
                <c:pt idx="33">
                  <c:v>9303.484614626925</c:v>
                </c:pt>
                <c:pt idx="34">
                  <c:v>9342.227702241852</c:v>
                </c:pt>
                <c:pt idx="35">
                  <c:v>9380.970789856783</c:v>
                </c:pt>
                <c:pt idx="36">
                  <c:v>9419.71387747171</c:v>
                </c:pt>
                <c:pt idx="37">
                  <c:v>9458.456965086642</c:v>
                </c:pt>
                <c:pt idx="38">
                  <c:v>9497.20005270157</c:v>
                </c:pt>
                <c:pt idx="39">
                  <c:v>9535.9431403165</c:v>
                </c:pt>
                <c:pt idx="40">
                  <c:v>9574.68622793143</c:v>
                </c:pt>
                <c:pt idx="41">
                  <c:v>9613.429315546358</c:v>
                </c:pt>
                <c:pt idx="42">
                  <c:v>9652.172403161288</c:v>
                </c:pt>
                <c:pt idx="43">
                  <c:v>9690.915490776217</c:v>
                </c:pt>
                <c:pt idx="44">
                  <c:v>9729.658578391146</c:v>
                </c:pt>
                <c:pt idx="45">
                  <c:v>9768.401666006075</c:v>
                </c:pt>
                <c:pt idx="46">
                  <c:v>9807.144753621005</c:v>
                </c:pt>
                <c:pt idx="47">
                  <c:v>9845.887841235933</c:v>
                </c:pt>
                <c:pt idx="48">
                  <c:v>9884.630928850863</c:v>
                </c:pt>
                <c:pt idx="49">
                  <c:v>9923.374016465792</c:v>
                </c:pt>
                <c:pt idx="50">
                  <c:v>9962.117104080722</c:v>
                </c:pt>
                <c:pt idx="51">
                  <c:v>10000.86019169565</c:v>
                </c:pt>
                <c:pt idx="52">
                  <c:v>9979.411700721837</c:v>
                </c:pt>
                <c:pt idx="53">
                  <c:v>9924.523443865387</c:v>
                </c:pt>
                <c:pt idx="54">
                  <c:v>9869.635187008938</c:v>
                </c:pt>
                <c:pt idx="55">
                  <c:v>9814.746930152488</c:v>
                </c:pt>
                <c:pt idx="56">
                  <c:v>9759.858673296039</c:v>
                </c:pt>
                <c:pt idx="57">
                  <c:v>9704.97041643959</c:v>
                </c:pt>
                <c:pt idx="58">
                  <c:v>9650.08215958314</c:v>
                </c:pt>
                <c:pt idx="59">
                  <c:v>9595.193902726692</c:v>
                </c:pt>
                <c:pt idx="60">
                  <c:v>9540.305645870243</c:v>
                </c:pt>
                <c:pt idx="61">
                  <c:v>9485.417389013794</c:v>
                </c:pt>
                <c:pt idx="62">
                  <c:v>9430.529132157344</c:v>
                </c:pt>
                <c:pt idx="63">
                  <c:v>9375.640875300894</c:v>
                </c:pt>
                <c:pt idx="64">
                  <c:v>9320.752618444445</c:v>
                </c:pt>
                <c:pt idx="65">
                  <c:v>9265.864361587996</c:v>
                </c:pt>
                <c:pt idx="66">
                  <c:v>9210.976104731546</c:v>
                </c:pt>
                <c:pt idx="67">
                  <c:v>9156.087847875096</c:v>
                </c:pt>
                <c:pt idx="68">
                  <c:v>9101.199591018646</c:v>
                </c:pt>
                <c:pt idx="69">
                  <c:v>9046.311334162197</c:v>
                </c:pt>
                <c:pt idx="70">
                  <c:v>8991.42307730575</c:v>
                </c:pt>
                <c:pt idx="71">
                  <c:v>8936.5348204493</c:v>
                </c:pt>
                <c:pt idx="72">
                  <c:v>8881.64656359285</c:v>
                </c:pt>
                <c:pt idx="73">
                  <c:v>8826.7583067364</c:v>
                </c:pt>
                <c:pt idx="74">
                  <c:v>8771.870049879951</c:v>
                </c:pt>
                <c:pt idx="75">
                  <c:v>8716.981793023502</c:v>
                </c:pt>
                <c:pt idx="76">
                  <c:v>8662.093536167053</c:v>
                </c:pt>
                <c:pt idx="77">
                  <c:v>8607.205279310603</c:v>
                </c:pt>
                <c:pt idx="78">
                  <c:v>8552.317022454154</c:v>
                </c:pt>
                <c:pt idx="79">
                  <c:v>8497.428765597704</c:v>
                </c:pt>
                <c:pt idx="80">
                  <c:v>8072.647806187324</c:v>
                </c:pt>
                <c:pt idx="81">
                  <c:v>7546.987018807684</c:v>
                </c:pt>
                <c:pt idx="82">
                  <c:v>7021.326231428044</c:v>
                </c:pt>
                <c:pt idx="83">
                  <c:v>6495.665444048405</c:v>
                </c:pt>
                <c:pt idx="84">
                  <c:v>5970.004656668765</c:v>
                </c:pt>
                <c:pt idx="85">
                  <c:v>5444.343869289126</c:v>
                </c:pt>
                <c:pt idx="86">
                  <c:v>4918.683081909486</c:v>
                </c:pt>
                <c:pt idx="87">
                  <c:v>4393.022294529846</c:v>
                </c:pt>
                <c:pt idx="88">
                  <c:v>3867.361507150207</c:v>
                </c:pt>
                <c:pt idx="89">
                  <c:v>3341.700719770568</c:v>
                </c:pt>
                <c:pt idx="90">
                  <c:v>2816.039932390928</c:v>
                </c:pt>
                <c:pt idx="91">
                  <c:v>2290.379145011288</c:v>
                </c:pt>
                <c:pt idx="92">
                  <c:v>1764.718357631648</c:v>
                </c:pt>
                <c:pt idx="93">
                  <c:v>1239.05757025201</c:v>
                </c:pt>
                <c:pt idx="94">
                  <c:v>713.3967828723698</c:v>
                </c:pt>
                <c:pt idx="95">
                  <c:v>187.7359954927306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1227.01150053486</c:v>
                </c:pt>
                <c:pt idx="53">
                  <c:v>3135.696056922432</c:v>
                </c:pt>
                <c:pt idx="54">
                  <c:v>5044.380613310004</c:v>
                </c:pt>
                <c:pt idx="55">
                  <c:v>6953.065169697575</c:v>
                </c:pt>
                <c:pt idx="56">
                  <c:v>8861.749726085148</c:v>
                </c:pt>
                <c:pt idx="57">
                  <c:v>10770.43428247272</c:v>
                </c:pt>
                <c:pt idx="58">
                  <c:v>12679.11883886029</c:v>
                </c:pt>
                <c:pt idx="59">
                  <c:v>14587.80339524786</c:v>
                </c:pt>
                <c:pt idx="60">
                  <c:v>16496.48795163544</c:v>
                </c:pt>
                <c:pt idx="61">
                  <c:v>18405.17250802301</c:v>
                </c:pt>
                <c:pt idx="62">
                  <c:v>20313.85706441058</c:v>
                </c:pt>
                <c:pt idx="63">
                  <c:v>22222.54162079815</c:v>
                </c:pt>
                <c:pt idx="64">
                  <c:v>24131.22617718572</c:v>
                </c:pt>
                <c:pt idx="65">
                  <c:v>26039.9107335733</c:v>
                </c:pt>
                <c:pt idx="66">
                  <c:v>27948.59528996087</c:v>
                </c:pt>
                <c:pt idx="67">
                  <c:v>29857.27984634844</c:v>
                </c:pt>
                <c:pt idx="68">
                  <c:v>31765.96440273601</c:v>
                </c:pt>
                <c:pt idx="69">
                  <c:v>33674.64895912358</c:v>
                </c:pt>
                <c:pt idx="70">
                  <c:v>35583.33351551116</c:v>
                </c:pt>
                <c:pt idx="71">
                  <c:v>37492.01807189872</c:v>
                </c:pt>
                <c:pt idx="72">
                  <c:v>39400.7026282863</c:v>
                </c:pt>
                <c:pt idx="73">
                  <c:v>41309.38718467387</c:v>
                </c:pt>
                <c:pt idx="74">
                  <c:v>43218.07174106145</c:v>
                </c:pt>
                <c:pt idx="75">
                  <c:v>45126.756297449</c:v>
                </c:pt>
                <c:pt idx="76">
                  <c:v>47035.44085383658</c:v>
                </c:pt>
                <c:pt idx="77">
                  <c:v>48944.12541022416</c:v>
                </c:pt>
                <c:pt idx="78">
                  <c:v>50852.80996661173</c:v>
                </c:pt>
                <c:pt idx="79">
                  <c:v>52761.4945229993</c:v>
                </c:pt>
                <c:pt idx="80">
                  <c:v>59975.67575410204</c:v>
                </c:pt>
                <c:pt idx="81">
                  <c:v>68636.81062376352</c:v>
                </c:pt>
                <c:pt idx="82">
                  <c:v>77297.94549342501</c:v>
                </c:pt>
                <c:pt idx="83">
                  <c:v>85959.08036308648</c:v>
                </c:pt>
                <c:pt idx="84">
                  <c:v>94620.21523274799</c:v>
                </c:pt>
                <c:pt idx="85">
                  <c:v>103281.3501024095</c:v>
                </c:pt>
                <c:pt idx="86">
                  <c:v>111942.4849720709</c:v>
                </c:pt>
                <c:pt idx="87">
                  <c:v>120603.6198417324</c:v>
                </c:pt>
                <c:pt idx="88">
                  <c:v>129264.754711394</c:v>
                </c:pt>
                <c:pt idx="89">
                  <c:v>137925.8895810554</c:v>
                </c:pt>
                <c:pt idx="90">
                  <c:v>146587.0244507169</c:v>
                </c:pt>
                <c:pt idx="91">
                  <c:v>155248.1593203784</c:v>
                </c:pt>
                <c:pt idx="92">
                  <c:v>163909.2941900399</c:v>
                </c:pt>
                <c:pt idx="93">
                  <c:v>172570.4290597013</c:v>
                </c:pt>
                <c:pt idx="94">
                  <c:v>181231.5639293628</c:v>
                </c:pt>
                <c:pt idx="95">
                  <c:v>189892.6987990243</c:v>
                </c:pt>
                <c:pt idx="96">
                  <c:v>194703.4826810463</c:v>
                </c:pt>
                <c:pt idx="97">
                  <c:v>197375.1826810463</c:v>
                </c:pt>
                <c:pt idx="98">
                  <c:v>200046.8826810463</c:v>
                </c:pt>
                <c:pt idx="99">
                  <c:v>202718.5826810463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3573.994930850873</c:v>
                </c:pt>
                <c:pt idx="1">
                  <c:v>3573.994930850873</c:v>
                </c:pt>
                <c:pt idx="2">
                  <c:v>3573.994930850873</c:v>
                </c:pt>
                <c:pt idx="3">
                  <c:v>3573.994930850873</c:v>
                </c:pt>
                <c:pt idx="4">
                  <c:v>3573.994930850873</c:v>
                </c:pt>
                <c:pt idx="5">
                  <c:v>3573.994930850873</c:v>
                </c:pt>
                <c:pt idx="6">
                  <c:v>3573.994930850873</c:v>
                </c:pt>
                <c:pt idx="7">
                  <c:v>3573.994930850873</c:v>
                </c:pt>
                <c:pt idx="8">
                  <c:v>3573.994930850873</c:v>
                </c:pt>
                <c:pt idx="9">
                  <c:v>3573.994930850873</c:v>
                </c:pt>
                <c:pt idx="10">
                  <c:v>3573.994930850873</c:v>
                </c:pt>
                <c:pt idx="11">
                  <c:v>3573.994930850873</c:v>
                </c:pt>
                <c:pt idx="12">
                  <c:v>3573.994930850873</c:v>
                </c:pt>
                <c:pt idx="13">
                  <c:v>3573.994930850873</c:v>
                </c:pt>
                <c:pt idx="14">
                  <c:v>3573.994930850873</c:v>
                </c:pt>
                <c:pt idx="15">
                  <c:v>3573.994930850873</c:v>
                </c:pt>
                <c:pt idx="16">
                  <c:v>3573.994930850873</c:v>
                </c:pt>
                <c:pt idx="17">
                  <c:v>3573.994930850873</c:v>
                </c:pt>
                <c:pt idx="18">
                  <c:v>3558.375287070268</c:v>
                </c:pt>
                <c:pt idx="19">
                  <c:v>3527.135999509058</c:v>
                </c:pt>
                <c:pt idx="20">
                  <c:v>3495.896711947848</c:v>
                </c:pt>
                <c:pt idx="21">
                  <c:v>3464.657424386638</c:v>
                </c:pt>
                <c:pt idx="22">
                  <c:v>3433.418136825427</c:v>
                </c:pt>
                <c:pt idx="23">
                  <c:v>3402.178849264218</c:v>
                </c:pt>
                <c:pt idx="24">
                  <c:v>3370.939561703007</c:v>
                </c:pt>
                <c:pt idx="25">
                  <c:v>3339.700274141797</c:v>
                </c:pt>
                <c:pt idx="26">
                  <c:v>3308.460986580587</c:v>
                </c:pt>
                <c:pt idx="27">
                  <c:v>3277.221699019377</c:v>
                </c:pt>
                <c:pt idx="28">
                  <c:v>3245.982411458167</c:v>
                </c:pt>
                <c:pt idx="29">
                  <c:v>3214.743123896956</c:v>
                </c:pt>
                <c:pt idx="30">
                  <c:v>3183.503836335746</c:v>
                </c:pt>
                <c:pt idx="31">
                  <c:v>3152.264548774536</c:v>
                </c:pt>
                <c:pt idx="32">
                  <c:v>3121.025261213326</c:v>
                </c:pt>
                <c:pt idx="33">
                  <c:v>3089.785973652115</c:v>
                </c:pt>
                <c:pt idx="34">
                  <c:v>3058.546686090905</c:v>
                </c:pt>
                <c:pt idx="35">
                  <c:v>3027.307398529695</c:v>
                </c:pt>
                <c:pt idx="36">
                  <c:v>2996.068110968485</c:v>
                </c:pt>
                <c:pt idx="37">
                  <c:v>2964.828823407275</c:v>
                </c:pt>
                <c:pt idx="38">
                  <c:v>2933.589535846065</c:v>
                </c:pt>
                <c:pt idx="39">
                  <c:v>2902.350248284854</c:v>
                </c:pt>
                <c:pt idx="40">
                  <c:v>2871.110960723644</c:v>
                </c:pt>
                <c:pt idx="41">
                  <c:v>2839.871673162434</c:v>
                </c:pt>
                <c:pt idx="42">
                  <c:v>2808.632385601224</c:v>
                </c:pt>
                <c:pt idx="43">
                  <c:v>2777.393098040013</c:v>
                </c:pt>
                <c:pt idx="44">
                  <c:v>2746.153810478803</c:v>
                </c:pt>
                <c:pt idx="45">
                  <c:v>2714.914522917593</c:v>
                </c:pt>
                <c:pt idx="46">
                  <c:v>2683.675235356383</c:v>
                </c:pt>
                <c:pt idx="47">
                  <c:v>2652.435947795173</c:v>
                </c:pt>
                <c:pt idx="48">
                  <c:v>2621.196660233963</c:v>
                </c:pt>
                <c:pt idx="49">
                  <c:v>2589.957372672752</c:v>
                </c:pt>
                <c:pt idx="50">
                  <c:v>2558.718085111542</c:v>
                </c:pt>
                <c:pt idx="51">
                  <c:v>2527.478797550332</c:v>
                </c:pt>
                <c:pt idx="52">
                  <c:v>2767.81701428312</c:v>
                </c:pt>
                <c:pt idx="53">
                  <c:v>3159.031622290355</c:v>
                </c:pt>
                <c:pt idx="54">
                  <c:v>3550.246230297591</c:v>
                </c:pt>
                <c:pt idx="55">
                  <c:v>3941.460838304826</c:v>
                </c:pt>
                <c:pt idx="56">
                  <c:v>4332.675446312061</c:v>
                </c:pt>
                <c:pt idx="57">
                  <c:v>4723.890054319296</c:v>
                </c:pt>
                <c:pt idx="58">
                  <c:v>5115.104662326531</c:v>
                </c:pt>
                <c:pt idx="59">
                  <c:v>5506.319270333766</c:v>
                </c:pt>
                <c:pt idx="60">
                  <c:v>5897.533878341002</c:v>
                </c:pt>
                <c:pt idx="61">
                  <c:v>6288.748486348237</c:v>
                </c:pt>
                <c:pt idx="62">
                  <c:v>6679.963094355471</c:v>
                </c:pt>
                <c:pt idx="63">
                  <c:v>7071.177702362706</c:v>
                </c:pt>
                <c:pt idx="64">
                  <c:v>7462.392310369941</c:v>
                </c:pt>
                <c:pt idx="65">
                  <c:v>7853.606918377176</c:v>
                </c:pt>
                <c:pt idx="66">
                  <c:v>8244.821526384412</c:v>
                </c:pt>
                <c:pt idx="67">
                  <c:v>8636.036134391648</c:v>
                </c:pt>
                <c:pt idx="68">
                  <c:v>9027.25074239888</c:v>
                </c:pt>
                <c:pt idx="69">
                  <c:v>9418.465350406117</c:v>
                </c:pt>
                <c:pt idx="70">
                  <c:v>9809.679958413351</c:v>
                </c:pt>
                <c:pt idx="71">
                  <c:v>10200.89456642059</c:v>
                </c:pt>
                <c:pt idx="72">
                  <c:v>10592.10917442782</c:v>
                </c:pt>
                <c:pt idx="73">
                  <c:v>10983.32378243506</c:v>
                </c:pt>
                <c:pt idx="74">
                  <c:v>11374.53839044229</c:v>
                </c:pt>
                <c:pt idx="75">
                  <c:v>11765.75299844953</c:v>
                </c:pt>
                <c:pt idx="76">
                  <c:v>12156.96760645676</c:v>
                </c:pt>
                <c:pt idx="77">
                  <c:v>12548.182214464</c:v>
                </c:pt>
                <c:pt idx="78">
                  <c:v>12939.39682247123</c:v>
                </c:pt>
                <c:pt idx="79">
                  <c:v>13330.61143047847</c:v>
                </c:pt>
                <c:pt idx="80">
                  <c:v>12832.82099845585</c:v>
                </c:pt>
                <c:pt idx="81">
                  <c:v>12092.57464642509</c:v>
                </c:pt>
                <c:pt idx="82">
                  <c:v>11352.32829439432</c:v>
                </c:pt>
                <c:pt idx="83">
                  <c:v>10612.08194236356</c:v>
                </c:pt>
                <c:pt idx="84">
                  <c:v>9871.835590332791</c:v>
                </c:pt>
                <c:pt idx="85">
                  <c:v>9131.589238302025</c:v>
                </c:pt>
                <c:pt idx="86">
                  <c:v>8391.34288627126</c:v>
                </c:pt>
                <c:pt idx="87">
                  <c:v>7651.096534240495</c:v>
                </c:pt>
                <c:pt idx="88">
                  <c:v>6910.85018220973</c:v>
                </c:pt>
                <c:pt idx="89">
                  <c:v>6170.603830178964</c:v>
                </c:pt>
                <c:pt idx="90">
                  <c:v>5430.357478148198</c:v>
                </c:pt>
                <c:pt idx="91">
                  <c:v>4690.11112611743</c:v>
                </c:pt>
                <c:pt idx="92">
                  <c:v>3949.864774086667</c:v>
                </c:pt>
                <c:pt idx="93">
                  <c:v>3209.618422055901</c:v>
                </c:pt>
                <c:pt idx="94">
                  <c:v>2469.372070025136</c:v>
                </c:pt>
                <c:pt idx="95">
                  <c:v>1729.12571799437</c:v>
                </c:pt>
                <c:pt idx="96">
                  <c:v>1998.021306554804</c:v>
                </c:pt>
                <c:pt idx="97">
                  <c:v>2827.551306554803</c:v>
                </c:pt>
                <c:pt idx="98">
                  <c:v>3657.081306554804</c:v>
                </c:pt>
                <c:pt idx="99">
                  <c:v>4486.611306554803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878.8512125043133</c:v>
                </c:pt>
                <c:pt idx="1">
                  <c:v>878.8512125043133</c:v>
                </c:pt>
                <c:pt idx="2">
                  <c:v>878.8512125043133</c:v>
                </c:pt>
                <c:pt idx="3">
                  <c:v>878.8512125043133</c:v>
                </c:pt>
                <c:pt idx="4">
                  <c:v>878.8512125043133</c:v>
                </c:pt>
                <c:pt idx="5">
                  <c:v>878.8512125043133</c:v>
                </c:pt>
                <c:pt idx="6">
                  <c:v>878.8512125043133</c:v>
                </c:pt>
                <c:pt idx="7">
                  <c:v>878.8512125043133</c:v>
                </c:pt>
                <c:pt idx="8">
                  <c:v>878.8512125043133</c:v>
                </c:pt>
                <c:pt idx="9">
                  <c:v>878.8512125043133</c:v>
                </c:pt>
                <c:pt idx="10">
                  <c:v>878.8512125043133</c:v>
                </c:pt>
                <c:pt idx="11">
                  <c:v>878.8512125043133</c:v>
                </c:pt>
                <c:pt idx="12">
                  <c:v>878.8512125043133</c:v>
                </c:pt>
                <c:pt idx="13">
                  <c:v>878.8512125043133</c:v>
                </c:pt>
                <c:pt idx="14">
                  <c:v>878.8512125043133</c:v>
                </c:pt>
                <c:pt idx="15">
                  <c:v>878.8512125043133</c:v>
                </c:pt>
                <c:pt idx="16">
                  <c:v>878.8512125043133</c:v>
                </c:pt>
                <c:pt idx="17">
                  <c:v>878.8512125043133</c:v>
                </c:pt>
                <c:pt idx="18">
                  <c:v>910.162604595382</c:v>
                </c:pt>
                <c:pt idx="19">
                  <c:v>972.7853887775195</c:v>
                </c:pt>
                <c:pt idx="20">
                  <c:v>1035.408172959657</c:v>
                </c:pt>
                <c:pt idx="21">
                  <c:v>1098.030957141794</c:v>
                </c:pt>
                <c:pt idx="22">
                  <c:v>1160.653741323932</c:v>
                </c:pt>
                <c:pt idx="23">
                  <c:v>1223.276525506069</c:v>
                </c:pt>
                <c:pt idx="24">
                  <c:v>1285.899309688207</c:v>
                </c:pt>
                <c:pt idx="25">
                  <c:v>1348.522093870345</c:v>
                </c:pt>
                <c:pt idx="26">
                  <c:v>1411.144878052482</c:v>
                </c:pt>
                <c:pt idx="27">
                  <c:v>1473.767662234619</c:v>
                </c:pt>
                <c:pt idx="28">
                  <c:v>1536.390446416757</c:v>
                </c:pt>
                <c:pt idx="29">
                  <c:v>1599.013230598895</c:v>
                </c:pt>
                <c:pt idx="30">
                  <c:v>1661.636014781032</c:v>
                </c:pt>
                <c:pt idx="31">
                  <c:v>1724.25879896317</c:v>
                </c:pt>
                <c:pt idx="32">
                  <c:v>1786.881583145307</c:v>
                </c:pt>
                <c:pt idx="33">
                  <c:v>1849.504367327444</c:v>
                </c:pt>
                <c:pt idx="34">
                  <c:v>1912.127151509582</c:v>
                </c:pt>
                <c:pt idx="35">
                  <c:v>1974.749935691719</c:v>
                </c:pt>
                <c:pt idx="36">
                  <c:v>2037.372719873857</c:v>
                </c:pt>
                <c:pt idx="37">
                  <c:v>2099.995504055994</c:v>
                </c:pt>
                <c:pt idx="38">
                  <c:v>2162.618288238132</c:v>
                </c:pt>
                <c:pt idx="39">
                  <c:v>2225.24107242027</c:v>
                </c:pt>
                <c:pt idx="40">
                  <c:v>2287.863856602407</c:v>
                </c:pt>
                <c:pt idx="41">
                  <c:v>2350.486640784545</c:v>
                </c:pt>
                <c:pt idx="42">
                  <c:v>2413.109424966682</c:v>
                </c:pt>
                <c:pt idx="43">
                  <c:v>2475.732209148819</c:v>
                </c:pt>
                <c:pt idx="44">
                  <c:v>2538.354993330957</c:v>
                </c:pt>
                <c:pt idx="45">
                  <c:v>2600.977777513094</c:v>
                </c:pt>
                <c:pt idx="46">
                  <c:v>2663.600561695232</c:v>
                </c:pt>
                <c:pt idx="47">
                  <c:v>2726.22334587737</c:v>
                </c:pt>
                <c:pt idx="48">
                  <c:v>2788.846130059507</c:v>
                </c:pt>
                <c:pt idx="49">
                  <c:v>2851.468914241645</c:v>
                </c:pt>
                <c:pt idx="50">
                  <c:v>2914.091698423782</c:v>
                </c:pt>
                <c:pt idx="51">
                  <c:v>2976.714482605919</c:v>
                </c:pt>
                <c:pt idx="52">
                  <c:v>3388.900978371197</c:v>
                </c:pt>
                <c:pt idx="53">
                  <c:v>3995.289536127111</c:v>
                </c:pt>
                <c:pt idx="54">
                  <c:v>4601.678093883025</c:v>
                </c:pt>
                <c:pt idx="55">
                  <c:v>5208.06665163894</c:v>
                </c:pt>
                <c:pt idx="56">
                  <c:v>5814.455209394853</c:v>
                </c:pt>
                <c:pt idx="57">
                  <c:v>6420.843767150766</c:v>
                </c:pt>
                <c:pt idx="58">
                  <c:v>7027.23232490668</c:v>
                </c:pt>
                <c:pt idx="59">
                  <c:v>7633.620882662594</c:v>
                </c:pt>
                <c:pt idx="60">
                  <c:v>8240.009440418507</c:v>
                </c:pt>
                <c:pt idx="61">
                  <c:v>8846.397998174423</c:v>
                </c:pt>
                <c:pt idx="62">
                  <c:v>9452.786555930335</c:v>
                </c:pt>
                <c:pt idx="63">
                  <c:v>10059.17511368625</c:v>
                </c:pt>
                <c:pt idx="64">
                  <c:v>10665.56367144216</c:v>
                </c:pt>
                <c:pt idx="65">
                  <c:v>11271.95222919808</c:v>
                </c:pt>
                <c:pt idx="66">
                  <c:v>11878.34078695399</c:v>
                </c:pt>
                <c:pt idx="67">
                  <c:v>12484.7293447099</c:v>
                </c:pt>
                <c:pt idx="68">
                  <c:v>13091.11790246582</c:v>
                </c:pt>
                <c:pt idx="69">
                  <c:v>13697.50646022173</c:v>
                </c:pt>
                <c:pt idx="70">
                  <c:v>14303.89501797765</c:v>
                </c:pt>
                <c:pt idx="71">
                  <c:v>14910.28357573356</c:v>
                </c:pt>
                <c:pt idx="72">
                  <c:v>15516.67213348948</c:v>
                </c:pt>
                <c:pt idx="73">
                  <c:v>16123.06069124539</c:v>
                </c:pt>
                <c:pt idx="74">
                  <c:v>16729.4492490013</c:v>
                </c:pt>
                <c:pt idx="75">
                  <c:v>17335.83780675722</c:v>
                </c:pt>
                <c:pt idx="76">
                  <c:v>17942.22636451313</c:v>
                </c:pt>
                <c:pt idx="77">
                  <c:v>18548.61492226904</c:v>
                </c:pt>
                <c:pt idx="78">
                  <c:v>19155.00348002496</c:v>
                </c:pt>
                <c:pt idx="79">
                  <c:v>19761.39203778087</c:v>
                </c:pt>
                <c:pt idx="80">
                  <c:v>21998.33285656793</c:v>
                </c:pt>
                <c:pt idx="81">
                  <c:v>24679.96974654532</c:v>
                </c:pt>
                <c:pt idx="82">
                  <c:v>27361.60663652272</c:v>
                </c:pt>
                <c:pt idx="83">
                  <c:v>30043.24352650011</c:v>
                </c:pt>
                <c:pt idx="84">
                  <c:v>32724.88041647751</c:v>
                </c:pt>
                <c:pt idx="85">
                  <c:v>35406.5173064549</c:v>
                </c:pt>
                <c:pt idx="86">
                  <c:v>38088.1541964323</c:v>
                </c:pt>
                <c:pt idx="87">
                  <c:v>40769.79108640969</c:v>
                </c:pt>
                <c:pt idx="88">
                  <c:v>43451.42797638709</c:v>
                </c:pt>
                <c:pt idx="89">
                  <c:v>46133.06486636448</c:v>
                </c:pt>
                <c:pt idx="90">
                  <c:v>48814.70175634188</c:v>
                </c:pt>
                <c:pt idx="91">
                  <c:v>51496.33864631927</c:v>
                </c:pt>
                <c:pt idx="92">
                  <c:v>54177.97553629666</c:v>
                </c:pt>
                <c:pt idx="93">
                  <c:v>56859.61242627406</c:v>
                </c:pt>
                <c:pt idx="94">
                  <c:v>59541.24931625144</c:v>
                </c:pt>
                <c:pt idx="95">
                  <c:v>62222.88620622883</c:v>
                </c:pt>
                <c:pt idx="96">
                  <c:v>67168.57795264932</c:v>
                </c:pt>
                <c:pt idx="97">
                  <c:v>73372.07795264932</c:v>
                </c:pt>
                <c:pt idx="98">
                  <c:v>79575.57795264934</c:v>
                </c:pt>
                <c:pt idx="99">
                  <c:v>85779.07795264934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2064.52118346463</c:v>
                </c:pt>
                <c:pt idx="1">
                  <c:v>2064.52118346463</c:v>
                </c:pt>
                <c:pt idx="2">
                  <c:v>2064.52118346463</c:v>
                </c:pt>
                <c:pt idx="3">
                  <c:v>2064.52118346463</c:v>
                </c:pt>
                <c:pt idx="4">
                  <c:v>2064.52118346463</c:v>
                </c:pt>
                <c:pt idx="5">
                  <c:v>2064.52118346463</c:v>
                </c:pt>
                <c:pt idx="6">
                  <c:v>2064.52118346463</c:v>
                </c:pt>
                <c:pt idx="7">
                  <c:v>2064.52118346463</c:v>
                </c:pt>
                <c:pt idx="8">
                  <c:v>2064.52118346463</c:v>
                </c:pt>
                <c:pt idx="9">
                  <c:v>2064.52118346463</c:v>
                </c:pt>
                <c:pt idx="10">
                  <c:v>2064.52118346463</c:v>
                </c:pt>
                <c:pt idx="11">
                  <c:v>2064.52118346463</c:v>
                </c:pt>
                <c:pt idx="12">
                  <c:v>2064.52118346463</c:v>
                </c:pt>
                <c:pt idx="13">
                  <c:v>2064.52118346463</c:v>
                </c:pt>
                <c:pt idx="14">
                  <c:v>2064.52118346463</c:v>
                </c:pt>
                <c:pt idx="15">
                  <c:v>2064.52118346463</c:v>
                </c:pt>
                <c:pt idx="16">
                  <c:v>2064.52118346463</c:v>
                </c:pt>
                <c:pt idx="17">
                  <c:v>2064.52118346463</c:v>
                </c:pt>
                <c:pt idx="18">
                  <c:v>2064.805606113988</c:v>
                </c:pt>
                <c:pt idx="19">
                  <c:v>2065.374451412704</c:v>
                </c:pt>
                <c:pt idx="20">
                  <c:v>2065.94329671142</c:v>
                </c:pt>
                <c:pt idx="21">
                  <c:v>2066.512142010135</c:v>
                </c:pt>
                <c:pt idx="22">
                  <c:v>2067.080987308851</c:v>
                </c:pt>
                <c:pt idx="23">
                  <c:v>2067.649832607566</c:v>
                </c:pt>
                <c:pt idx="24">
                  <c:v>2068.218677906282</c:v>
                </c:pt>
                <c:pt idx="25">
                  <c:v>2068.787523204997</c:v>
                </c:pt>
                <c:pt idx="26">
                  <c:v>2069.356368503713</c:v>
                </c:pt>
                <c:pt idx="27">
                  <c:v>2069.925213802428</c:v>
                </c:pt>
                <c:pt idx="28">
                  <c:v>2070.494059101144</c:v>
                </c:pt>
                <c:pt idx="29">
                  <c:v>2071.06290439986</c:v>
                </c:pt>
                <c:pt idx="30">
                  <c:v>2071.631749698575</c:v>
                </c:pt>
                <c:pt idx="31">
                  <c:v>2072.200594997291</c:v>
                </c:pt>
                <c:pt idx="32">
                  <c:v>2072.769440296006</c:v>
                </c:pt>
                <c:pt idx="33">
                  <c:v>2073.338285594722</c:v>
                </c:pt>
                <c:pt idx="34">
                  <c:v>2073.907130893437</c:v>
                </c:pt>
                <c:pt idx="35">
                  <c:v>2074.475976192153</c:v>
                </c:pt>
                <c:pt idx="36">
                  <c:v>2075.044821490869</c:v>
                </c:pt>
                <c:pt idx="37">
                  <c:v>2075.613666789585</c:v>
                </c:pt>
                <c:pt idx="38">
                  <c:v>2076.1825120883</c:v>
                </c:pt>
                <c:pt idx="39">
                  <c:v>2076.751357387016</c:v>
                </c:pt>
                <c:pt idx="40">
                  <c:v>2077.320202685732</c:v>
                </c:pt>
                <c:pt idx="41">
                  <c:v>2077.889047984447</c:v>
                </c:pt>
                <c:pt idx="42">
                  <c:v>2078.457893283163</c:v>
                </c:pt>
                <c:pt idx="43">
                  <c:v>2079.026738581878</c:v>
                </c:pt>
                <c:pt idx="44">
                  <c:v>2079.595583880593</c:v>
                </c:pt>
                <c:pt idx="45">
                  <c:v>2080.16442917931</c:v>
                </c:pt>
                <c:pt idx="46">
                  <c:v>2080.733274478025</c:v>
                </c:pt>
                <c:pt idx="47">
                  <c:v>2081.302119776741</c:v>
                </c:pt>
                <c:pt idx="48">
                  <c:v>2081.870965075456</c:v>
                </c:pt>
                <c:pt idx="49">
                  <c:v>2082.439810374172</c:v>
                </c:pt>
                <c:pt idx="50">
                  <c:v>2083.008655672887</c:v>
                </c:pt>
                <c:pt idx="51">
                  <c:v>2083.577500971603</c:v>
                </c:pt>
                <c:pt idx="52">
                  <c:v>2076.086133702575</c:v>
                </c:pt>
                <c:pt idx="53">
                  <c:v>2064.116870562577</c:v>
                </c:pt>
                <c:pt idx="54">
                  <c:v>2052.14760742258</c:v>
                </c:pt>
                <c:pt idx="55">
                  <c:v>2040.178344282583</c:v>
                </c:pt>
                <c:pt idx="56">
                  <c:v>2028.209081142585</c:v>
                </c:pt>
                <c:pt idx="57">
                  <c:v>2016.239818002588</c:v>
                </c:pt>
                <c:pt idx="58">
                  <c:v>2004.270554862591</c:v>
                </c:pt>
                <c:pt idx="59">
                  <c:v>1992.301291722593</c:v>
                </c:pt>
                <c:pt idx="60">
                  <c:v>1980.332028582596</c:v>
                </c:pt>
                <c:pt idx="61">
                  <c:v>1968.362765442598</c:v>
                </c:pt>
                <c:pt idx="62">
                  <c:v>1956.393502302601</c:v>
                </c:pt>
                <c:pt idx="63">
                  <c:v>1944.424239162604</c:v>
                </c:pt>
                <c:pt idx="64">
                  <c:v>1932.454976022606</c:v>
                </c:pt>
                <c:pt idx="65">
                  <c:v>1920.48571288261</c:v>
                </c:pt>
                <c:pt idx="66">
                  <c:v>1908.516449742612</c:v>
                </c:pt>
                <c:pt idx="67">
                  <c:v>1896.547186602614</c:v>
                </c:pt>
                <c:pt idx="68">
                  <c:v>1884.577923462617</c:v>
                </c:pt>
                <c:pt idx="69">
                  <c:v>1872.608660322619</c:v>
                </c:pt>
                <c:pt idx="70">
                  <c:v>1860.639397182622</c:v>
                </c:pt>
                <c:pt idx="71">
                  <c:v>1848.670134042625</c:v>
                </c:pt>
                <c:pt idx="72">
                  <c:v>1836.700870902627</c:v>
                </c:pt>
                <c:pt idx="73">
                  <c:v>1824.73160776263</c:v>
                </c:pt>
                <c:pt idx="74">
                  <c:v>1812.762344622633</c:v>
                </c:pt>
                <c:pt idx="75">
                  <c:v>1800.793081482635</c:v>
                </c:pt>
                <c:pt idx="76">
                  <c:v>1788.823818342638</c:v>
                </c:pt>
                <c:pt idx="77">
                  <c:v>1776.854555202641</c:v>
                </c:pt>
                <c:pt idx="78">
                  <c:v>1764.885292062643</c:v>
                </c:pt>
                <c:pt idx="79">
                  <c:v>1752.916028922646</c:v>
                </c:pt>
                <c:pt idx="80">
                  <c:v>1713.630439546648</c:v>
                </c:pt>
                <c:pt idx="81">
                  <c:v>1666.894943015378</c:v>
                </c:pt>
                <c:pt idx="82">
                  <c:v>1620.159446484107</c:v>
                </c:pt>
                <c:pt idx="83">
                  <c:v>1573.423949952837</c:v>
                </c:pt>
                <c:pt idx="84">
                  <c:v>1526.688453421566</c:v>
                </c:pt>
                <c:pt idx="85">
                  <c:v>1479.952956890296</c:v>
                </c:pt>
                <c:pt idx="86">
                  <c:v>1433.217460359025</c:v>
                </c:pt>
                <c:pt idx="87">
                  <c:v>1386.481963827755</c:v>
                </c:pt>
                <c:pt idx="88">
                  <c:v>1339.746467296484</c:v>
                </c:pt>
                <c:pt idx="89">
                  <c:v>1293.010970765214</c:v>
                </c:pt>
                <c:pt idx="90">
                  <c:v>1246.275474233943</c:v>
                </c:pt>
                <c:pt idx="91">
                  <c:v>1199.539977702673</c:v>
                </c:pt>
                <c:pt idx="92">
                  <c:v>1152.804481171402</c:v>
                </c:pt>
                <c:pt idx="93">
                  <c:v>1106.068984640132</c:v>
                </c:pt>
                <c:pt idx="94">
                  <c:v>1059.333488108861</c:v>
                </c:pt>
                <c:pt idx="95">
                  <c:v>1012.597991577591</c:v>
                </c:pt>
                <c:pt idx="96">
                  <c:v>1005.376028530708</c:v>
                </c:pt>
                <c:pt idx="97">
                  <c:v>1020.106028530708</c:v>
                </c:pt>
                <c:pt idx="98">
                  <c:v>1034.836028530709</c:v>
                </c:pt>
                <c:pt idx="99">
                  <c:v>1049.566028530709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33527.37387631745</c:v>
                </c:pt>
                <c:pt idx="1">
                  <c:v>33527.37387631745</c:v>
                </c:pt>
                <c:pt idx="2">
                  <c:v>33527.37387631745</c:v>
                </c:pt>
                <c:pt idx="3">
                  <c:v>33527.37387631745</c:v>
                </c:pt>
                <c:pt idx="4">
                  <c:v>33527.37387631745</c:v>
                </c:pt>
                <c:pt idx="5">
                  <c:v>33527.37387631745</c:v>
                </c:pt>
                <c:pt idx="6">
                  <c:v>33527.37387631745</c:v>
                </c:pt>
                <c:pt idx="7">
                  <c:v>33527.37387631745</c:v>
                </c:pt>
                <c:pt idx="8">
                  <c:v>33527.37387631745</c:v>
                </c:pt>
                <c:pt idx="9">
                  <c:v>33527.37387631745</c:v>
                </c:pt>
                <c:pt idx="10">
                  <c:v>33527.37387631745</c:v>
                </c:pt>
                <c:pt idx="11">
                  <c:v>33527.37387631745</c:v>
                </c:pt>
                <c:pt idx="12">
                  <c:v>33527.37387631745</c:v>
                </c:pt>
                <c:pt idx="13">
                  <c:v>33527.37387631745</c:v>
                </c:pt>
                <c:pt idx="14">
                  <c:v>33527.37387631745</c:v>
                </c:pt>
                <c:pt idx="15">
                  <c:v>33527.37387631745</c:v>
                </c:pt>
                <c:pt idx="16">
                  <c:v>33527.37387631745</c:v>
                </c:pt>
                <c:pt idx="17">
                  <c:v>33527.37387631745</c:v>
                </c:pt>
                <c:pt idx="18">
                  <c:v>33527.15720054113</c:v>
                </c:pt>
                <c:pt idx="19">
                  <c:v>33526.72384898849</c:v>
                </c:pt>
                <c:pt idx="20">
                  <c:v>33526.29049743585</c:v>
                </c:pt>
                <c:pt idx="21">
                  <c:v>33525.85714588322</c:v>
                </c:pt>
                <c:pt idx="22">
                  <c:v>33525.42379433058</c:v>
                </c:pt>
                <c:pt idx="23">
                  <c:v>33524.99044277793</c:v>
                </c:pt>
                <c:pt idx="24">
                  <c:v>33524.5570912253</c:v>
                </c:pt>
                <c:pt idx="25">
                  <c:v>33524.12373967266</c:v>
                </c:pt>
                <c:pt idx="26">
                  <c:v>33523.69038812002</c:v>
                </c:pt>
                <c:pt idx="27">
                  <c:v>33523.25703656738</c:v>
                </c:pt>
                <c:pt idx="28">
                  <c:v>33522.82368501474</c:v>
                </c:pt>
                <c:pt idx="29">
                  <c:v>33522.3903334621</c:v>
                </c:pt>
                <c:pt idx="30">
                  <c:v>33521.95698190947</c:v>
                </c:pt>
                <c:pt idx="31">
                  <c:v>33521.52363035683</c:v>
                </c:pt>
                <c:pt idx="32">
                  <c:v>33521.0902788042</c:v>
                </c:pt>
                <c:pt idx="33">
                  <c:v>33520.65692725155</c:v>
                </c:pt>
                <c:pt idx="34">
                  <c:v>33520.22357569891</c:v>
                </c:pt>
                <c:pt idx="35">
                  <c:v>33519.79022414627</c:v>
                </c:pt>
                <c:pt idx="36">
                  <c:v>33519.35687259363</c:v>
                </c:pt>
                <c:pt idx="37">
                  <c:v>33518.923521041</c:v>
                </c:pt>
                <c:pt idx="38">
                  <c:v>33518.49016948836</c:v>
                </c:pt>
                <c:pt idx="39">
                  <c:v>33518.05681793572</c:v>
                </c:pt>
                <c:pt idx="40">
                  <c:v>33517.62346638308</c:v>
                </c:pt>
                <c:pt idx="41">
                  <c:v>33517.19011483045</c:v>
                </c:pt>
                <c:pt idx="42">
                  <c:v>33516.75676327781</c:v>
                </c:pt>
                <c:pt idx="43">
                  <c:v>33516.32341172516</c:v>
                </c:pt>
                <c:pt idx="44">
                  <c:v>33515.89006017252</c:v>
                </c:pt>
                <c:pt idx="45">
                  <c:v>33515.45670861989</c:v>
                </c:pt>
                <c:pt idx="46">
                  <c:v>33515.02335706725</c:v>
                </c:pt>
                <c:pt idx="47">
                  <c:v>33514.59000551461</c:v>
                </c:pt>
                <c:pt idx="48">
                  <c:v>33514.15665396197</c:v>
                </c:pt>
                <c:pt idx="49">
                  <c:v>33513.72330240934</c:v>
                </c:pt>
                <c:pt idx="50">
                  <c:v>33513.2899508567</c:v>
                </c:pt>
                <c:pt idx="51">
                  <c:v>33512.85659930406</c:v>
                </c:pt>
                <c:pt idx="52">
                  <c:v>33288.68042732956</c:v>
                </c:pt>
                <c:pt idx="53">
                  <c:v>32940.20268845404</c:v>
                </c:pt>
                <c:pt idx="54">
                  <c:v>32591.72494957851</c:v>
                </c:pt>
                <c:pt idx="55">
                  <c:v>32243.24721070299</c:v>
                </c:pt>
                <c:pt idx="56">
                  <c:v>31894.76947182746</c:v>
                </c:pt>
                <c:pt idx="57">
                  <c:v>31546.29173295194</c:v>
                </c:pt>
                <c:pt idx="58">
                  <c:v>31197.81399407641</c:v>
                </c:pt>
                <c:pt idx="59">
                  <c:v>30849.33625520088</c:v>
                </c:pt>
                <c:pt idx="60">
                  <c:v>30500.85851632536</c:v>
                </c:pt>
                <c:pt idx="61">
                  <c:v>30152.38077744983</c:v>
                </c:pt>
                <c:pt idx="62">
                  <c:v>29803.90303857431</c:v>
                </c:pt>
                <c:pt idx="63">
                  <c:v>29455.42529969878</c:v>
                </c:pt>
                <c:pt idx="64">
                  <c:v>29106.94756082325</c:v>
                </c:pt>
                <c:pt idx="65">
                  <c:v>28758.46982194773</c:v>
                </c:pt>
                <c:pt idx="66">
                  <c:v>28409.9920830722</c:v>
                </c:pt>
                <c:pt idx="67">
                  <c:v>28061.51434419668</c:v>
                </c:pt>
                <c:pt idx="68">
                  <c:v>27713.03660532115</c:v>
                </c:pt>
                <c:pt idx="69">
                  <c:v>27364.55886644562</c:v>
                </c:pt>
                <c:pt idx="70">
                  <c:v>27016.0811275701</c:v>
                </c:pt>
                <c:pt idx="71">
                  <c:v>26667.60338869457</c:v>
                </c:pt>
                <c:pt idx="72">
                  <c:v>26319.12564981905</c:v>
                </c:pt>
                <c:pt idx="73">
                  <c:v>25970.64791094352</c:v>
                </c:pt>
                <c:pt idx="74">
                  <c:v>25622.170172068</c:v>
                </c:pt>
                <c:pt idx="75">
                  <c:v>25273.69243319247</c:v>
                </c:pt>
                <c:pt idx="76">
                  <c:v>24925.21469431694</c:v>
                </c:pt>
                <c:pt idx="77">
                  <c:v>24576.73695544142</c:v>
                </c:pt>
                <c:pt idx="78">
                  <c:v>24228.25921656589</c:v>
                </c:pt>
                <c:pt idx="79">
                  <c:v>23879.78147769037</c:v>
                </c:pt>
                <c:pt idx="80">
                  <c:v>23369.43468715355</c:v>
                </c:pt>
                <c:pt idx="81">
                  <c:v>22814.9417916182</c:v>
                </c:pt>
                <c:pt idx="82">
                  <c:v>22260.44889608284</c:v>
                </c:pt>
                <c:pt idx="83">
                  <c:v>21705.95600054749</c:v>
                </c:pt>
                <c:pt idx="84">
                  <c:v>21151.46310501213</c:v>
                </c:pt>
                <c:pt idx="85">
                  <c:v>20596.97020947677</c:v>
                </c:pt>
                <c:pt idx="86">
                  <c:v>20042.47731394142</c:v>
                </c:pt>
                <c:pt idx="87">
                  <c:v>19487.98441840606</c:v>
                </c:pt>
                <c:pt idx="88">
                  <c:v>18933.49152287071</c:v>
                </c:pt>
                <c:pt idx="89">
                  <c:v>18378.99862733536</c:v>
                </c:pt>
                <c:pt idx="90">
                  <c:v>17824.5057318</c:v>
                </c:pt>
                <c:pt idx="91">
                  <c:v>17270.01283626465</c:v>
                </c:pt>
                <c:pt idx="92">
                  <c:v>16715.51994072929</c:v>
                </c:pt>
                <c:pt idx="93">
                  <c:v>16161.02704519394</c:v>
                </c:pt>
                <c:pt idx="94">
                  <c:v>15606.53414965858</c:v>
                </c:pt>
                <c:pt idx="95">
                  <c:v>15052.04125412323</c:v>
                </c:pt>
                <c:pt idx="96">
                  <c:v>14128.97450571775</c:v>
                </c:pt>
                <c:pt idx="97">
                  <c:v>13001.14450571774</c:v>
                </c:pt>
                <c:pt idx="98">
                  <c:v>11873.31450571774</c:v>
                </c:pt>
                <c:pt idx="99">
                  <c:v>10745.48450571774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2294.778165983484</c:v>
                </c:pt>
                <c:pt idx="1">
                  <c:v>2294.778165983484</c:v>
                </c:pt>
                <c:pt idx="2">
                  <c:v>2294.778165983484</c:v>
                </c:pt>
                <c:pt idx="3">
                  <c:v>2294.778165983484</c:v>
                </c:pt>
                <c:pt idx="4">
                  <c:v>2294.778165983484</c:v>
                </c:pt>
                <c:pt idx="5">
                  <c:v>2294.778165983484</c:v>
                </c:pt>
                <c:pt idx="6">
                  <c:v>2294.778165983484</c:v>
                </c:pt>
                <c:pt idx="7">
                  <c:v>2294.778165983484</c:v>
                </c:pt>
                <c:pt idx="8">
                  <c:v>2294.778165983484</c:v>
                </c:pt>
                <c:pt idx="9">
                  <c:v>2294.778165983484</c:v>
                </c:pt>
                <c:pt idx="10">
                  <c:v>2294.778165983484</c:v>
                </c:pt>
                <c:pt idx="11">
                  <c:v>2294.778165983484</c:v>
                </c:pt>
                <c:pt idx="12">
                  <c:v>2294.778165983484</c:v>
                </c:pt>
                <c:pt idx="13">
                  <c:v>2294.778165983484</c:v>
                </c:pt>
                <c:pt idx="14">
                  <c:v>2294.778165983484</c:v>
                </c:pt>
                <c:pt idx="15">
                  <c:v>2294.778165983484</c:v>
                </c:pt>
                <c:pt idx="16">
                  <c:v>2294.778165983484</c:v>
                </c:pt>
                <c:pt idx="17">
                  <c:v>2294.778165983484</c:v>
                </c:pt>
                <c:pt idx="18">
                  <c:v>2319.879555440486</c:v>
                </c:pt>
                <c:pt idx="19">
                  <c:v>2370.082334354492</c:v>
                </c:pt>
                <c:pt idx="20">
                  <c:v>2420.285113268496</c:v>
                </c:pt>
                <c:pt idx="21">
                  <c:v>2470.487892182501</c:v>
                </c:pt>
                <c:pt idx="22">
                  <c:v>2520.690671096506</c:v>
                </c:pt>
                <c:pt idx="23">
                  <c:v>2570.893450010511</c:v>
                </c:pt>
                <c:pt idx="24">
                  <c:v>2621.096228924516</c:v>
                </c:pt>
                <c:pt idx="25">
                  <c:v>2671.299007838521</c:v>
                </c:pt>
                <c:pt idx="26">
                  <c:v>2721.501786752526</c:v>
                </c:pt>
                <c:pt idx="27">
                  <c:v>2771.70456566653</c:v>
                </c:pt>
                <c:pt idx="28">
                  <c:v>2821.907344580535</c:v>
                </c:pt>
                <c:pt idx="29">
                  <c:v>2872.11012349454</c:v>
                </c:pt>
                <c:pt idx="30">
                  <c:v>2922.312902408545</c:v>
                </c:pt>
                <c:pt idx="31">
                  <c:v>2972.51568132255</c:v>
                </c:pt>
                <c:pt idx="32">
                  <c:v>3022.718460236555</c:v>
                </c:pt>
                <c:pt idx="33">
                  <c:v>3072.92123915056</c:v>
                </c:pt>
                <c:pt idx="34">
                  <c:v>3123.124018064565</c:v>
                </c:pt>
                <c:pt idx="35">
                  <c:v>3173.32679697857</c:v>
                </c:pt>
                <c:pt idx="36">
                  <c:v>3223.529575892575</c:v>
                </c:pt>
                <c:pt idx="37">
                  <c:v>3273.73235480658</c:v>
                </c:pt>
                <c:pt idx="38">
                  <c:v>3323.935133720584</c:v>
                </c:pt>
                <c:pt idx="39">
                  <c:v>3374.13791263459</c:v>
                </c:pt>
                <c:pt idx="40">
                  <c:v>3424.340691548594</c:v>
                </c:pt>
                <c:pt idx="41">
                  <c:v>3474.5434704626</c:v>
                </c:pt>
                <c:pt idx="42">
                  <c:v>3524.746249376604</c:v>
                </c:pt>
                <c:pt idx="43">
                  <c:v>3574.94902829061</c:v>
                </c:pt>
                <c:pt idx="44">
                  <c:v>3625.151807204614</c:v>
                </c:pt>
                <c:pt idx="45">
                  <c:v>3675.354586118619</c:v>
                </c:pt>
                <c:pt idx="46">
                  <c:v>3725.557365032624</c:v>
                </c:pt>
                <c:pt idx="47">
                  <c:v>3775.760143946629</c:v>
                </c:pt>
                <c:pt idx="48">
                  <c:v>3825.962922860634</c:v>
                </c:pt>
                <c:pt idx="49">
                  <c:v>3876.165701774638</c:v>
                </c:pt>
                <c:pt idx="50">
                  <c:v>3926.368480688643</c:v>
                </c:pt>
                <c:pt idx="51">
                  <c:v>3976.571259602648</c:v>
                </c:pt>
                <c:pt idx="52">
                  <c:v>4054.42889896855</c:v>
                </c:pt>
                <c:pt idx="53">
                  <c:v>4147.650349696616</c:v>
                </c:pt>
                <c:pt idx="54">
                  <c:v>4240.871800424682</c:v>
                </c:pt>
                <c:pt idx="55">
                  <c:v>4334.093251152748</c:v>
                </c:pt>
                <c:pt idx="56">
                  <c:v>4427.314701880814</c:v>
                </c:pt>
                <c:pt idx="57">
                  <c:v>4520.53615260888</c:v>
                </c:pt>
                <c:pt idx="58">
                  <c:v>4613.757603336946</c:v>
                </c:pt>
                <c:pt idx="59">
                  <c:v>4706.979054065012</c:v>
                </c:pt>
                <c:pt idx="60">
                  <c:v>4800.200504793077</c:v>
                </c:pt>
                <c:pt idx="61">
                  <c:v>4893.421955521144</c:v>
                </c:pt>
                <c:pt idx="62">
                  <c:v>4986.64340624921</c:v>
                </c:pt>
                <c:pt idx="63">
                  <c:v>5079.864856977276</c:v>
                </c:pt>
                <c:pt idx="64">
                  <c:v>5173.086307705342</c:v>
                </c:pt>
                <c:pt idx="65">
                  <c:v>5266.307758433408</c:v>
                </c:pt>
                <c:pt idx="66">
                  <c:v>5359.529209161473</c:v>
                </c:pt>
                <c:pt idx="67">
                  <c:v>5452.75065988954</c:v>
                </c:pt>
                <c:pt idx="68">
                  <c:v>5545.972110617606</c:v>
                </c:pt>
                <c:pt idx="69">
                  <c:v>5639.193561345672</c:v>
                </c:pt>
                <c:pt idx="70">
                  <c:v>5732.415012073738</c:v>
                </c:pt>
                <c:pt idx="71">
                  <c:v>5825.636462801804</c:v>
                </c:pt>
                <c:pt idx="72">
                  <c:v>5918.85791352987</c:v>
                </c:pt>
                <c:pt idx="73">
                  <c:v>6012.079364257936</c:v>
                </c:pt>
                <c:pt idx="74">
                  <c:v>6105.300814986002</c:v>
                </c:pt>
                <c:pt idx="75">
                  <c:v>6198.522265714068</c:v>
                </c:pt>
                <c:pt idx="76">
                  <c:v>6291.743716442135</c:v>
                </c:pt>
                <c:pt idx="77">
                  <c:v>6384.965167170201</c:v>
                </c:pt>
                <c:pt idx="78">
                  <c:v>6478.186617898267</c:v>
                </c:pt>
                <c:pt idx="79">
                  <c:v>6571.408068626333</c:v>
                </c:pt>
                <c:pt idx="80">
                  <c:v>6773.181855661004</c:v>
                </c:pt>
                <c:pt idx="81">
                  <c:v>7004.56082532475</c:v>
                </c:pt>
                <c:pt idx="82">
                  <c:v>7235.939794988497</c:v>
                </c:pt>
                <c:pt idx="83">
                  <c:v>7467.318764652242</c:v>
                </c:pt>
                <c:pt idx="84">
                  <c:v>7698.69773431599</c:v>
                </c:pt>
                <c:pt idx="85">
                  <c:v>7930.076703979736</c:v>
                </c:pt>
                <c:pt idx="86">
                  <c:v>8161.455673643482</c:v>
                </c:pt>
                <c:pt idx="87">
                  <c:v>8392.83464330723</c:v>
                </c:pt>
                <c:pt idx="88">
                  <c:v>8624.213612970976</c:v>
                </c:pt>
                <c:pt idx="89">
                  <c:v>8855.59258263472</c:v>
                </c:pt>
                <c:pt idx="90">
                  <c:v>9086.971552298467</c:v>
                </c:pt>
                <c:pt idx="91">
                  <c:v>9318.350521962215</c:v>
                </c:pt>
                <c:pt idx="92">
                  <c:v>9549.72949162596</c:v>
                </c:pt>
                <c:pt idx="93">
                  <c:v>9781.108461289706</c:v>
                </c:pt>
                <c:pt idx="94">
                  <c:v>10012.48743095345</c:v>
                </c:pt>
                <c:pt idx="95">
                  <c:v>10243.8664006172</c:v>
                </c:pt>
                <c:pt idx="96">
                  <c:v>10516.99960406854</c:v>
                </c:pt>
                <c:pt idx="97">
                  <c:v>10813.32960406854</c:v>
                </c:pt>
                <c:pt idx="98">
                  <c:v>11109.65960406854</c:v>
                </c:pt>
                <c:pt idx="99">
                  <c:v>11405.98960406854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3123560"/>
        <c:axId val="-2032247912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37756.62117311318</c:v>
                </c:pt>
                <c:pt idx="1">
                  <c:v>37756.62117311318</c:v>
                </c:pt>
                <c:pt idx="2">
                  <c:v>37756.62117311318</c:v>
                </c:pt>
                <c:pt idx="3">
                  <c:v>37756.62117311318</c:v>
                </c:pt>
                <c:pt idx="4">
                  <c:v>37756.62117311318</c:v>
                </c:pt>
                <c:pt idx="5">
                  <c:v>37756.62117311318</c:v>
                </c:pt>
                <c:pt idx="6">
                  <c:v>37756.62117311318</c:v>
                </c:pt>
                <c:pt idx="7">
                  <c:v>37756.62117311318</c:v>
                </c:pt>
                <c:pt idx="8">
                  <c:v>37756.62117311318</c:v>
                </c:pt>
                <c:pt idx="9">
                  <c:v>37756.62117311318</c:v>
                </c:pt>
                <c:pt idx="10">
                  <c:v>37756.62117311318</c:v>
                </c:pt>
                <c:pt idx="11">
                  <c:v>37756.62117311318</c:v>
                </c:pt>
                <c:pt idx="12">
                  <c:v>37756.62117311318</c:v>
                </c:pt>
                <c:pt idx="13">
                  <c:v>37756.62117311318</c:v>
                </c:pt>
                <c:pt idx="14">
                  <c:v>37756.62117311318</c:v>
                </c:pt>
                <c:pt idx="15">
                  <c:v>37756.62117311318</c:v>
                </c:pt>
                <c:pt idx="16">
                  <c:v>37756.62117311318</c:v>
                </c:pt>
                <c:pt idx="17">
                  <c:v>37756.62117311318</c:v>
                </c:pt>
                <c:pt idx="18">
                  <c:v>37756.62117311318</c:v>
                </c:pt>
                <c:pt idx="19">
                  <c:v>37756.62117311318</c:v>
                </c:pt>
                <c:pt idx="20">
                  <c:v>37756.62117311318</c:v>
                </c:pt>
                <c:pt idx="21">
                  <c:v>37756.62117311318</c:v>
                </c:pt>
                <c:pt idx="22">
                  <c:v>37756.62117311318</c:v>
                </c:pt>
                <c:pt idx="23">
                  <c:v>37756.62117311318</c:v>
                </c:pt>
                <c:pt idx="24">
                  <c:v>37756.62117311318</c:v>
                </c:pt>
                <c:pt idx="25">
                  <c:v>37756.62117311318</c:v>
                </c:pt>
                <c:pt idx="26">
                  <c:v>37756.62117311318</c:v>
                </c:pt>
                <c:pt idx="27">
                  <c:v>37756.62117311318</c:v>
                </c:pt>
                <c:pt idx="28">
                  <c:v>37756.62117311318</c:v>
                </c:pt>
                <c:pt idx="29">
                  <c:v>37756.62117311318</c:v>
                </c:pt>
                <c:pt idx="30">
                  <c:v>37756.62117311318</c:v>
                </c:pt>
                <c:pt idx="31">
                  <c:v>37756.62117311318</c:v>
                </c:pt>
                <c:pt idx="32">
                  <c:v>37756.62117311318</c:v>
                </c:pt>
                <c:pt idx="33">
                  <c:v>37756.62117311318</c:v>
                </c:pt>
                <c:pt idx="34">
                  <c:v>37756.62117311318</c:v>
                </c:pt>
                <c:pt idx="35">
                  <c:v>37756.62117311317</c:v>
                </c:pt>
                <c:pt idx="36">
                  <c:v>37756.62117311317</c:v>
                </c:pt>
                <c:pt idx="37">
                  <c:v>37756.62117311317</c:v>
                </c:pt>
                <c:pt idx="38">
                  <c:v>37756.62117311317</c:v>
                </c:pt>
                <c:pt idx="39">
                  <c:v>37756.62117311317</c:v>
                </c:pt>
                <c:pt idx="40">
                  <c:v>37756.62117311317</c:v>
                </c:pt>
                <c:pt idx="41">
                  <c:v>37756.62117311317</c:v>
                </c:pt>
                <c:pt idx="42">
                  <c:v>37756.62117311317</c:v>
                </c:pt>
                <c:pt idx="43">
                  <c:v>37756.62117311317</c:v>
                </c:pt>
                <c:pt idx="44">
                  <c:v>37756.62117311317</c:v>
                </c:pt>
                <c:pt idx="45">
                  <c:v>37756.62117311317</c:v>
                </c:pt>
                <c:pt idx="46">
                  <c:v>37756.62117311317</c:v>
                </c:pt>
                <c:pt idx="47">
                  <c:v>37756.62117311317</c:v>
                </c:pt>
                <c:pt idx="48">
                  <c:v>37756.62117311317</c:v>
                </c:pt>
                <c:pt idx="49">
                  <c:v>37756.62117311317</c:v>
                </c:pt>
                <c:pt idx="50">
                  <c:v>37756.62117311317</c:v>
                </c:pt>
                <c:pt idx="51">
                  <c:v>37756.62117311317</c:v>
                </c:pt>
                <c:pt idx="52">
                  <c:v>37756.62117311317</c:v>
                </c:pt>
                <c:pt idx="53">
                  <c:v>37756.62117311317</c:v>
                </c:pt>
                <c:pt idx="54">
                  <c:v>37756.62117311317</c:v>
                </c:pt>
                <c:pt idx="55">
                  <c:v>37756.62117311317</c:v>
                </c:pt>
                <c:pt idx="56">
                  <c:v>37756.62117311317</c:v>
                </c:pt>
                <c:pt idx="57">
                  <c:v>37756.62117311317</c:v>
                </c:pt>
                <c:pt idx="58">
                  <c:v>37756.62117311317</c:v>
                </c:pt>
                <c:pt idx="59">
                  <c:v>37756.62117311317</c:v>
                </c:pt>
                <c:pt idx="60">
                  <c:v>37756.62117311317</c:v>
                </c:pt>
                <c:pt idx="61">
                  <c:v>37756.62117311317</c:v>
                </c:pt>
                <c:pt idx="62">
                  <c:v>37756.62117311317</c:v>
                </c:pt>
                <c:pt idx="63">
                  <c:v>37756.62117311317</c:v>
                </c:pt>
                <c:pt idx="64">
                  <c:v>37756.62117311317</c:v>
                </c:pt>
                <c:pt idx="65">
                  <c:v>37756.62117311317</c:v>
                </c:pt>
                <c:pt idx="66">
                  <c:v>37756.62117311317</c:v>
                </c:pt>
                <c:pt idx="67">
                  <c:v>37756.62117311318</c:v>
                </c:pt>
                <c:pt idx="68">
                  <c:v>37756.62117311318</c:v>
                </c:pt>
                <c:pt idx="69">
                  <c:v>37756.62117311318</c:v>
                </c:pt>
                <c:pt idx="70">
                  <c:v>37756.62117311318</c:v>
                </c:pt>
                <c:pt idx="71">
                  <c:v>37756.62117311318</c:v>
                </c:pt>
                <c:pt idx="72">
                  <c:v>37756.62117311318</c:v>
                </c:pt>
                <c:pt idx="73">
                  <c:v>37756.62117311318</c:v>
                </c:pt>
                <c:pt idx="74">
                  <c:v>37756.62117311318</c:v>
                </c:pt>
                <c:pt idx="75">
                  <c:v>37756.62117311318</c:v>
                </c:pt>
                <c:pt idx="76">
                  <c:v>37756.62117311318</c:v>
                </c:pt>
                <c:pt idx="77">
                  <c:v>37756.62117311318</c:v>
                </c:pt>
                <c:pt idx="78">
                  <c:v>37756.62117311318</c:v>
                </c:pt>
                <c:pt idx="79">
                  <c:v>37756.62117311318</c:v>
                </c:pt>
                <c:pt idx="80">
                  <c:v>37756.62117311318</c:v>
                </c:pt>
                <c:pt idx="81">
                  <c:v>37756.62117311318</c:v>
                </c:pt>
                <c:pt idx="82">
                  <c:v>37756.62117311318</c:v>
                </c:pt>
                <c:pt idx="83">
                  <c:v>37756.62117311318</c:v>
                </c:pt>
                <c:pt idx="84">
                  <c:v>37756.62117311318</c:v>
                </c:pt>
                <c:pt idx="85">
                  <c:v>37756.62117311318</c:v>
                </c:pt>
                <c:pt idx="86">
                  <c:v>37756.62117311318</c:v>
                </c:pt>
                <c:pt idx="87">
                  <c:v>37756.62117311318</c:v>
                </c:pt>
                <c:pt idx="88">
                  <c:v>37756.62117311318</c:v>
                </c:pt>
                <c:pt idx="89">
                  <c:v>37756.62117311318</c:v>
                </c:pt>
                <c:pt idx="90">
                  <c:v>37756.62117311318</c:v>
                </c:pt>
                <c:pt idx="91">
                  <c:v>37756.62117311318</c:v>
                </c:pt>
                <c:pt idx="92">
                  <c:v>37756.62117311318</c:v>
                </c:pt>
                <c:pt idx="93">
                  <c:v>37756.62117311318</c:v>
                </c:pt>
                <c:pt idx="94">
                  <c:v>37756.62117311318</c:v>
                </c:pt>
                <c:pt idx="95">
                  <c:v>37756.62117311318</c:v>
                </c:pt>
                <c:pt idx="96">
                  <c:v>37756.62117311318</c:v>
                </c:pt>
                <c:pt idx="97">
                  <c:v>37756.62117311318</c:v>
                </c:pt>
                <c:pt idx="98">
                  <c:v>37756.62117311318</c:v>
                </c:pt>
                <c:pt idx="99">
                  <c:v>37756.62117311318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62004.15747728934</c:v>
                </c:pt>
                <c:pt idx="1">
                  <c:v>61663.89747728933</c:v>
                </c:pt>
                <c:pt idx="2">
                  <c:v>61323.63747728933</c:v>
                </c:pt>
                <c:pt idx="3">
                  <c:v>60983.37747728934</c:v>
                </c:pt>
                <c:pt idx="4">
                  <c:v>60643.11747728933</c:v>
                </c:pt>
                <c:pt idx="5">
                  <c:v>60302.85747728933</c:v>
                </c:pt>
                <c:pt idx="6">
                  <c:v>59962.59747728934</c:v>
                </c:pt>
                <c:pt idx="7">
                  <c:v>59622.33747728933</c:v>
                </c:pt>
                <c:pt idx="8">
                  <c:v>59282.07747728933</c:v>
                </c:pt>
                <c:pt idx="9">
                  <c:v>58941.81747728933</c:v>
                </c:pt>
                <c:pt idx="10">
                  <c:v>58601.55747728933</c:v>
                </c:pt>
                <c:pt idx="11">
                  <c:v>58261.29747728934</c:v>
                </c:pt>
                <c:pt idx="12">
                  <c:v>57921.03747728933</c:v>
                </c:pt>
                <c:pt idx="13">
                  <c:v>57580.77747728933</c:v>
                </c:pt>
                <c:pt idx="14">
                  <c:v>57240.51747728934</c:v>
                </c:pt>
                <c:pt idx="15">
                  <c:v>56900.25747728933</c:v>
                </c:pt>
                <c:pt idx="16">
                  <c:v>56559.99747728933</c:v>
                </c:pt>
                <c:pt idx="17">
                  <c:v>56219.73747728934</c:v>
                </c:pt>
                <c:pt idx="18">
                  <c:v>56203.09555292578</c:v>
                </c:pt>
                <c:pt idx="19">
                  <c:v>56510.07170419871</c:v>
                </c:pt>
                <c:pt idx="20">
                  <c:v>56817.04785547162</c:v>
                </c:pt>
                <c:pt idx="21">
                  <c:v>57124.02400674453</c:v>
                </c:pt>
                <c:pt idx="22">
                  <c:v>57431.00015801745</c:v>
                </c:pt>
                <c:pt idx="23">
                  <c:v>57737.97630929035</c:v>
                </c:pt>
                <c:pt idx="24">
                  <c:v>58044.95246056327</c:v>
                </c:pt>
                <c:pt idx="25">
                  <c:v>58351.92861183618</c:v>
                </c:pt>
                <c:pt idx="26">
                  <c:v>58658.9047631091</c:v>
                </c:pt>
                <c:pt idx="27">
                  <c:v>58965.880914382</c:v>
                </c:pt>
                <c:pt idx="28">
                  <c:v>59272.85706565493</c:v>
                </c:pt>
                <c:pt idx="29">
                  <c:v>59579.83321692784</c:v>
                </c:pt>
                <c:pt idx="30">
                  <c:v>59886.80936820077</c:v>
                </c:pt>
                <c:pt idx="31">
                  <c:v>60193.78551947367</c:v>
                </c:pt>
                <c:pt idx="32">
                  <c:v>60500.76167074659</c:v>
                </c:pt>
                <c:pt idx="33">
                  <c:v>60807.7378220195</c:v>
                </c:pt>
                <c:pt idx="34">
                  <c:v>61114.71397329242</c:v>
                </c:pt>
                <c:pt idx="35">
                  <c:v>61421.69012456533</c:v>
                </c:pt>
                <c:pt idx="36">
                  <c:v>61728.66627583824</c:v>
                </c:pt>
                <c:pt idx="37">
                  <c:v>62035.64242711116</c:v>
                </c:pt>
                <c:pt idx="38">
                  <c:v>62342.61857838407</c:v>
                </c:pt>
                <c:pt idx="39">
                  <c:v>62649.59472965699</c:v>
                </c:pt>
                <c:pt idx="40">
                  <c:v>62956.57088092991</c:v>
                </c:pt>
                <c:pt idx="41">
                  <c:v>63263.54703220282</c:v>
                </c:pt>
                <c:pt idx="42">
                  <c:v>63570.52318347574</c:v>
                </c:pt>
                <c:pt idx="43">
                  <c:v>63877.49933474865</c:v>
                </c:pt>
                <c:pt idx="44">
                  <c:v>64184.47548602156</c:v>
                </c:pt>
                <c:pt idx="45">
                  <c:v>64491.45163729447</c:v>
                </c:pt>
                <c:pt idx="46">
                  <c:v>64798.42778856739</c:v>
                </c:pt>
                <c:pt idx="47">
                  <c:v>65105.4039398403</c:v>
                </c:pt>
                <c:pt idx="48">
                  <c:v>65412.38009111323</c:v>
                </c:pt>
                <c:pt idx="49">
                  <c:v>65719.35624238613</c:v>
                </c:pt>
                <c:pt idx="50">
                  <c:v>66026.33239365905</c:v>
                </c:pt>
                <c:pt idx="51">
                  <c:v>66333.30854493196</c:v>
                </c:pt>
                <c:pt idx="52">
                  <c:v>68648.98690022745</c:v>
                </c:pt>
                <c:pt idx="53">
                  <c:v>72080.61092442438</c:v>
                </c:pt>
                <c:pt idx="54">
                  <c:v>75512.23494862133</c:v>
                </c:pt>
                <c:pt idx="55">
                  <c:v>78943.85897281828</c:v>
                </c:pt>
                <c:pt idx="56">
                  <c:v>82375.48299701522</c:v>
                </c:pt>
                <c:pt idx="57">
                  <c:v>85807.10702121216</c:v>
                </c:pt>
                <c:pt idx="58">
                  <c:v>89238.73104540909</c:v>
                </c:pt>
                <c:pt idx="59">
                  <c:v>92670.35506960604</c:v>
                </c:pt>
                <c:pt idx="60">
                  <c:v>96101.97909380297</c:v>
                </c:pt>
                <c:pt idx="61">
                  <c:v>99533.60311799994</c:v>
                </c:pt>
                <c:pt idx="62">
                  <c:v>102965.2271421969</c:v>
                </c:pt>
                <c:pt idx="63">
                  <c:v>106396.8511663938</c:v>
                </c:pt>
                <c:pt idx="64">
                  <c:v>109828.4751905907</c:v>
                </c:pt>
                <c:pt idx="65">
                  <c:v>113260.0992147877</c:v>
                </c:pt>
                <c:pt idx="66">
                  <c:v>116691.7232389846</c:v>
                </c:pt>
                <c:pt idx="67">
                  <c:v>120123.3472631816</c:v>
                </c:pt>
                <c:pt idx="68">
                  <c:v>123554.9712873785</c:v>
                </c:pt>
                <c:pt idx="69">
                  <c:v>126986.5953115754</c:v>
                </c:pt>
                <c:pt idx="70">
                  <c:v>130418.2193357724</c:v>
                </c:pt>
                <c:pt idx="71">
                  <c:v>133849.8433599693</c:v>
                </c:pt>
                <c:pt idx="72">
                  <c:v>137281.4673841663</c:v>
                </c:pt>
                <c:pt idx="73">
                  <c:v>140713.0914083632</c:v>
                </c:pt>
                <c:pt idx="74">
                  <c:v>144144.7154325602</c:v>
                </c:pt>
                <c:pt idx="75">
                  <c:v>147576.3394567571</c:v>
                </c:pt>
                <c:pt idx="76">
                  <c:v>151007.9634809541</c:v>
                </c:pt>
                <c:pt idx="77">
                  <c:v>154439.587505151</c:v>
                </c:pt>
                <c:pt idx="78">
                  <c:v>157871.211529348</c:v>
                </c:pt>
                <c:pt idx="79">
                  <c:v>161302.8355535448</c:v>
                </c:pt>
                <c:pt idx="80">
                  <c:v>171962.5243316549</c:v>
                </c:pt>
                <c:pt idx="81">
                  <c:v>184593.5034971958</c:v>
                </c:pt>
                <c:pt idx="82">
                  <c:v>197224.4826627368</c:v>
                </c:pt>
                <c:pt idx="83">
                  <c:v>209855.4618282777</c:v>
                </c:pt>
                <c:pt idx="84">
                  <c:v>222486.4409938187</c:v>
                </c:pt>
                <c:pt idx="85">
                  <c:v>235117.4201593595</c:v>
                </c:pt>
                <c:pt idx="86">
                  <c:v>247748.3993249005</c:v>
                </c:pt>
                <c:pt idx="87">
                  <c:v>260379.3784904414</c:v>
                </c:pt>
                <c:pt idx="88">
                  <c:v>273010.3576559823</c:v>
                </c:pt>
                <c:pt idx="89">
                  <c:v>285641.3368215232</c:v>
                </c:pt>
                <c:pt idx="90">
                  <c:v>298272.3159870642</c:v>
                </c:pt>
                <c:pt idx="91">
                  <c:v>310903.2951526051</c:v>
                </c:pt>
                <c:pt idx="92">
                  <c:v>323534.2743181461</c:v>
                </c:pt>
                <c:pt idx="93">
                  <c:v>336165.253483687</c:v>
                </c:pt>
                <c:pt idx="94">
                  <c:v>348796.232649228</c:v>
                </c:pt>
                <c:pt idx="95">
                  <c:v>361427.2118147687</c:v>
                </c:pt>
                <c:pt idx="96">
                  <c:v>372225.2907310335</c:v>
                </c:pt>
                <c:pt idx="97">
                  <c:v>382005.0917310335</c:v>
                </c:pt>
                <c:pt idx="98">
                  <c:v>391784.8927310335</c:v>
                </c:pt>
                <c:pt idx="99">
                  <c:v>401564.6937310335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3123560"/>
        <c:axId val="-2032247912"/>
      </c:lineChart>
      <c:catAx>
        <c:axId val="-2033123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224791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322479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3123560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4190384023226"/>
          <c:y val="0.042042042042042"/>
          <c:w val="0.233240333435974"/>
          <c:h val="0.92792863729871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0.0895442271798217</c:v>
                </c:pt>
                <c:pt idx="1">
                  <c:v>0.0179088454359643</c:v>
                </c:pt>
                <c:pt idx="2" formatCode="0.0%">
                  <c:v>0.0178649292726351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0.0155524611279132</c:v>
                </c:pt>
                <c:pt idx="1">
                  <c:v>0.00311049222558264</c:v>
                </c:pt>
                <c:pt idx="2" formatCode="0.0%">
                  <c:v>0.00311049222558264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0.0872761106045781</c:v>
                </c:pt>
                <c:pt idx="1">
                  <c:v>0.0174552221209156</c:v>
                </c:pt>
                <c:pt idx="2" formatCode="0.0%">
                  <c:v>0.0174552221209156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0.046699016307893</c:v>
                </c:pt>
                <c:pt idx="1">
                  <c:v>0.0093398032615786</c:v>
                </c:pt>
                <c:pt idx="2" formatCode="0.0%">
                  <c:v>0.0106151286446596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0.152777202232699</c:v>
                </c:pt>
                <c:pt idx="1">
                  <c:v>0.0458331606698096</c:v>
                </c:pt>
                <c:pt idx="2" formatCode="0.0%">
                  <c:v>0.0528676539991869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0.0257686950720512</c:v>
                </c:pt>
                <c:pt idx="1">
                  <c:v>0.00773060852161537</c:v>
                </c:pt>
                <c:pt idx="2" formatCode="0.0%">
                  <c:v>0.00773060852161537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0.0624827428927237</c:v>
                </c:pt>
                <c:pt idx="1">
                  <c:v>0.0124965485785447</c:v>
                </c:pt>
                <c:pt idx="2" formatCode="0.0%">
                  <c:v>0.0124448147378987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0.0404506316491727</c:v>
                </c:pt>
                <c:pt idx="1">
                  <c:v>0.00809012632983455</c:v>
                </c:pt>
                <c:pt idx="2" formatCode="0.0%">
                  <c:v>0.00846166325061008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0.0194019792296744</c:v>
                </c:pt>
                <c:pt idx="1">
                  <c:v>0.00388039584593489</c:v>
                </c:pt>
                <c:pt idx="2" formatCode="0.0%">
                  <c:v>0.00409642487678989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0.00942215699065014</c:v>
                </c:pt>
                <c:pt idx="1">
                  <c:v>0.00188443139813003</c:v>
                </c:pt>
                <c:pt idx="2" formatCode="0.0%">
                  <c:v>0.00196281725252731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0.00644702081480163</c:v>
                </c:pt>
                <c:pt idx="1">
                  <c:v>0.00128940416296033</c:v>
                </c:pt>
                <c:pt idx="2" formatCode="0.0%">
                  <c:v>0.00133420543082098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Tomatoes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0.00959276618929016</c:v>
                </c:pt>
                <c:pt idx="1">
                  <c:v>0.00191855323785803</c:v>
                </c:pt>
                <c:pt idx="2" formatCode="0.0%">
                  <c:v>0.0019327145104601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0.0438853061021171</c:v>
                </c:pt>
                <c:pt idx="1">
                  <c:v>0.00877706122042341</c:v>
                </c:pt>
                <c:pt idx="2" formatCode="0.0%">
                  <c:v>0.0089048855450715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0.0231164095356698</c:v>
                </c:pt>
                <c:pt idx="1">
                  <c:v>0.00462328190713396</c:v>
                </c:pt>
                <c:pt idx="2" formatCode="0.0%">
                  <c:v>0.00461208328548501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0.00312841531755915</c:v>
                </c:pt>
                <c:pt idx="1">
                  <c:v>0.00062568306351183</c:v>
                </c:pt>
                <c:pt idx="2" formatCode="0.0%">
                  <c:v>0.000622937844401454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0.00167230030243729</c:v>
                </c:pt>
                <c:pt idx="1">
                  <c:v>0.00167230030243729</c:v>
                </c:pt>
                <c:pt idx="2" formatCode="0.0%">
                  <c:v>0.00169284164344229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  <c:pt idx="0">
                  <c:v>Labour: Land prep &amp; weeding, slaughtering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  <c:pt idx="0">
                  <c:v>Labour: Harvesting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0.00763967479096246</c:v>
                </c:pt>
                <c:pt idx="1">
                  <c:v>0.00763967479096246</c:v>
                </c:pt>
                <c:pt idx="2" formatCode="0.0%">
                  <c:v>0.00763967479096246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0.0536659108087679</c:v>
                </c:pt>
                <c:pt idx="1">
                  <c:v>0.0536659108087679</c:v>
                </c:pt>
                <c:pt idx="2" formatCode="0.0%">
                  <c:v>0.0536659108087679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0.0312154703374251</c:v>
                </c:pt>
                <c:pt idx="1">
                  <c:v>0.0312154703374251</c:v>
                </c:pt>
                <c:pt idx="2" formatCode="0.0%">
                  <c:v>0.0296817562792547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0.0252463588952144</c:v>
                </c:pt>
                <c:pt idx="1">
                  <c:v>0.0252463588952144</c:v>
                </c:pt>
                <c:pt idx="2" formatCode="0.0%">
                  <c:v>0.0240059260221341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0.275146148564312</c:v>
                </c:pt>
                <c:pt idx="1">
                  <c:v>0.275146148564312</c:v>
                </c:pt>
                <c:pt idx="2" formatCode="0.0%">
                  <c:v>0.272666800173064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0.574928832752179</c:v>
                </c:pt>
                <c:pt idx="1">
                  <c:v>0.222399551750739</c:v>
                </c:pt>
                <c:pt idx="2" formatCode="0.0%">
                  <c:v>0.456630508763714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9528952"/>
        <c:axId val="-2019525656"/>
      </c:barChart>
      <c:catAx>
        <c:axId val="-2019528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9525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9525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95289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0.0123797377690802</c:v>
                </c:pt>
                <c:pt idx="1">
                  <c:v>0.00247594755381605</c:v>
                </c:pt>
                <c:pt idx="2" formatCode="0.0%">
                  <c:v>0.00247594755381605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0.0024804054438712</c:v>
                </c:pt>
                <c:pt idx="1">
                  <c:v>0.000496081088774239</c:v>
                </c:pt>
                <c:pt idx="2" formatCode="0.0%">
                  <c:v>0.000496081088774239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0.00921294583290975</c:v>
                </c:pt>
                <c:pt idx="1">
                  <c:v>0.00184258916658195</c:v>
                </c:pt>
                <c:pt idx="2" formatCode="0.0%">
                  <c:v>0.00184258916658195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0.0258333333333333</c:v>
                </c:pt>
                <c:pt idx="1">
                  <c:v>0.00516666666666667</c:v>
                </c:pt>
                <c:pt idx="2" formatCode="0.0%">
                  <c:v>0.00516666666666667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0.0676433898518311</c:v>
                </c:pt>
                <c:pt idx="1">
                  <c:v>0.0202930169555493</c:v>
                </c:pt>
                <c:pt idx="2" formatCode="0.0%">
                  <c:v>0.0202930169555493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0.0231623749345566</c:v>
                </c:pt>
                <c:pt idx="1">
                  <c:v>0.00463247498691133</c:v>
                </c:pt>
                <c:pt idx="2" formatCode="0.0%">
                  <c:v>0.00463247498691133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0.00712262497776196</c:v>
                </c:pt>
                <c:pt idx="1">
                  <c:v>0.00142452499555239</c:v>
                </c:pt>
                <c:pt idx="2" formatCode="0.0%">
                  <c:v>0.00178065624444049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0.0118200425064173</c:v>
                </c:pt>
                <c:pt idx="1">
                  <c:v>0.00236400850128345</c:v>
                </c:pt>
                <c:pt idx="2" formatCode="0.0%">
                  <c:v>0.0025420741257275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0.00327853505985208</c:v>
                </c:pt>
                <c:pt idx="1">
                  <c:v>0.000655707011970417</c:v>
                </c:pt>
                <c:pt idx="2" formatCode="0.0%">
                  <c:v>0.000667475380588101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0.005456216229954</c:v>
                </c:pt>
                <c:pt idx="1">
                  <c:v>0.0010912432459908</c:v>
                </c:pt>
                <c:pt idx="2" formatCode="0.0%">
                  <c:v>0.00127715989783211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0.00253339626909294</c:v>
                </c:pt>
                <c:pt idx="1">
                  <c:v>0.000506679253818588</c:v>
                </c:pt>
                <c:pt idx="2" formatCode="0.0%">
                  <c:v>0.000506679253818588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Tomatoes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0.00369858701298701</c:v>
                </c:pt>
                <c:pt idx="1">
                  <c:v>0.000739717402597402</c:v>
                </c:pt>
                <c:pt idx="2" formatCode="0.0%">
                  <c:v>0.000743453392634762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0.0178723298885557</c:v>
                </c:pt>
                <c:pt idx="1">
                  <c:v>0.00357446597771113</c:v>
                </c:pt>
                <c:pt idx="2" formatCode="0.0%">
                  <c:v>0.00357446597771113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0.0029545703611457</c:v>
                </c:pt>
                <c:pt idx="1">
                  <c:v>0.000590914072229141</c:v>
                </c:pt>
                <c:pt idx="2" formatCode="0.0%">
                  <c:v>0.000590914072229141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0.00868491727450631</c:v>
                </c:pt>
                <c:pt idx="1">
                  <c:v>0.00173698345490126</c:v>
                </c:pt>
                <c:pt idx="2" formatCode="0.0%">
                  <c:v>0.00177274221668742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0.000749393702188222</c:v>
                </c:pt>
                <c:pt idx="1">
                  <c:v>0.000749393702188222</c:v>
                </c:pt>
                <c:pt idx="2" formatCode="0.0%">
                  <c:v>0.00116279070195949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  <c:pt idx="0">
                  <c:v>Labour: Land prep &amp; weeding, slaughtering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  <c:pt idx="0">
                  <c:v>Labour: Harvesting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0.0168987769080235</c:v>
                </c:pt>
                <c:pt idx="1">
                  <c:v>0.00844938845401174</c:v>
                </c:pt>
                <c:pt idx="2" formatCode="0.0%">
                  <c:v>0.00844938845401174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0.000804305283757338</c:v>
                </c:pt>
                <c:pt idx="1">
                  <c:v>0.000804305283757338</c:v>
                </c:pt>
                <c:pt idx="2" formatCode="0.0%">
                  <c:v>0.000804305283757338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0.111249783670807</c:v>
                </c:pt>
                <c:pt idx="1">
                  <c:v>0.111249783670807</c:v>
                </c:pt>
                <c:pt idx="2" formatCode="0.0%">
                  <c:v>0.111249783670807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0.0238152968460111</c:v>
                </c:pt>
                <c:pt idx="1">
                  <c:v>0.0238152968460111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0.0185597916740793</c:v>
                </c:pt>
                <c:pt idx="1">
                  <c:v>0.0185597916740793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0.186749208121204</c:v>
                </c:pt>
                <c:pt idx="1">
                  <c:v>0.186749208121204</c:v>
                </c:pt>
                <c:pt idx="2" formatCode="0.0%">
                  <c:v>0.224684313288791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0.647128448828373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6679688"/>
        <c:axId val="-2016906472"/>
      </c:barChart>
      <c:catAx>
        <c:axId val="-2016679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6906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6906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66796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0.00433970004483188</c:v>
                </c:pt>
                <c:pt idx="1">
                  <c:v>0.00433970004483188</c:v>
                </c:pt>
                <c:pt idx="2">
                  <c:v>0.00842412361643835</c:v>
                </c:pt>
                <c:pt idx="3">
                  <c:v>0.00842412361643835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0.00815163479807863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0.00516471616850952</c:v>
                </c:pt>
                <c:pt idx="1">
                  <c:v>0.00594580926088881</c:v>
                </c:pt>
                <c:pt idx="2">
                  <c:v>0.00331008322564526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0.0070606374956009</c:v>
                </c:pt>
                <c:pt idx="1">
                  <c:v>0.0081284629085896</c:v>
                </c:pt>
                <c:pt idx="2">
                  <c:v>0.00452518531009521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0.0466871942936223</c:v>
                </c:pt>
                <c:pt idx="1">
                  <c:v>0.0537479975934563</c:v>
                </c:pt>
                <c:pt idx="2">
                  <c:v>0.0299219731814146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0.0235042675350294</c:v>
                </c:pt>
                <c:pt idx="3">
                  <c:v>0.01157672878591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0.00715265673367728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0.000593276965842377</c:v>
                </c:pt>
                <c:pt idx="1">
                  <c:v>0.000593276965842377</c:v>
                </c:pt>
                <c:pt idx="2">
                  <c:v>0.000593276965842377</c:v>
                </c:pt>
                <c:pt idx="3">
                  <c:v>0.000593276965842377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0.00503341542074364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0.00197639949759473</c:v>
                </c:pt>
                <c:pt idx="1">
                  <c:v>0.0011861085050169</c:v>
                </c:pt>
                <c:pt idx="2">
                  <c:v>0.00158125400130582</c:v>
                </c:pt>
                <c:pt idx="3">
                  <c:v>0.00197639949759473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0.224684313288791</c:v>
                </c:pt>
                <c:pt idx="1">
                  <c:v>0.224684313288791</c:v>
                </c:pt>
                <c:pt idx="2">
                  <c:v>0.224684313288791</c:v>
                </c:pt>
                <c:pt idx="3">
                  <c:v>0.224684313288791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0.00116145153825289</c:v>
                </c:pt>
                <c:pt idx="3">
                  <c:v>-0.0533320101282388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6496072"/>
        <c:axId val="-2146352504"/>
      </c:barChart>
      <c:catAx>
        <c:axId val="-201649607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635250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46352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4960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0.00168364433659491</c:v>
                </c:pt>
                <c:pt idx="1">
                  <c:v>0.00168364433659491</c:v>
                </c:pt>
                <c:pt idx="2">
                  <c:v>0.00326825077103718</c:v>
                </c:pt>
                <c:pt idx="3">
                  <c:v>0.00326825077103718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0.00198432435509696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0.0073703566663278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0.0206666666666667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0.0811720678221974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0.0124150329649224</c:v>
                </c:pt>
                <c:pt idx="3">
                  <c:v>0.00611486698272295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0.00712262497776196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0.01016829650291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0.000667475380588101</c:v>
                </c:pt>
                <c:pt idx="1">
                  <c:v>0.000667475380588101</c:v>
                </c:pt>
                <c:pt idx="2">
                  <c:v>0.000667475380588101</c:v>
                </c:pt>
                <c:pt idx="3">
                  <c:v>0.000667475380588101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0.033797553816047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0.000946184735812133</c:v>
                </c:pt>
                <c:pt idx="1">
                  <c:v>0.000567839530332681</c:v>
                </c:pt>
                <c:pt idx="2">
                  <c:v>0.000757012133072407</c:v>
                </c:pt>
                <c:pt idx="3">
                  <c:v>0.000946184735812133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0.224684313288791</c:v>
                </c:pt>
                <c:pt idx="1">
                  <c:v>0.224684313288791</c:v>
                </c:pt>
                <c:pt idx="2">
                  <c:v>0.224684313288791</c:v>
                </c:pt>
                <c:pt idx="3">
                  <c:v>0.224684313288791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-0.189033962941593</c:v>
                </c:pt>
                <c:pt idx="1">
                  <c:v>-0.191385927423536</c:v>
                </c:pt>
                <c:pt idx="2">
                  <c:v>-0.186681998459649</c:v>
                </c:pt>
                <c:pt idx="3">
                  <c:v>-0.162503803585269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6774072"/>
        <c:axId val="-2016815432"/>
      </c:barChart>
      <c:catAx>
        <c:axId val="-201677407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81543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6815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7740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0.00814371341743794</c:v>
                </c:pt>
                <c:pt idx="1">
                  <c:v>0.00814371341743794</c:v>
                </c:pt>
                <c:pt idx="2">
                  <c:v>0.0158083848691442</c:v>
                </c:pt>
                <c:pt idx="3">
                  <c:v>0.0158083848691442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0.0150161693648817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0.0371417129641396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0.0191428571428571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0.183326283834031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0.0183227621486934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0.0231660443325241</c:v>
                </c:pt>
                <c:pt idx="3">
                  <c:v>0.0114101412384074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0.019293008974872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0.00189156750660539</c:v>
                </c:pt>
                <c:pt idx="1">
                  <c:v>0.00189156750660539</c:v>
                </c:pt>
                <c:pt idx="2">
                  <c:v>0.00189156750660539</c:v>
                </c:pt>
                <c:pt idx="3">
                  <c:v>0.00189156750660539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0.0145660107464935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0.00146138006044942</c:v>
                </c:pt>
                <c:pt idx="1">
                  <c:v>0.00087702679588345</c:v>
                </c:pt>
                <c:pt idx="2">
                  <c:v>0.00116920342816644</c:v>
                </c:pt>
                <c:pt idx="3">
                  <c:v>0.00146138006044942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0.0131181447771216</c:v>
                </c:pt>
                <c:pt idx="3">
                  <c:v>0.0131181447771216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0.227210559994694</c:v>
                </c:pt>
                <c:pt idx="1">
                  <c:v>0.227210559994694</c:v>
                </c:pt>
                <c:pt idx="2">
                  <c:v>0.227210559994694</c:v>
                </c:pt>
                <c:pt idx="3">
                  <c:v>0.227210559994694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0.401723068199584</c:v>
                </c:pt>
                <c:pt idx="1">
                  <c:v>0.640948028579</c:v>
                </c:pt>
                <c:pt idx="2">
                  <c:v>0.616000000360237</c:v>
                </c:pt>
                <c:pt idx="3">
                  <c:v>0.597881546710696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7173432"/>
        <c:axId val="-2017017096"/>
      </c:barChart>
      <c:catAx>
        <c:axId val="-201717343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01709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7017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1734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0.0121481519053919</c:v>
                </c:pt>
                <c:pt idx="1">
                  <c:v>0.0121481519053919</c:v>
                </c:pt>
                <c:pt idx="2">
                  <c:v>0.0235817066398783</c:v>
                </c:pt>
                <c:pt idx="3">
                  <c:v>0.0235817066398783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0.0124419689023305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0.0698208884836624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0.0424605145786385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0.211470615996748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0.0309224340864615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0.0333521034975685</c:v>
                </c:pt>
                <c:pt idx="3">
                  <c:v>0.0164271554540263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0.0338466530024403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0.00409642487678989</c:v>
                </c:pt>
                <c:pt idx="1">
                  <c:v>0.00409642487678989</c:v>
                </c:pt>
                <c:pt idx="2">
                  <c:v>0.00409642487678989</c:v>
                </c:pt>
                <c:pt idx="3">
                  <c:v>0.00409642487678989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0.00785126901010923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0.0015695592688178</c:v>
                </c:pt>
                <c:pt idx="1">
                  <c:v>0.000941949034159611</c:v>
                </c:pt>
                <c:pt idx="2">
                  <c:v>0.00125575415148871</c:v>
                </c:pt>
                <c:pt idx="3">
                  <c:v>0.0015695592688178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0.0480118520442681</c:v>
                </c:pt>
                <c:pt idx="3">
                  <c:v>0.0480118520442681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0.272666800173064</c:v>
                </c:pt>
                <c:pt idx="1">
                  <c:v>0.272666800173064</c:v>
                </c:pt>
                <c:pt idx="2">
                  <c:v>0.272666800173064</c:v>
                </c:pt>
                <c:pt idx="3">
                  <c:v>0.272666800173064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0.271496943542403</c:v>
                </c:pt>
                <c:pt idx="1">
                  <c:v>0.592952353920131</c:v>
                </c:pt>
                <c:pt idx="2">
                  <c:v>0.533687691528919</c:v>
                </c:pt>
                <c:pt idx="3">
                  <c:v>0.530005596542693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7300856"/>
        <c:axId val="-2017302136"/>
      </c:barChart>
      <c:catAx>
        <c:axId val="-201730085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30213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7302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3008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Other: 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3.49342452932235E-5</c:v>
                </c:pt>
                <c:pt idx="1">
                  <c:v>8.24448188920075E-6</c:v>
                </c:pt>
                <c:pt idx="2">
                  <c:v>8.24448188920075E-6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0.0506546556751741</c:v>
                </c:pt>
                <c:pt idx="1">
                  <c:v>0.0298862468483527</c:v>
                </c:pt>
                <c:pt idx="2">
                  <c:v>0.0298862468483527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0.00262006839699176</c:v>
                </c:pt>
                <c:pt idx="1">
                  <c:v>0.00154584035422514</c:v>
                </c:pt>
                <c:pt idx="2">
                  <c:v>0.00154584035422514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0.0109710997343369</c:v>
                </c:pt>
                <c:pt idx="1">
                  <c:v>0.00647294884325874</c:v>
                </c:pt>
                <c:pt idx="2">
                  <c:v>0.00375020869935019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0.00908290377623812</c:v>
                </c:pt>
                <c:pt idx="1">
                  <c:v>0.00535891322798049</c:v>
                </c:pt>
                <c:pt idx="2">
                  <c:v>0.00535891322798049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0.0016104687080176</c:v>
                </c:pt>
                <c:pt idx="1">
                  <c:v>0.00190035307546077</c:v>
                </c:pt>
                <c:pt idx="2">
                  <c:v>0.00190035307546077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Cowpeas, yams, amadumbe, chillies &amp; sugarcane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0.000880342981389233</c:v>
                </c:pt>
                <c:pt idx="1">
                  <c:v>0.000246496034788985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Sweet potatoes &amp;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0.000614842717160734</c:v>
                </c:pt>
                <c:pt idx="1">
                  <c:v>0.000172155960805006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Veg: spinach, carrots, beet root &amp; tomatoes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0.00214845608553325</c:v>
                </c:pt>
                <c:pt idx="1">
                  <c:v>0.000601567703949309</c:v>
                </c:pt>
                <c:pt idx="2">
                  <c:v>-0.000224976539688359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0.00427944504841988</c:v>
                </c:pt>
                <c:pt idx="1">
                  <c:v>0.00119824461355757</c:v>
                </c:pt>
                <c:pt idx="2">
                  <c:v>0.000366809575578847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0.00576415047338188</c:v>
                </c:pt>
                <c:pt idx="1">
                  <c:v>0.00161396213254693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0.00223579169876631</c:v>
                </c:pt>
                <c:pt idx="1">
                  <c:v>0.00263823420454424</c:v>
                </c:pt>
                <c:pt idx="2">
                  <c:v>0.00638947346413058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0.0934980141027835</c:v>
                </c:pt>
                <c:pt idx="1">
                  <c:v>0.0518913978270448</c:v>
                </c:pt>
                <c:pt idx="2">
                  <c:v>0.0518913978270448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0.0637200634148397</c:v>
                </c:pt>
                <c:pt idx="1">
                  <c:v>0.0353646351952361</c:v>
                </c:pt>
                <c:pt idx="2">
                  <c:v>0.035364635195236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0.0411525409554173</c:v>
                </c:pt>
                <c:pt idx="1">
                  <c:v>0.0329220327643339</c:v>
                </c:pt>
                <c:pt idx="2">
                  <c:v>0.0395064393172006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0.0490476803916858</c:v>
                </c:pt>
                <c:pt idx="1">
                  <c:v>0.0463010102897514</c:v>
                </c:pt>
                <c:pt idx="2">
                  <c:v>0.0463010102897514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0.548074882476478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0.0482826204197642</c:v>
                </c:pt>
                <c:pt idx="1">
                  <c:v>0.0569734920953218</c:v>
                </c:pt>
                <c:pt idx="2">
                  <c:v>0.0569734920953218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0.065327038698328</c:v>
                </c:pt>
                <c:pt idx="1">
                  <c:v>0.0725130129551441</c:v>
                </c:pt>
                <c:pt idx="2">
                  <c:v>0.0725130129551441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5968424"/>
        <c:axId val="-2015694232"/>
      </c:barChart>
      <c:catAx>
        <c:axId val="-2015968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5694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5694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59684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Q8" sqref="Q8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ZA2XX: 59200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5" t="str">
        <f>Poor!Z1</f>
        <v>Apr-Jun</v>
      </c>
      <c r="AA1" s="256"/>
      <c r="AB1" s="255" t="str">
        <f>Poor!AB1</f>
        <v>Jul-Sep</v>
      </c>
      <c r="AC1" s="256"/>
      <c r="AD1" s="255" t="str">
        <f>Poor!AD1</f>
        <v>Oct-Dec</v>
      </c>
      <c r="AE1" s="256"/>
      <c r="AF1" s="255" t="str">
        <f>Poor!AF1</f>
        <v>Jan-Mar</v>
      </c>
      <c r="AG1" s="256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v>1.2379737769080234E-2</v>
      </c>
      <c r="C6" s="215">
        <v>0</v>
      </c>
      <c r="D6" s="24">
        <f t="shared" ref="D6:D28" si="0">(B6+C6)</f>
        <v>1.2379737769080234E-2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2.4759475538160469E-3</v>
      </c>
      <c r="J6" s="24">
        <f t="shared" ref="J6:J13" si="3">IF(I$32&lt;=1+I$131,I6,B6*H6+J$33*(I6-B6*H6))</f>
        <v>2.4759475538160469E-3</v>
      </c>
      <c r="K6" s="22">
        <f t="shared" ref="K6:K31" si="4">B6</f>
        <v>1.2379737769080234E-2</v>
      </c>
      <c r="L6" s="22">
        <f t="shared" ref="L6:L29" si="5">IF(K6="","",K6*H6)</f>
        <v>2.4759475538160469E-3</v>
      </c>
      <c r="M6" s="177">
        <f t="shared" ref="M6:M31" si="6">J6</f>
        <v>2.4759475538160469E-3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9.9037902152641875E-3</v>
      </c>
      <c r="Z6" s="156">
        <f>Poor!Z6</f>
        <v>0.17</v>
      </c>
      <c r="AA6" s="121">
        <f>$M6*Z6*4</f>
        <v>1.6836443365949121E-3</v>
      </c>
      <c r="AB6" s="156">
        <f>Poor!AB6</f>
        <v>0.17</v>
      </c>
      <c r="AC6" s="121">
        <f t="shared" ref="AC6:AC29" si="7">$M6*AB6*4</f>
        <v>1.6836443365949121E-3</v>
      </c>
      <c r="AD6" s="156">
        <f>Poor!AD6</f>
        <v>0.33</v>
      </c>
      <c r="AE6" s="121">
        <f t="shared" ref="AE6:AE29" si="8">$M6*AD6*4</f>
        <v>3.2682507710371819E-3</v>
      </c>
      <c r="AF6" s="122">
        <f>1-SUM(Z6,AB6,AD6)</f>
        <v>0.32999999999999996</v>
      </c>
      <c r="AG6" s="121">
        <f>$M6*AF6*4</f>
        <v>3.2682507710371815E-3</v>
      </c>
      <c r="AH6" s="123">
        <f>SUM(Z6,AB6,AD6,AF6)</f>
        <v>1</v>
      </c>
      <c r="AI6" s="183">
        <f>SUM(AA6,AC6,AE6,AG6)/4</f>
        <v>2.4759475538160469E-3</v>
      </c>
      <c r="AJ6" s="120">
        <f>(AA6+AC6)/2</f>
        <v>1.6836443365949121E-3</v>
      </c>
      <c r="AK6" s="119">
        <f>(AE6+AG6)/2</f>
        <v>3.2682507710371815E-3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v>2.4804054438711974E-3</v>
      </c>
      <c r="C7" s="215">
        <v>0</v>
      </c>
      <c r="D7" s="24">
        <f t="shared" si="0"/>
        <v>2.4804054438711974E-3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4.9608108877423947E-4</v>
      </c>
      <c r="J7" s="24">
        <f t="shared" si="3"/>
        <v>4.9608108877423947E-4</v>
      </c>
      <c r="K7" s="22">
        <f t="shared" si="4"/>
        <v>2.4804054438711974E-3</v>
      </c>
      <c r="L7" s="22">
        <f t="shared" si="5"/>
        <v>4.9608108877423947E-4</v>
      </c>
      <c r="M7" s="177">
        <f t="shared" si="6"/>
        <v>4.9608108877423947E-4</v>
      </c>
      <c r="N7" s="228">
        <v>3</v>
      </c>
      <c r="O7" s="2"/>
      <c r="P7" s="22"/>
      <c r="Q7" s="59" t="s">
        <v>194</v>
      </c>
      <c r="R7" s="221">
        <f>IF($B$81=0,0,(SUMIF($N$6:$N$28,$U7,K$6:K$28)+SUMIF($N$91:$N$118,$U7,K$91:K$118))*$B$83*$H$84*Poor!$B$81/$B$81)</f>
        <v>3341.4747240587867</v>
      </c>
      <c r="S7" s="221">
        <f>IF($B$81=0,0,(SUMIF($N$6:$N$28,$U7,L$6:L$28)+SUMIF($N$91:$N$118,$U7,L$91:L$118))*$I$83*Poor!$B$81/$B$81)</f>
        <v>875.97038113403744</v>
      </c>
      <c r="T7" s="221">
        <f>IF($B$81=0,0,(SUMIF($N$6:$N$28,$U7,M$6:M$28)+SUMIF($N$91:$N$118,$U7,M$91:M$118))*$I$83*Poor!$B$81/$B$81)</f>
        <v>891.76654571003712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1.9843243550969579E-3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1.9843243550969579E-3</v>
      </c>
      <c r="AH7" s="123">
        <f t="shared" ref="AH7:AH30" si="12">SUM(Z7,AB7,AD7,AF7)</f>
        <v>1</v>
      </c>
      <c r="AI7" s="183">
        <f t="shared" ref="AI7:AI30" si="13">SUM(AA7,AC7,AE7,AG7)/4</f>
        <v>4.9608108877423947E-4</v>
      </c>
      <c r="AJ7" s="120">
        <f t="shared" ref="AJ7:AJ31" si="14">(AA7+AC7)/2</f>
        <v>0</v>
      </c>
      <c r="AK7" s="119">
        <f t="shared" ref="AK7:AK31" si="15">(AE7+AG7)/2</f>
        <v>9.9216217754847895E-4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v>9.2129458329097517E-3</v>
      </c>
      <c r="C8" s="215">
        <v>0</v>
      </c>
      <c r="D8" s="24">
        <f t="shared" si="0"/>
        <v>9.2129458329097517E-3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1.8425891665819504E-3</v>
      </c>
      <c r="J8" s="24">
        <f t="shared" si="3"/>
        <v>1.8425891665819504E-3</v>
      </c>
      <c r="K8" s="22">
        <f t="shared" si="4"/>
        <v>9.2129458329097517E-3</v>
      </c>
      <c r="L8" s="22">
        <f t="shared" si="5"/>
        <v>1.8425891665819504E-3</v>
      </c>
      <c r="M8" s="223">
        <f t="shared" si="6"/>
        <v>1.8425891665819504E-3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302.95954297718129</v>
      </c>
      <c r="S8" s="221">
        <f>IF($B$81=0,0,(SUMIF($N$6:$N$28,$U8,L$6:L$28)+SUMIF($N$91:$N$118,$U8,L$91:L$118))*$I$83*Poor!$B$81/$B$81)</f>
        <v>56.731428571428566</v>
      </c>
      <c r="T8" s="221">
        <f>IF($B$81=0,0,(SUMIF($N$6:$N$28,$U8,M$6:M$28)+SUMIF($N$91:$N$118,$U8,M$91:M$118))*$I$83*Poor!$B$81/$B$81)</f>
        <v>10.971428571428575</v>
      </c>
      <c r="U8" s="222">
        <v>2</v>
      </c>
      <c r="V8" s="56"/>
      <c r="W8" s="115"/>
      <c r="X8" s="118">
        <f>Poor!X8</f>
        <v>1</v>
      </c>
      <c r="Y8" s="183">
        <f t="shared" si="9"/>
        <v>7.3703566663278017E-3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7.3703566663278017E-3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1.8425891665819504E-3</v>
      </c>
      <c r="AJ8" s="120">
        <f t="shared" si="14"/>
        <v>3.6851783331639009E-3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215">
        <v>2.5833333333333337E-2</v>
      </c>
      <c r="C9" s="215">
        <v>0</v>
      </c>
      <c r="D9" s="24">
        <f t="shared" si="0"/>
        <v>2.5833333333333337E-2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5.1666666666666675E-3</v>
      </c>
      <c r="J9" s="24">
        <f t="shared" si="3"/>
        <v>5.1666666666666675E-3</v>
      </c>
      <c r="K9" s="22">
        <f t="shared" si="4"/>
        <v>2.5833333333333337E-2</v>
      </c>
      <c r="L9" s="22">
        <f t="shared" si="5"/>
        <v>5.1666666666666675E-3</v>
      </c>
      <c r="M9" s="223">
        <f t="shared" si="6"/>
        <v>5.1666666666666675E-3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446.73706902364438</v>
      </c>
      <c r="S9" s="221">
        <f>IF($B$81=0,0,(SUMIF($N$6:$N$28,$U9,L$6:L$28)+SUMIF($N$91:$N$118,$U9,L$91:L$118))*$I$83*Poor!$B$81/$B$81)</f>
        <v>98.593204391897189</v>
      </c>
      <c r="T9" s="221">
        <f>IF($B$81=0,0,(SUMIF($N$6:$N$28,$U9,M$6:M$28)+SUMIF($N$91:$N$118,$U9,M$91:M$118))*$I$83*Poor!$B$81/$B$81)</f>
        <v>98.593204391897189</v>
      </c>
      <c r="U9" s="222">
        <v>3</v>
      </c>
      <c r="V9" s="56"/>
      <c r="W9" s="115"/>
      <c r="X9" s="118">
        <f>Poor!X9</f>
        <v>1</v>
      </c>
      <c r="Y9" s="183">
        <f t="shared" si="9"/>
        <v>2.066666666666667E-2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2.066666666666667E-2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5.1666666666666675E-3</v>
      </c>
      <c r="AJ9" s="120">
        <f t="shared" si="14"/>
        <v>1.0333333333333335E-2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v>6.7643389851831145E-2</v>
      </c>
      <c r="C10" s="215">
        <v>0</v>
      </c>
      <c r="D10" s="24">
        <f t="shared" si="0"/>
        <v>6.7643389851831145E-2</v>
      </c>
      <c r="E10" s="75">
        <f>Poor!E10</f>
        <v>0.3</v>
      </c>
      <c r="H10" s="24">
        <f t="shared" si="1"/>
        <v>0.3</v>
      </c>
      <c r="I10" s="22">
        <f t="shared" si="2"/>
        <v>2.0293016955549342E-2</v>
      </c>
      <c r="J10" s="24">
        <f t="shared" si="3"/>
        <v>2.0293016955549342E-2</v>
      </c>
      <c r="K10" s="22">
        <f t="shared" si="4"/>
        <v>6.7643389851831145E-2</v>
      </c>
      <c r="L10" s="22">
        <f t="shared" si="5"/>
        <v>2.0293016955549342E-2</v>
      </c>
      <c r="M10" s="223">
        <f t="shared" si="6"/>
        <v>2.0293016955549342E-2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8.1172067822197366E-2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8.1172067822197366E-2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2.0293016955549342E-2</v>
      </c>
      <c r="AJ10" s="120">
        <f t="shared" si="14"/>
        <v>4.0586033911098683E-2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Sorghum: kg produced</v>
      </c>
      <c r="B11" s="215">
        <v>0</v>
      </c>
      <c r="C11" s="215">
        <v>0</v>
      </c>
      <c r="D11" s="24">
        <f t="shared" si="0"/>
        <v>0</v>
      </c>
      <c r="E11" s="75">
        <f>Poor!E11</f>
        <v>0.3</v>
      </c>
      <c r="H11" s="24">
        <f t="shared" si="1"/>
        <v>0.3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582.23892828410749</v>
      </c>
      <c r="S11" s="221">
        <f>IF($B$81=0,0,(SUMIF($N$6:$N$28,$U11,L$6:L$28)+SUMIF($N$91:$N$118,$U11,L$91:L$118))*$I$83*Poor!$B$81/$B$81)</f>
        <v>275.49387755102038</v>
      </c>
      <c r="T11" s="221">
        <f>IF($B$81=0,0,(SUMIF($N$6:$N$28,$U11,M$6:M$28)+SUMIF($N$91:$N$118,$U11,M$91:M$118))*$I$83*Poor!$B$81/$B$81)</f>
        <v>275.49387755102038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215">
        <v>2.3162374934556636E-2</v>
      </c>
      <c r="C12" s="215">
        <v>0</v>
      </c>
      <c r="D12" s="24">
        <f t="shared" si="0"/>
        <v>2.3162374934556636E-2</v>
      </c>
      <c r="E12" s="75">
        <f>Poor!E12</f>
        <v>0.2</v>
      </c>
      <c r="H12" s="24">
        <f t="shared" si="1"/>
        <v>0.2</v>
      </c>
      <c r="I12" s="22">
        <f t="shared" si="2"/>
        <v>4.6324749869113271E-3</v>
      </c>
      <c r="J12" s="24">
        <f t="shared" si="3"/>
        <v>4.6324749869113271E-3</v>
      </c>
      <c r="K12" s="22">
        <f t="shared" si="4"/>
        <v>2.3162374934556636E-2</v>
      </c>
      <c r="L12" s="22">
        <f t="shared" si="5"/>
        <v>4.6324749869113271E-3</v>
      </c>
      <c r="M12" s="223">
        <f t="shared" si="6"/>
        <v>4.6324749869113271E-3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333.71108722934315</v>
      </c>
      <c r="S12" s="221">
        <f>IF($B$81=0,0,(SUMIF($N$6:$N$28,$U12,L$6:L$28)+SUMIF($N$91:$N$118,$U12,L$91:L$118))*$I$83*Poor!$B$81/$B$81)</f>
        <v>267.72151052607745</v>
      </c>
      <c r="T12" s="221">
        <f>IF($B$81=0,0,(SUMIF($N$6:$N$28,$U12,M$6:M$28)+SUMIF($N$91:$N$118,$U12,M$91:M$118))*$I$83*Poor!$B$81/$B$81)</f>
        <v>645.11762024323525</v>
      </c>
      <c r="U12" s="222">
        <v>6</v>
      </c>
      <c r="V12" s="56"/>
      <c r="W12" s="117"/>
      <c r="X12" s="118">
        <v>1</v>
      </c>
      <c r="Y12" s="183">
        <f t="shared" si="9"/>
        <v>1.8529899947645308E-2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1.2415032964922357E-2</v>
      </c>
      <c r="AF12" s="122">
        <f>1-SUM(Z12,AB12,AD12)</f>
        <v>0.32999999999999996</v>
      </c>
      <c r="AG12" s="121">
        <f>$M12*AF12*4</f>
        <v>6.1148669827229508E-3</v>
      </c>
      <c r="AH12" s="123">
        <f t="shared" si="12"/>
        <v>1</v>
      </c>
      <c r="AI12" s="183">
        <f t="shared" si="13"/>
        <v>4.6324749869113271E-3</v>
      </c>
      <c r="AJ12" s="120">
        <f t="shared" si="14"/>
        <v>0</v>
      </c>
      <c r="AK12" s="119">
        <f t="shared" si="15"/>
        <v>9.2649499738226542E-3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Cassava: no. local meas.</v>
      </c>
      <c r="B13" s="215">
        <v>7.1226249777619644E-3</v>
      </c>
      <c r="C13" s="215">
        <v>1.7806562444404911E-3</v>
      </c>
      <c r="D13" s="24">
        <f t="shared" si="0"/>
        <v>8.9032812222024551E-3</v>
      </c>
      <c r="E13" s="75">
        <f>Poor!E13</f>
        <v>0.2</v>
      </c>
      <c r="H13" s="24">
        <f t="shared" si="1"/>
        <v>0.2</v>
      </c>
      <c r="I13" s="22">
        <f t="shared" si="2"/>
        <v>1.7806562444404911E-3</v>
      </c>
      <c r="J13" s="24">
        <f t="shared" si="3"/>
        <v>1.7806562444404911E-3</v>
      </c>
      <c r="K13" s="22">
        <f t="shared" si="4"/>
        <v>7.1226249777619644E-3</v>
      </c>
      <c r="L13" s="22">
        <f t="shared" si="5"/>
        <v>1.4245249955523931E-3</v>
      </c>
      <c r="M13" s="224">
        <f t="shared" si="6"/>
        <v>1.7806562444404911E-3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8702.9667565955206</v>
      </c>
      <c r="S13" s="221">
        <f>IF($B$81=0,0,(SUMIF($N$6:$N$28,$U13,L$6:L$28)+SUMIF($N$91:$N$118,$U13,L$91:L$118))*$I$83*Poor!$B$81/$B$81)</f>
        <v>3286.9154265812808</v>
      </c>
      <c r="T13" s="221">
        <f>IF($B$81=0,0,(SUMIF($N$6:$N$28,$U13,M$6:M$28)+SUMIF($N$91:$N$118,$U13,M$91:M$118))*$I$83*Poor!$B$81/$B$81)</f>
        <v>3286.9154265812808</v>
      </c>
      <c r="U13" s="222">
        <v>7</v>
      </c>
      <c r="V13" s="56"/>
      <c r="W13" s="110"/>
      <c r="X13" s="118"/>
      <c r="Y13" s="183">
        <f t="shared" si="9"/>
        <v>7.1226249777619644E-3</v>
      </c>
      <c r="Z13" s="156">
        <f>Poor!Z13</f>
        <v>1</v>
      </c>
      <c r="AA13" s="121">
        <f>$M13*Z13*4</f>
        <v>7.1226249777619644E-3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1.7806562444404911E-3</v>
      </c>
      <c r="AJ13" s="120">
        <f t="shared" si="14"/>
        <v>3.5613124888809822E-3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Sweetpotatoes: no. local meas.</v>
      </c>
      <c r="B14" s="215">
        <v>1.1820042506417262E-2</v>
      </c>
      <c r="C14" s="215">
        <v>8.9032812222024555E-4</v>
      </c>
      <c r="D14" s="24">
        <f t="shared" si="0"/>
        <v>1.2710370628637507E-2</v>
      </c>
      <c r="E14" s="75">
        <f>Poor!E14</f>
        <v>0.2</v>
      </c>
      <c r="F14" s="22"/>
      <c r="H14" s="24">
        <f t="shared" si="1"/>
        <v>0.2</v>
      </c>
      <c r="I14" s="22">
        <f t="shared" si="2"/>
        <v>2.5420741257275014E-3</v>
      </c>
      <c r="J14" s="24">
        <f>IF(I$32&lt;=1+I131,I14,B14*H14+J$33*(I14-B14*H14))</f>
        <v>2.5420741257275014E-3</v>
      </c>
      <c r="K14" s="22">
        <f t="shared" si="4"/>
        <v>1.1820042506417262E-2</v>
      </c>
      <c r="L14" s="22">
        <f t="shared" si="5"/>
        <v>2.3640085012834526E-3</v>
      </c>
      <c r="M14" s="224">
        <f t="shared" si="6"/>
        <v>2.5420741257275014E-3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1.0168296502910006E-2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1.0168296502910006E-2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2.5420741257275014E-3</v>
      </c>
      <c r="AJ14" s="120">
        <f t="shared" si="14"/>
        <v>5.0841482514550028E-3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Cabbage: no. local meas</v>
      </c>
      <c r="B15" s="215">
        <v>3.278535059852085E-3</v>
      </c>
      <c r="C15" s="215">
        <v>5.8841843088418382E-5</v>
      </c>
      <c r="D15" s="24">
        <f t="shared" si="0"/>
        <v>3.3373769029405036E-3</v>
      </c>
      <c r="E15" s="75">
        <f>Poor!E15</f>
        <v>0.2</v>
      </c>
      <c r="F15" s="22"/>
      <c r="H15" s="24">
        <f t="shared" si="1"/>
        <v>0.2</v>
      </c>
      <c r="I15" s="22">
        <f t="shared" si="2"/>
        <v>6.674753805881008E-4</v>
      </c>
      <c r="J15" s="24">
        <f t="shared" ref="J15:J25" si="17">IF(I$32&lt;=1+I131,I15,B15*H15+J$33*(I15-B15*H15))</f>
        <v>6.674753805881008E-4</v>
      </c>
      <c r="K15" s="22">
        <f t="shared" si="4"/>
        <v>3.278535059852085E-3</v>
      </c>
      <c r="L15" s="22">
        <f t="shared" si="5"/>
        <v>6.5570701197041701E-4</v>
      </c>
      <c r="M15" s="225">
        <f t="shared" si="6"/>
        <v>6.674753805881008E-4</v>
      </c>
      <c r="N15" s="228">
        <v>1</v>
      </c>
      <c r="O15" s="2"/>
      <c r="P15" s="22"/>
      <c r="Q15" s="59" t="s">
        <v>128</v>
      </c>
      <c r="R15" s="221">
        <f>IF($B$81=0,0,(SUMIF($N$6:$N$28,$U15,K$6:K$28)+SUMIF($N$91:$N$118,$U15,K$91:K$118))*$B$83*$H$84*Poor!$B$81/$B$81)</f>
        <v>4950.8618304409656</v>
      </c>
      <c r="S15" s="221">
        <f>IF($B$81=0,0,(SUMIF($N$6:$N$28,$U15,L$6:L$28)+SUMIF($N$91:$N$118,$U15,L$91:L$118))*$I$83*Poor!$B$81/$B$81)</f>
        <v>3907.0040816326537</v>
      </c>
      <c r="T15" s="221">
        <f>IF($B$81=0,0,(SUMIF($N$6:$N$28,$U15,M$6:M$28)+SUMIF($N$91:$N$118,$U15,M$91:M$118))*$I$83*Poor!$B$81/$B$81)</f>
        <v>3907.0040816326537</v>
      </c>
      <c r="U15" s="222">
        <v>9</v>
      </c>
      <c r="V15" s="56"/>
      <c r="W15" s="110"/>
      <c r="X15" s="118"/>
      <c r="Y15" s="183">
        <f t="shared" si="9"/>
        <v>2.6699015223524032E-3</v>
      </c>
      <c r="Z15" s="156">
        <f>Poor!Z15</f>
        <v>0.25</v>
      </c>
      <c r="AA15" s="121">
        <f t="shared" si="16"/>
        <v>6.674753805881008E-4</v>
      </c>
      <c r="AB15" s="156">
        <f>Poor!AB15</f>
        <v>0.25</v>
      </c>
      <c r="AC15" s="121">
        <f t="shared" si="7"/>
        <v>6.674753805881008E-4</v>
      </c>
      <c r="AD15" s="156">
        <f>Poor!AD15</f>
        <v>0.25</v>
      </c>
      <c r="AE15" s="121">
        <f t="shared" si="8"/>
        <v>6.674753805881008E-4</v>
      </c>
      <c r="AF15" s="122">
        <f t="shared" si="10"/>
        <v>0.25</v>
      </c>
      <c r="AG15" s="121">
        <f t="shared" si="11"/>
        <v>6.674753805881008E-4</v>
      </c>
      <c r="AH15" s="123">
        <f t="shared" si="12"/>
        <v>1</v>
      </c>
      <c r="AI15" s="183">
        <f t="shared" si="13"/>
        <v>6.674753805881008E-4</v>
      </c>
      <c r="AJ15" s="120">
        <f t="shared" si="14"/>
        <v>6.674753805881008E-4</v>
      </c>
      <c r="AK15" s="119">
        <f t="shared" si="15"/>
        <v>6.674753805881008E-4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 xml:space="preserve">Potatoes: no. local meas </v>
      </c>
      <c r="B16" s="215">
        <v>5.4562162299540001E-3</v>
      </c>
      <c r="C16" s="215">
        <v>9.2958325920654685E-4</v>
      </c>
      <c r="D16" s="24">
        <f t="shared" ref="D16:D25" si="18">(B16+C16)</f>
        <v>6.3857994891605473E-3</v>
      </c>
      <c r="E16" s="75">
        <f>Poor!E16</f>
        <v>0.2</v>
      </c>
      <c r="F16" s="22"/>
      <c r="H16" s="24">
        <f t="shared" ref="H16:H25" si="19">(E16*F$7/F$9)</f>
        <v>0.2</v>
      </c>
      <c r="I16" s="22">
        <f t="shared" ref="I16:I25" si="20">(D16*H16)</f>
        <v>1.2771598978321096E-3</v>
      </c>
      <c r="J16" s="24">
        <f t="shared" si="17"/>
        <v>1.2771598978321096E-3</v>
      </c>
      <c r="K16" s="22">
        <f t="shared" ref="K16:K25" si="21">B16</f>
        <v>5.4562162299540001E-3</v>
      </c>
      <c r="L16" s="22">
        <f t="shared" ref="L16:L25" si="22">IF(K16="","",K16*H16)</f>
        <v>1.0912432459908E-3</v>
      </c>
      <c r="M16" s="225">
        <f t="shared" ref="M16:M25" si="23">J16</f>
        <v>1.2771598978321096E-3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3573.9949308508735</v>
      </c>
      <c r="S16" s="221">
        <f>IF($B$81=0,0,(SUMIF($N$6:$N$28,$U16,L$6:L$28)+SUMIF($N$91:$N$118,$U16,L$91:L$118))*$I$83*Poor!$B$81/$B$81)</f>
        <v>1912.1632653061226</v>
      </c>
      <c r="T16" s="221">
        <f>IF($B$81=0,0,(SUMIF($N$6:$N$28,$U16,M$6:M$28)+SUMIF($N$91:$N$118,$U16,M$91:M$118))*$I$83*Poor!$B$81/$B$81)</f>
        <v>2294.5959183673472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 xml:space="preserve">Pumpkin / butternut </v>
      </c>
      <c r="B17" s="215">
        <v>2.5333962690929422E-3</v>
      </c>
      <c r="C17" s="215">
        <v>0</v>
      </c>
      <c r="D17" s="24">
        <f t="shared" si="18"/>
        <v>2.5333962690929422E-3</v>
      </c>
      <c r="E17" s="75">
        <f>Poor!E17</f>
        <v>0.2</v>
      </c>
      <c r="F17" s="22"/>
      <c r="H17" s="24">
        <f t="shared" si="19"/>
        <v>0.2</v>
      </c>
      <c r="I17" s="22">
        <f t="shared" si="20"/>
        <v>5.0667925381858844E-4</v>
      </c>
      <c r="J17" s="24">
        <f t="shared" si="17"/>
        <v>5.0667925381858844E-4</v>
      </c>
      <c r="K17" s="22">
        <f t="shared" si="21"/>
        <v>2.5333962690929422E-3</v>
      </c>
      <c r="L17" s="22">
        <f t="shared" si="22"/>
        <v>5.0667925381858844E-4</v>
      </c>
      <c r="M17" s="225">
        <f t="shared" si="23"/>
        <v>5.0667925381858844E-4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878.85121250431325</v>
      </c>
      <c r="S17" s="221">
        <f>IF($B$81=0,0,(SUMIF($N$6:$N$28,$U17,L$6:L$28)+SUMIF($N$91:$N$118,$U17,L$91:L$118))*$I$83*Poor!$B$81/$B$81)</f>
        <v>554.84081632653067</v>
      </c>
      <c r="T17" s="221">
        <f>IF($B$81=0,0,(SUMIF($N$6:$N$28,$U17,M$6:M$28)+SUMIF($N$91:$N$118,$U17,M$91:M$118))*$I$83*Poor!$B$81/$B$81)</f>
        <v>554.84081632653067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Tomatoes</v>
      </c>
      <c r="B18" s="215">
        <v>3.6985870129870131E-3</v>
      </c>
      <c r="C18" s="215">
        <v>1.86799501867995E-5</v>
      </c>
      <c r="D18" s="24">
        <f t="shared" si="18"/>
        <v>3.7172669631738127E-3</v>
      </c>
      <c r="E18" s="75">
        <f>Poor!E18</f>
        <v>0.2</v>
      </c>
      <c r="F18" s="22"/>
      <c r="H18" s="24">
        <f t="shared" si="19"/>
        <v>0.2</v>
      </c>
      <c r="I18" s="22">
        <f t="shared" si="20"/>
        <v>7.4345339263476263E-4</v>
      </c>
      <c r="J18" s="24">
        <f t="shared" si="17"/>
        <v>7.4345339263476263E-4</v>
      </c>
      <c r="K18" s="22">
        <f t="shared" si="21"/>
        <v>3.6985870129870131E-3</v>
      </c>
      <c r="L18" s="22">
        <f t="shared" si="22"/>
        <v>7.3971740259740266E-4</v>
      </c>
      <c r="M18" s="225">
        <f t="shared" si="23"/>
        <v>7.4345339263476263E-4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2064.5211834646302</v>
      </c>
      <c r="S18" s="221">
        <f>IF($B$81=0,0,(SUMIF($N$6:$N$28,$U18,L$6:L$28)+SUMIF($N$91:$N$118,$U18,L$91:L$118))*$I$83*Poor!$B$81/$B$81)</f>
        <v>2278.1606131050276</v>
      </c>
      <c r="T18" s="221">
        <f>IF($B$81=0,0,(SUMIF($N$6:$N$28,$U18,M$6:M$28)+SUMIF($N$91:$N$118,$U18,M$91:M$118))*$I$83*Poor!$B$81/$B$81)</f>
        <v>2278.1606131050276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Groundnuts (dry): no. local meas</v>
      </c>
      <c r="B19" s="215">
        <v>1.7872329888555669E-2</v>
      </c>
      <c r="C19" s="215">
        <v>0</v>
      </c>
      <c r="D19" s="24">
        <f t="shared" si="18"/>
        <v>1.7872329888555669E-2</v>
      </c>
      <c r="E19" s="75">
        <f>Poor!E19</f>
        <v>0.2</v>
      </c>
      <c r="F19" s="22"/>
      <c r="H19" s="24">
        <f t="shared" si="19"/>
        <v>0.2</v>
      </c>
      <c r="I19" s="22">
        <f t="shared" si="20"/>
        <v>3.574465977711134E-3</v>
      </c>
      <c r="J19" s="24">
        <f t="shared" si="17"/>
        <v>3.574465977711134E-3</v>
      </c>
      <c r="K19" s="22">
        <f t="shared" si="21"/>
        <v>1.7872329888555669E-2</v>
      </c>
      <c r="L19" s="22">
        <f t="shared" si="22"/>
        <v>3.574465977711134E-3</v>
      </c>
      <c r="M19" s="225">
        <f t="shared" si="23"/>
        <v>3.574465977711134E-3</v>
      </c>
      <c r="N19" s="228">
        <v>1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14.925919327655198</v>
      </c>
      <c r="S19" s="221">
        <f>IF($B$81=0,0,(SUMIF($N$6:$N$28,$U19,L$6:L$28)+SUMIF($N$91:$N$118,$U19,L$91:L$118))*$I$83*Poor!$B$81/$B$81)</f>
        <v>16.470473540786369</v>
      </c>
      <c r="T19" s="221">
        <f>IF($B$81=0,0,(SUMIF($N$6:$N$28,$U19,M$6:M$28)+SUMIF($N$91:$N$118,$U19,M$91:M$118))*$I$83*Poor!$B$81/$B$81)</f>
        <v>16.470473540786369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Cowpeas: kg produced</v>
      </c>
      <c r="B20" s="215">
        <v>2.9545703611457037E-3</v>
      </c>
      <c r="C20" s="215">
        <v>0</v>
      </c>
      <c r="D20" s="24">
        <f t="shared" si="18"/>
        <v>2.9545703611457037E-3</v>
      </c>
      <c r="E20" s="75">
        <f>Poor!E20</f>
        <v>0.2</v>
      </c>
      <c r="F20" s="22"/>
      <c r="H20" s="24">
        <f t="shared" si="19"/>
        <v>0.2</v>
      </c>
      <c r="I20" s="22">
        <f t="shared" si="20"/>
        <v>5.9091407222914075E-4</v>
      </c>
      <c r="J20" s="24">
        <f t="shared" si="17"/>
        <v>5.9091407222914075E-4</v>
      </c>
      <c r="K20" s="22">
        <f t="shared" si="21"/>
        <v>2.9545703611457037E-3</v>
      </c>
      <c r="L20" s="22">
        <f t="shared" si="22"/>
        <v>5.9091407222914075E-4</v>
      </c>
      <c r="M20" s="225">
        <f t="shared" si="23"/>
        <v>5.9091407222914075E-4</v>
      </c>
      <c r="N20" s="228">
        <v>1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33527.373876317448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Onions: kg produced</v>
      </c>
      <c r="B21" s="215">
        <v>8.6849172745063156E-3</v>
      </c>
      <c r="C21" s="215">
        <v>1.7879380893079521E-4</v>
      </c>
      <c r="D21" s="24">
        <f t="shared" si="18"/>
        <v>8.8637110834371112E-3</v>
      </c>
      <c r="E21" s="75">
        <f>Poor!E21</f>
        <v>0.2</v>
      </c>
      <c r="F21" s="22"/>
      <c r="H21" s="24">
        <f t="shared" si="19"/>
        <v>0.2</v>
      </c>
      <c r="I21" s="22">
        <f t="shared" si="20"/>
        <v>1.7727422166874222E-3</v>
      </c>
      <c r="J21" s="24">
        <f t="shared" si="17"/>
        <v>1.7727422166874222E-3</v>
      </c>
      <c r="K21" s="22">
        <f t="shared" si="21"/>
        <v>8.6849172745063156E-3</v>
      </c>
      <c r="L21" s="22">
        <f t="shared" si="22"/>
        <v>1.7369834549012632E-3</v>
      </c>
      <c r="M21" s="225">
        <f t="shared" si="23"/>
        <v>1.7727422166874222E-3</v>
      </c>
      <c r="N21" s="228">
        <v>1</v>
      </c>
      <c r="O21" s="2"/>
      <c r="P21" s="22"/>
      <c r="Q21" s="59" t="s">
        <v>82</v>
      </c>
      <c r="R21" s="221">
        <f>IF($B$81=0,0,(SUMIF($N$6:$N$28,$U21,K$6:K$28)+SUMIF($N$91:$N$118,$U21,K$91:K$118))*$B$83*$H$84*Poor!$B$81/$B$81)</f>
        <v>2294.7781659834841</v>
      </c>
      <c r="S21" s="221">
        <f>IF($B$81=0,0,(SUMIF($N$6:$N$28,$U21,L$6:L$28)+SUMIF($N$91:$N$118,$U21,L$91:L$118))*$I$83*Poor!$B$81/$B$81)</f>
        <v>1703.5102040816328</v>
      </c>
      <c r="T21" s="221">
        <f>IF($B$81=0,0,(SUMIF($N$6:$N$28,$U21,M$6:M$28)+SUMIF($N$91:$N$118,$U21,M$91:M$118))*$I$83*Poor!$B$81/$B$81)</f>
        <v>1703.5102040816328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FISHING -- see worksheet Data 3</v>
      </c>
      <c r="B22" s="215">
        <v>7.4939370218822271E-4</v>
      </c>
      <c r="C22" s="215">
        <v>4.1339699977126595E-4</v>
      </c>
      <c r="D22" s="24">
        <f t="shared" si="18"/>
        <v>1.1627907019594887E-3</v>
      </c>
      <c r="E22" s="75">
        <f>Poor!E22</f>
        <v>1</v>
      </c>
      <c r="F22" s="22"/>
      <c r="H22" s="24">
        <f t="shared" si="19"/>
        <v>1</v>
      </c>
      <c r="I22" s="22">
        <f t="shared" si="20"/>
        <v>1.1627907019594887E-3</v>
      </c>
      <c r="J22" s="24">
        <f t="shared" si="17"/>
        <v>1.1627907019594887E-3</v>
      </c>
      <c r="K22" s="22">
        <f t="shared" si="21"/>
        <v>7.4939370218822271E-4</v>
      </c>
      <c r="L22" s="22">
        <f t="shared" si="22"/>
        <v>7.4939370218822271E-4</v>
      </c>
      <c r="M22" s="225">
        <f t="shared" si="23"/>
        <v>1.1627907019594887E-3</v>
      </c>
      <c r="N22" s="228">
        <v>6</v>
      </c>
      <c r="O22" s="2"/>
      <c r="P22" s="22"/>
      <c r="Q22" s="59" t="s">
        <v>83</v>
      </c>
      <c r="R22" s="221">
        <f>IF($B$81=0,0,(SUMIF($N$6:$N$28,$U22,K$6:K$28)+SUMIF($N$91:$N$118,$U22,K$91:K$118))*$B$83*$H$84*Poor!$B$81/$B$81)</f>
        <v>109.85640156303916</v>
      </c>
      <c r="S22" s="221">
        <f>IF($B$81=0,0,(SUMIF($N$6:$N$28,$U22,L$6:L$28)+SUMIF($N$91:$N$118,$U22,L$91:L$118))*$I$83*Poor!$B$81/$B$81)</f>
        <v>73.469387755102048</v>
      </c>
      <c r="T22" s="221">
        <f>IF($B$81=0,0,(SUMIF($N$6:$N$28,$U22,M$6:M$28)+SUMIF($N$91:$N$118,$U22,M$91:M$118))*$I$83*Poor!$B$81/$B$81)</f>
        <v>73.469387755102048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Labour: Land prep &amp; weeding, slaughtering</v>
      </c>
      <c r="B23" s="215">
        <v>0</v>
      </c>
      <c r="C23" s="215">
        <v>0</v>
      </c>
      <c r="D23" s="24">
        <f t="shared" si="18"/>
        <v>0</v>
      </c>
      <c r="E23" s="75">
        <f>Poor!E23</f>
        <v>0.5</v>
      </c>
      <c r="F23" s="22"/>
      <c r="H23" s="24">
        <f t="shared" si="19"/>
        <v>0.5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>
        <v>7</v>
      </c>
      <c r="O23" s="2"/>
      <c r="P23" s="22"/>
      <c r="Q23" s="171" t="s">
        <v>100</v>
      </c>
      <c r="R23" s="179">
        <f>SUM(R7:R22)</f>
        <v>61125.251628620994</v>
      </c>
      <c r="S23" s="179">
        <f>SUM(S7:S22)</f>
        <v>15307.044670503597</v>
      </c>
      <c r="T23" s="179">
        <f>SUM(T7:T22)</f>
        <v>16036.909597857979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Labour: Harvesting</v>
      </c>
      <c r="B24" s="215">
        <v>1.6898776908023484E-2</v>
      </c>
      <c r="C24" s="215">
        <v>0</v>
      </c>
      <c r="D24" s="24">
        <f t="shared" si="18"/>
        <v>1.6898776908023484E-2</v>
      </c>
      <c r="E24" s="75">
        <f>Poor!E24</f>
        <v>0.5</v>
      </c>
      <c r="F24" s="22"/>
      <c r="H24" s="24">
        <f t="shared" si="19"/>
        <v>0.5</v>
      </c>
      <c r="I24" s="22">
        <f t="shared" si="20"/>
        <v>8.4493884540117418E-3</v>
      </c>
      <c r="J24" s="24">
        <f t="shared" si="17"/>
        <v>8.4493884540117418E-3</v>
      </c>
      <c r="K24" s="22">
        <f t="shared" si="21"/>
        <v>1.6898776908023484E-2</v>
      </c>
      <c r="L24" s="22">
        <f t="shared" si="22"/>
        <v>8.4493884540117418E-3</v>
      </c>
      <c r="M24" s="225">
        <f t="shared" si="23"/>
        <v>8.4493884540117418E-3</v>
      </c>
      <c r="N24" s="228">
        <v>7</v>
      </c>
      <c r="O24" s="2"/>
      <c r="P24" s="22"/>
      <c r="Q24" s="59" t="s">
        <v>137</v>
      </c>
      <c r="R24" s="41">
        <f>IF($B$81=0,0,(SUM(($B$70*$H$70))+((1-$D$29)*$I$83))*Poor!$B$81/$B$81)</f>
        <v>37756.621173113177</v>
      </c>
      <c r="S24" s="41">
        <f>IF($B$81=0,0,(SUM(($B$70*$H$70))+((1-$D$29)*$I$83))*Poor!$B$81/$B$81)</f>
        <v>37756.621173113177</v>
      </c>
      <c r="T24" s="41">
        <f>IF($B$81=0,0,(SUM(($B$70*$H$70))+((1-$D$29)*$I$83))*Poor!$B$81/$B$81)</f>
        <v>37756.621173113177</v>
      </c>
      <c r="U24" s="56"/>
      <c r="V24" s="56"/>
      <c r="W24" s="110"/>
      <c r="X24" s="118"/>
      <c r="Y24" s="183">
        <f t="shared" si="9"/>
        <v>3.3797553816046967E-2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3.3797553816046967E-2</v>
      </c>
      <c r="AH24" s="123">
        <f t="shared" si="12"/>
        <v>1</v>
      </c>
      <c r="AI24" s="183">
        <f t="shared" si="13"/>
        <v>8.4493884540117418E-3</v>
      </c>
      <c r="AJ24" s="120">
        <f t="shared" si="14"/>
        <v>0</v>
      </c>
      <c r="AK24" s="119">
        <f t="shared" si="15"/>
        <v>1.6898776908023484E-2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>Gifts/remittances: Events(Funerals, weddings)</v>
      </c>
      <c r="B25" s="215">
        <v>8.0430528375733865E-4</v>
      </c>
      <c r="C25" s="215">
        <v>0</v>
      </c>
      <c r="D25" s="24">
        <f t="shared" si="18"/>
        <v>8.0430528375733865E-4</v>
      </c>
      <c r="E25" s="75">
        <f>Poor!E25</f>
        <v>1</v>
      </c>
      <c r="F25" s="22"/>
      <c r="H25" s="24">
        <f t="shared" si="19"/>
        <v>1</v>
      </c>
      <c r="I25" s="22">
        <f t="shared" si="20"/>
        <v>8.0430528375733865E-4</v>
      </c>
      <c r="J25" s="24">
        <f t="shared" si="17"/>
        <v>8.0430528375733865E-4</v>
      </c>
      <c r="K25" s="22">
        <f t="shared" si="21"/>
        <v>8.0430528375733865E-4</v>
      </c>
      <c r="L25" s="22">
        <f t="shared" si="22"/>
        <v>8.0430528375733865E-4</v>
      </c>
      <c r="M25" s="225">
        <f t="shared" si="23"/>
        <v>8.0430528375733865E-4</v>
      </c>
      <c r="N25" s="228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56196.216275153995</v>
      </c>
      <c r="S25" s="41">
        <f>IF($B$81=0,0,(SUM(($B$70*$H$70),($B$71*$H$71))+((1-$D$29)*$I$83))*Poor!$B$81/$B$81)</f>
        <v>56196.216275153995</v>
      </c>
      <c r="T25" s="41">
        <f>IF($B$81=0,0,(SUM(($B$70*$H$70),($B$71*$H$71))+((1-$D$29)*$I$83))*Poor!$B$81/$B$81)</f>
        <v>56196.216275153995</v>
      </c>
      <c r="U25" s="56"/>
      <c r="V25" s="56"/>
      <c r="W25" s="110"/>
      <c r="X25" s="118"/>
      <c r="Y25" s="183">
        <f t="shared" si="9"/>
        <v>3.2172211350293546E-3</v>
      </c>
      <c r="Z25" s="156">
        <f>Poor!Z17</f>
        <v>0.29409999999999997</v>
      </c>
      <c r="AA25" s="121">
        <f t="shared" si="16"/>
        <v>9.461847358121331E-4</v>
      </c>
      <c r="AB25" s="156">
        <f>Poor!AB17</f>
        <v>0.17649999999999999</v>
      </c>
      <c r="AC25" s="121">
        <f t="shared" si="7"/>
        <v>5.6783953033268109E-4</v>
      </c>
      <c r="AD25" s="156">
        <f>Poor!AD17</f>
        <v>0.23530000000000001</v>
      </c>
      <c r="AE25" s="121">
        <f t="shared" si="8"/>
        <v>7.570121330724072E-4</v>
      </c>
      <c r="AF25" s="122">
        <f t="shared" si="10"/>
        <v>0.29410000000000003</v>
      </c>
      <c r="AG25" s="121">
        <f t="shared" si="11"/>
        <v>9.4618473581213332E-4</v>
      </c>
      <c r="AH25" s="123">
        <f t="shared" si="12"/>
        <v>1</v>
      </c>
      <c r="AI25" s="183">
        <f t="shared" si="13"/>
        <v>8.0430528375733876E-4</v>
      </c>
      <c r="AJ25" s="120">
        <f t="shared" si="14"/>
        <v>7.5701213307240709E-4</v>
      </c>
      <c r="AK25" s="119">
        <f t="shared" si="15"/>
        <v>8.515984344422702E-4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v>0.11124978367080686</v>
      </c>
      <c r="C26" s="215">
        <v>0</v>
      </c>
      <c r="D26" s="24">
        <f t="shared" si="0"/>
        <v>0.11124978367080686</v>
      </c>
      <c r="E26" s="75">
        <f>Poor!E26</f>
        <v>1</v>
      </c>
      <c r="F26" s="22"/>
      <c r="H26" s="24">
        <f t="shared" si="1"/>
        <v>1</v>
      </c>
      <c r="I26" s="22">
        <f t="shared" si="2"/>
        <v>0.11124978367080686</v>
      </c>
      <c r="J26" s="24">
        <f>IF(I$32&lt;=1+I131,I26,B26*H26+J$33*(I26-B26*H26))</f>
        <v>0.11124978367080686</v>
      </c>
      <c r="K26" s="22">
        <f t="shared" si="4"/>
        <v>0.11124978367080686</v>
      </c>
      <c r="L26" s="22">
        <f t="shared" si="5"/>
        <v>0.11124978367080686</v>
      </c>
      <c r="M26" s="223">
        <f t="shared" si="6"/>
        <v>0.11124978367080686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90270.377907807037</v>
      </c>
      <c r="S26" s="41">
        <f>IF($B$81=0,0,(SUM(($B$70*$H$70),($B$71*$H$71),($B$72*$H$72))+((1-$D$29)*$I$83))*Poor!$B$81/$B$81)</f>
        <v>90270.377907807037</v>
      </c>
      <c r="T26" s="41">
        <f>IF($B$81=0,0,(SUM(($B$70*$H$70),($B$71*$H$71),($B$72*$H$72))+((1-$D$29)*$I$83))*Poor!$B$81/$B$81)</f>
        <v>90270.377907807037</v>
      </c>
      <c r="U26" s="56"/>
      <c r="V26" s="56"/>
      <c r="W26" s="110"/>
      <c r="X26" s="118"/>
      <c r="Y26" s="183">
        <f t="shared" si="9"/>
        <v>0.44499913468322744</v>
      </c>
      <c r="Z26" s="156">
        <f>Poor!Z26</f>
        <v>0.25</v>
      </c>
      <c r="AA26" s="121">
        <f t="shared" si="16"/>
        <v>0.11124978367080686</v>
      </c>
      <c r="AB26" s="156">
        <f>Poor!AB26</f>
        <v>0.25</v>
      </c>
      <c r="AC26" s="121">
        <f t="shared" si="7"/>
        <v>0.11124978367080686</v>
      </c>
      <c r="AD26" s="156">
        <f>Poor!AD26</f>
        <v>0.25</v>
      </c>
      <c r="AE26" s="121">
        <f t="shared" si="8"/>
        <v>0.11124978367080686</v>
      </c>
      <c r="AF26" s="122">
        <f t="shared" si="10"/>
        <v>0.25</v>
      </c>
      <c r="AG26" s="121">
        <f t="shared" si="11"/>
        <v>0.11124978367080686</v>
      </c>
      <c r="AH26" s="123">
        <f t="shared" si="12"/>
        <v>1</v>
      </c>
      <c r="AI26" s="183">
        <f t="shared" si="13"/>
        <v>0.11124978367080686</v>
      </c>
      <c r="AJ26" s="120">
        <f t="shared" si="14"/>
        <v>0.11124978367080686</v>
      </c>
      <c r="AK26" s="119">
        <f t="shared" si="15"/>
        <v>0.11124978367080686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v>2.3815296846011132E-2</v>
      </c>
      <c r="C27" s="215">
        <v>-2.3815296846011132E-2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2.3815296846011132E-2</v>
      </c>
      <c r="L27" s="22">
        <f t="shared" si="5"/>
        <v>2.3815296846011132E-2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v>1.8559791674079344E-2</v>
      </c>
      <c r="C28" s="215">
        <v>-1.8559791674079344E-2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1.8559791674079344E-2</v>
      </c>
      <c r="L28" s="22">
        <f t="shared" si="5"/>
        <v>1.8559791674079344E-2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v>0.18674920812120363</v>
      </c>
      <c r="C29" s="215">
        <v>3.7935105167587232E-2</v>
      </c>
      <c r="D29" s="24">
        <f>(B29+C29)</f>
        <v>0.22468431328879085</v>
      </c>
      <c r="E29" s="75">
        <f>Poor!E29</f>
        <v>1</v>
      </c>
      <c r="F29" s="22"/>
      <c r="H29" s="24">
        <f t="shared" si="1"/>
        <v>1</v>
      </c>
      <c r="I29" s="22">
        <f t="shared" si="2"/>
        <v>0.22468431328879085</v>
      </c>
      <c r="J29" s="24">
        <f>IF(I$32&lt;=1+I131,I29,B29*H29+J$33*(I29-B29*H29))</f>
        <v>0.22468431328879085</v>
      </c>
      <c r="K29" s="22">
        <f t="shared" si="4"/>
        <v>0.18674920812120363</v>
      </c>
      <c r="L29" s="22">
        <f t="shared" si="5"/>
        <v>0.18674920812120363</v>
      </c>
      <c r="M29" s="223">
        <f t="shared" si="6"/>
        <v>0.22468431328879085</v>
      </c>
      <c r="N29" s="228"/>
      <c r="P29" s="22"/>
      <c r="V29" s="56"/>
      <c r="W29" s="110"/>
      <c r="X29" s="118"/>
      <c r="Y29" s="183">
        <f t="shared" si="9"/>
        <v>0.8987372531551634</v>
      </c>
      <c r="Z29" s="156">
        <f>Poor!Z29</f>
        <v>0.25</v>
      </c>
      <c r="AA29" s="121">
        <f t="shared" si="16"/>
        <v>0.22468431328879085</v>
      </c>
      <c r="AB29" s="156">
        <f>Poor!AB29</f>
        <v>0.25</v>
      </c>
      <c r="AC29" s="121">
        <f t="shared" si="7"/>
        <v>0.22468431328879085</v>
      </c>
      <c r="AD29" s="156">
        <f>Poor!AD29</f>
        <v>0.25</v>
      </c>
      <c r="AE29" s="121">
        <f t="shared" si="8"/>
        <v>0.22468431328879085</v>
      </c>
      <c r="AF29" s="122">
        <f t="shared" si="10"/>
        <v>0.25</v>
      </c>
      <c r="AG29" s="121">
        <f t="shared" si="11"/>
        <v>0.22468431328879085</v>
      </c>
      <c r="AH29" s="123">
        <f t="shared" si="12"/>
        <v>1</v>
      </c>
      <c r="AI29" s="183">
        <f t="shared" si="13"/>
        <v>0.22468431328879085</v>
      </c>
      <c r="AJ29" s="120">
        <f t="shared" si="14"/>
        <v>0.22468431328879085</v>
      </c>
      <c r="AK29" s="119">
        <f t="shared" si="15"/>
        <v>0.22468431328879085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v>0.64712844882837317</v>
      </c>
      <c r="C30" s="103"/>
      <c r="D30" s="24">
        <f>(D119-B124)</f>
        <v>1.7512750292316632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0">
        <f>IF(I$32&lt;=1,I30,1-SUM(J6:J29))</f>
        <v>0</v>
      </c>
      <c r="K30" s="22">
        <f t="shared" si="4"/>
        <v>0.64712844882837317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22449.57650260958</v>
      </c>
      <c r="T30" s="233">
        <f t="shared" si="24"/>
        <v>21719.711575255198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-0.18903396294159278</v>
      </c>
      <c r="AB30" s="122">
        <f>IF($Y30=0,0,AC30/($Y$30))</f>
        <v>0</v>
      </c>
      <c r="AC30" s="187">
        <f>IF(AC79*4/$I$83+SUM(AC6:AC29)&lt;1,AC79*4/$I$83,1-SUM(AC6:AC29))</f>
        <v>-0.19138592742353633</v>
      </c>
      <c r="AD30" s="122">
        <f>IF($Y30=0,0,AE30/($Y$30))</f>
        <v>0</v>
      </c>
      <c r="AE30" s="187">
        <f>IF(AE79*4/$I$83+SUM(AE6:AE29)&lt;1,AE79*4/$I$83,1-SUM(AE6:AE29))</f>
        <v>-0.18668199845964922</v>
      </c>
      <c r="AF30" s="122">
        <f>IF($Y30=0,0,AG30/($Y$30))</f>
        <v>0</v>
      </c>
      <c r="AG30" s="187">
        <f>IF(AG79*4/$I$83+SUM(AG6:AG29)&lt;1,AG79*4/$I$83,1-SUM(AG6:AG29))</f>
        <v>-0.16250380358526936</v>
      </c>
      <c r="AH30" s="123">
        <f t="shared" si="12"/>
        <v>0</v>
      </c>
      <c r="AI30" s="183">
        <f t="shared" si="13"/>
        <v>-0.18240142310251192</v>
      </c>
      <c r="AJ30" s="120">
        <f t="shared" si="14"/>
        <v>-0.19020994518256457</v>
      </c>
      <c r="AK30" s="119">
        <f t="shared" si="15"/>
        <v>-0.17459290102245928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0.60528702162070491</v>
      </c>
      <c r="K31" s="22" t="str">
        <f t="shared" si="4"/>
        <v/>
      </c>
      <c r="L31" s="22">
        <f>(1-SUM(L6:L30))</f>
        <v>0.60203181191358757</v>
      </c>
      <c r="M31" s="240">
        <f t="shared" si="6"/>
        <v>0.60528702162070491</v>
      </c>
      <c r="N31" s="167">
        <f>M31*I83</f>
        <v>10845.624871642482</v>
      </c>
      <c r="P31" s="22"/>
      <c r="Q31" s="237" t="s">
        <v>142</v>
      </c>
      <c r="R31" s="233">
        <f t="shared" si="24"/>
        <v>0</v>
      </c>
      <c r="S31" s="233">
        <f t="shared" si="24"/>
        <v>40889.171604650401</v>
      </c>
      <c r="T31" s="233">
        <f>IF(T25&gt;T$23,T25-T$23,0)</f>
        <v>40159.306677296016</v>
      </c>
      <c r="V31" s="56"/>
      <c r="W31" s="129" t="s">
        <v>84</v>
      </c>
      <c r="X31" s="130"/>
      <c r="Y31" s="121">
        <f>M31*4</f>
        <v>2.4211480864828197</v>
      </c>
      <c r="Z31" s="131"/>
      <c r="AA31" s="132">
        <f>1-AA32+IF($Y32&lt;0,$Y32/4,0)</f>
        <v>0.73347084539604612</v>
      </c>
      <c r="AB31" s="131"/>
      <c r="AC31" s="133">
        <f>1-AC32+IF($Y32&lt;0,$Y32/4,0)</f>
        <v>0.84236457471351289</v>
      </c>
      <c r="AD31" s="134"/>
      <c r="AE31" s="133">
        <f>1-AE32+IF($Y32&lt;0,$Y32/4,0)</f>
        <v>0.83364013025043149</v>
      </c>
      <c r="AF31" s="134"/>
      <c r="AG31" s="133">
        <f>1-AG32+IF($Y32&lt;0,$Y32/4,0)</f>
        <v>0.77979105058436737</v>
      </c>
      <c r="AH31" s="123"/>
      <c r="AI31" s="182">
        <f>SUM(AA31,AC31,AE31,AG31)/4</f>
        <v>0.79731665023608944</v>
      </c>
      <c r="AJ31" s="135">
        <f t="shared" si="14"/>
        <v>0.78791771005477951</v>
      </c>
      <c r="AK31" s="136">
        <f t="shared" si="15"/>
        <v>0.80671559041739949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1.2100884117802986</v>
      </c>
      <c r="C32" s="77">
        <f>SUM(C6:C31)</f>
        <v>-1.6970312465867943E-4</v>
      </c>
      <c r="D32" s="24">
        <f>SUM(D6:D30)</f>
        <v>2.3140652890589299</v>
      </c>
      <c r="E32" s="2"/>
      <c r="F32" s="2"/>
      <c r="H32" s="17"/>
      <c r="I32" s="22">
        <f>SUM(I6:I30)</f>
        <v>0.39471297837929509</v>
      </c>
      <c r="J32" s="17"/>
      <c r="L32" s="22">
        <f>SUM(L6:L30)</f>
        <v>0.39796818808641243</v>
      </c>
      <c r="M32" s="23"/>
      <c r="N32" s="56"/>
      <c r="O32" s="2"/>
      <c r="P32" s="22"/>
      <c r="Q32" s="233" t="s">
        <v>143</v>
      </c>
      <c r="R32" s="233">
        <f t="shared" si="24"/>
        <v>29145.126279186043</v>
      </c>
      <c r="S32" s="233">
        <f t="shared" si="24"/>
        <v>74963.333237303435</v>
      </c>
      <c r="T32" s="233">
        <f t="shared" si="24"/>
        <v>74233.468309949065</v>
      </c>
      <c r="V32" s="56"/>
      <c r="W32" s="110"/>
      <c r="X32" s="118"/>
      <c r="Y32" s="115">
        <f>SUM(Y6:Y31)</f>
        <v>3.9614871779485092</v>
      </c>
      <c r="Z32" s="137"/>
      <c r="AA32" s="138">
        <f>SUM(AA6:AA30)</f>
        <v>0.26652915460395388</v>
      </c>
      <c r="AB32" s="137"/>
      <c r="AC32" s="139">
        <f>SUM(AC6:AC30)</f>
        <v>0.15763542528648711</v>
      </c>
      <c r="AD32" s="137"/>
      <c r="AE32" s="139">
        <f>SUM(AE6:AE30)</f>
        <v>0.16635986974956857</v>
      </c>
      <c r="AF32" s="137"/>
      <c r="AG32" s="139">
        <f>SUM(AG6:AG30)</f>
        <v>0.22020894941563265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-206.97238140018723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24293.768470991541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Cows' milk sales - season 1</v>
      </c>
      <c r="B37" s="216">
        <v>0</v>
      </c>
      <c r="C37" s="216">
        <v>0</v>
      </c>
      <c r="D37" s="38">
        <f t="shared" ref="D37:D64" si="25">B37+C37</f>
        <v>0</v>
      </c>
      <c r="E37" s="75">
        <f>Poor!E37</f>
        <v>0.2</v>
      </c>
      <c r="F37" s="75">
        <f>Poor!F37</f>
        <v>1.18</v>
      </c>
      <c r="G37" s="75">
        <f>Poor!G37</f>
        <v>1.65</v>
      </c>
      <c r="H37" s="24">
        <f t="shared" ref="H37" si="26">(E37*F37)</f>
        <v>0.23599999999999999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Other:  hides</v>
      </c>
      <c r="B38" s="216">
        <v>0</v>
      </c>
      <c r="C38" s="216">
        <v>0</v>
      </c>
      <c r="D38" s="38">
        <f t="shared" si="25"/>
        <v>0</v>
      </c>
      <c r="E38" s="75">
        <f>Poor!E38</f>
        <v>0.2</v>
      </c>
      <c r="F38" s="75">
        <f>Poor!F38</f>
        <v>1.18</v>
      </c>
      <c r="G38" s="75">
        <f>Poor!G38</f>
        <v>1.65</v>
      </c>
      <c r="H38" s="24">
        <f t="shared" ref="H38:H64" si="30">(E38*F38)</f>
        <v>0.23599999999999999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Cattle sales - local: no. sold</v>
      </c>
      <c r="B39" s="216">
        <v>0</v>
      </c>
      <c r="C39" s="216"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Sheep sales - local: no. sold</v>
      </c>
      <c r="B40" s="216">
        <v>0</v>
      </c>
      <c r="C40" s="216">
        <v>0</v>
      </c>
      <c r="D40" s="38">
        <f t="shared" si="25"/>
        <v>0</v>
      </c>
      <c r="E40" s="75">
        <f>Poor!E40</f>
        <v>0.5</v>
      </c>
      <c r="F40" s="75">
        <f>Poor!F40</f>
        <v>1.18</v>
      </c>
      <c r="G40" s="75">
        <f>Poor!G40</f>
        <v>1.65</v>
      </c>
      <c r="H40" s="24">
        <f t="shared" si="30"/>
        <v>0.59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Goat sales - local: no. sold</v>
      </c>
      <c r="B41" s="216">
        <v>201.42857142857142</v>
      </c>
      <c r="C41" s="216">
        <v>0</v>
      </c>
      <c r="D41" s="38">
        <f t="shared" si="25"/>
        <v>201.42857142857142</v>
      </c>
      <c r="E41" s="75">
        <f>Poor!E41</f>
        <v>0.5</v>
      </c>
      <c r="F41" s="75">
        <f>Poor!F41</f>
        <v>1.18</v>
      </c>
      <c r="G41" s="75">
        <f>Poor!G41</f>
        <v>1.65</v>
      </c>
      <c r="H41" s="24">
        <f t="shared" si="30"/>
        <v>0.59</v>
      </c>
      <c r="I41" s="39">
        <f t="shared" si="31"/>
        <v>118.84285714285713</v>
      </c>
      <c r="J41" s="38">
        <f t="shared" si="32"/>
        <v>118.84285714285714</v>
      </c>
      <c r="K41" s="40">
        <f t="shared" si="33"/>
        <v>6.2664515607354894E-3</v>
      </c>
      <c r="L41" s="22">
        <f t="shared" si="34"/>
        <v>3.6972064208339386E-3</v>
      </c>
      <c r="M41" s="24">
        <f t="shared" si="35"/>
        <v>3.6972064208339391E-3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118.84285714285714</v>
      </c>
      <c r="AH41" s="123">
        <f t="shared" si="37"/>
        <v>1</v>
      </c>
      <c r="AI41" s="112">
        <f t="shared" si="37"/>
        <v>118.84285714285714</v>
      </c>
      <c r="AJ41" s="148">
        <f t="shared" si="38"/>
        <v>0</v>
      </c>
      <c r="AK41" s="147">
        <f t="shared" si="39"/>
        <v>118.84285714285714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Pig sales: no sold</v>
      </c>
      <c r="B42" s="216">
        <v>71.428571428571431</v>
      </c>
      <c r="C42" s="216">
        <v>0</v>
      </c>
      <c r="D42" s="38">
        <f t="shared" si="25"/>
        <v>71.428571428571431</v>
      </c>
      <c r="E42" s="75">
        <f>Poor!E42</f>
        <v>0.5</v>
      </c>
      <c r="F42" s="75">
        <f>Poor!F42</f>
        <v>1.18</v>
      </c>
      <c r="G42" s="75">
        <f>Poor!G42</f>
        <v>1.65</v>
      </c>
      <c r="H42" s="24">
        <f t="shared" si="30"/>
        <v>0.59</v>
      </c>
      <c r="I42" s="39">
        <f t="shared" si="31"/>
        <v>42.142857142857139</v>
      </c>
      <c r="J42" s="38">
        <f t="shared" si="32"/>
        <v>42.142857142857146</v>
      </c>
      <c r="K42" s="40">
        <f t="shared" si="33"/>
        <v>2.2221459435232235E-3</v>
      </c>
      <c r="L42" s="22">
        <f t="shared" si="34"/>
        <v>1.3110661066787017E-3</v>
      </c>
      <c r="M42" s="24">
        <f t="shared" si="35"/>
        <v>1.311066106678702E-3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10.535714285714286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21.071428571428573</v>
      </c>
      <c r="AF42" s="122">
        <f t="shared" si="29"/>
        <v>0.25</v>
      </c>
      <c r="AG42" s="147">
        <f t="shared" si="36"/>
        <v>10.535714285714286</v>
      </c>
      <c r="AH42" s="123">
        <f t="shared" si="37"/>
        <v>1</v>
      </c>
      <c r="AI42" s="112">
        <f t="shared" si="37"/>
        <v>42.142857142857146</v>
      </c>
      <c r="AJ42" s="148">
        <f t="shared" si="38"/>
        <v>10.535714285714286</v>
      </c>
      <c r="AK42" s="147">
        <f t="shared" si="39"/>
        <v>31.607142857142861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Chicken sales: no. sold</v>
      </c>
      <c r="B43" s="216">
        <v>67.857142857142861</v>
      </c>
      <c r="C43" s="216">
        <v>0</v>
      </c>
      <c r="D43" s="38">
        <f t="shared" si="25"/>
        <v>67.857142857142861</v>
      </c>
      <c r="E43" s="75">
        <f>Poor!E43</f>
        <v>1</v>
      </c>
      <c r="F43" s="75">
        <f>Poor!F43</f>
        <v>1.18</v>
      </c>
      <c r="G43" s="75">
        <f>Poor!G43</f>
        <v>1.65</v>
      </c>
      <c r="H43" s="24">
        <f t="shared" si="30"/>
        <v>1.18</v>
      </c>
      <c r="I43" s="39">
        <f t="shared" si="31"/>
        <v>80.071428571428569</v>
      </c>
      <c r="J43" s="38">
        <f t="shared" si="32"/>
        <v>80.071428571428569</v>
      </c>
      <c r="K43" s="40">
        <f t="shared" si="33"/>
        <v>2.1110386463470622E-3</v>
      </c>
      <c r="L43" s="22">
        <f t="shared" si="34"/>
        <v>2.4910256026895333E-3</v>
      </c>
      <c r="M43" s="24">
        <f t="shared" si="35"/>
        <v>2.4910256026895333E-3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20.017857142857142</v>
      </c>
      <c r="AB43" s="156">
        <f>Poor!AB43</f>
        <v>0.25</v>
      </c>
      <c r="AC43" s="147">
        <f t="shared" si="41"/>
        <v>20.017857142857142</v>
      </c>
      <c r="AD43" s="156">
        <f>Poor!AD43</f>
        <v>0.25</v>
      </c>
      <c r="AE43" s="147">
        <f t="shared" si="42"/>
        <v>20.017857142857142</v>
      </c>
      <c r="AF43" s="122">
        <f t="shared" si="29"/>
        <v>0.25</v>
      </c>
      <c r="AG43" s="147">
        <f t="shared" si="36"/>
        <v>20.017857142857142</v>
      </c>
      <c r="AH43" s="123">
        <f t="shared" si="37"/>
        <v>1</v>
      </c>
      <c r="AI43" s="112">
        <f t="shared" si="37"/>
        <v>80.071428571428569</v>
      </c>
      <c r="AJ43" s="148">
        <f t="shared" si="38"/>
        <v>40.035714285714285</v>
      </c>
      <c r="AK43" s="147">
        <f t="shared" si="39"/>
        <v>40.035714285714285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Maize: kg produced</v>
      </c>
      <c r="B44" s="216">
        <v>0</v>
      </c>
      <c r="C44" s="216">
        <v>0</v>
      </c>
      <c r="D44" s="38">
        <f t="shared" si="25"/>
        <v>0</v>
      </c>
      <c r="E44" s="75">
        <f>Poor!E44</f>
        <v>0.3</v>
      </c>
      <c r="F44" s="75">
        <f>Poor!F44</f>
        <v>1.4</v>
      </c>
      <c r="G44" s="75">
        <f>Poor!G44</f>
        <v>1.65</v>
      </c>
      <c r="H44" s="24">
        <f t="shared" si="30"/>
        <v>0.42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Sorghum: kg produced</v>
      </c>
      <c r="B45" s="216">
        <v>0</v>
      </c>
      <c r="C45" s="216">
        <v>0</v>
      </c>
      <c r="D45" s="38">
        <f t="shared" si="25"/>
        <v>0</v>
      </c>
      <c r="E45" s="75">
        <f>Poor!E45</f>
        <v>0.3</v>
      </c>
      <c r="F45" s="75">
        <f>Poor!F45</f>
        <v>1.4</v>
      </c>
      <c r="G45" s="75">
        <f>Poor!G45</f>
        <v>1.65</v>
      </c>
      <c r="H45" s="24">
        <f t="shared" si="30"/>
        <v>0.42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Beans: kg produced</v>
      </c>
      <c r="B46" s="216">
        <v>0</v>
      </c>
      <c r="C46" s="216">
        <v>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Cowpeas, yams, amadumbe, chillies &amp; sugarcane</v>
      </c>
      <c r="B47" s="216">
        <v>0</v>
      </c>
      <c r="C47" s="216">
        <v>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Cabbage: no. local meas</v>
      </c>
      <c r="B48" s="216">
        <v>8.5714285714285712</v>
      </c>
      <c r="C48" s="216">
        <v>-8.5714285714285712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0</v>
      </c>
      <c r="J48" s="38">
        <f t="shared" si="32"/>
        <v>0</v>
      </c>
      <c r="K48" s="40">
        <f t="shared" si="33"/>
        <v>2.6665751322278681E-4</v>
      </c>
      <c r="L48" s="22">
        <f t="shared" si="34"/>
        <v>7.4664103702380303E-5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Sweet potatoes &amp; potatoes</v>
      </c>
      <c r="B49" s="216">
        <v>41.571428571428569</v>
      </c>
      <c r="C49" s="216">
        <v>-41.571428571428569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0</v>
      </c>
      <c r="J49" s="38">
        <f t="shared" si="32"/>
        <v>0</v>
      </c>
      <c r="K49" s="40">
        <f t="shared" si="33"/>
        <v>1.2932889391305161E-3</v>
      </c>
      <c r="L49" s="22">
        <f t="shared" si="34"/>
        <v>3.6212090295654445E-4</v>
      </c>
      <c r="M49" s="24">
        <f t="shared" si="35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Veg: spinach, carrots, beet root &amp; tomatoes</v>
      </c>
      <c r="B50" s="216">
        <v>27.142857142857142</v>
      </c>
      <c r="C50" s="216">
        <v>-27.142857142857142</v>
      </c>
      <c r="D50" s="38">
        <f t="shared" si="25"/>
        <v>0</v>
      </c>
      <c r="E50" s="75">
        <f>Poor!E50</f>
        <v>0.2</v>
      </c>
      <c r="F50" s="75">
        <f>Poor!F50</f>
        <v>1.4</v>
      </c>
      <c r="G50" s="75">
        <f>Poor!G50</f>
        <v>1.65</v>
      </c>
      <c r="H50" s="24">
        <f t="shared" si="30"/>
        <v>0.27999999999999997</v>
      </c>
      <c r="I50" s="39">
        <f t="shared" si="31"/>
        <v>0</v>
      </c>
      <c r="J50" s="38">
        <f t="shared" si="32"/>
        <v>0</v>
      </c>
      <c r="K50" s="40">
        <f t="shared" si="33"/>
        <v>8.4441545853882491E-4</v>
      </c>
      <c r="L50" s="22">
        <f t="shared" si="34"/>
        <v>2.3643632839087094E-4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Other crop: pumpkin</v>
      </c>
      <c r="B51" s="216">
        <v>0</v>
      </c>
      <c r="C51" s="216">
        <v>0</v>
      </c>
      <c r="D51" s="38">
        <f t="shared" si="25"/>
        <v>0</v>
      </c>
      <c r="E51" s="75">
        <f>Poor!E51</f>
        <v>0.2</v>
      </c>
      <c r="F51" s="75">
        <f>Poor!F51</f>
        <v>1.4</v>
      </c>
      <c r="G51" s="75">
        <f>Poor!G51</f>
        <v>1.65</v>
      </c>
      <c r="H51" s="24">
        <f t="shared" si="30"/>
        <v>0.27999999999999997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Onions: kg produced</v>
      </c>
      <c r="B52" s="216">
        <v>100</v>
      </c>
      <c r="C52" s="216">
        <v>-65.714285714285708</v>
      </c>
      <c r="D52" s="38">
        <f t="shared" si="25"/>
        <v>34.285714285714292</v>
      </c>
      <c r="E52" s="75">
        <f>Poor!E52</f>
        <v>0.2</v>
      </c>
      <c r="F52" s="75">
        <f>Poor!F52</f>
        <v>1.4</v>
      </c>
      <c r="G52" s="75">
        <f>Poor!G52</f>
        <v>1.65</v>
      </c>
      <c r="H52" s="24">
        <f t="shared" si="30"/>
        <v>0.27999999999999997</v>
      </c>
      <c r="I52" s="39">
        <f t="shared" si="31"/>
        <v>9.6000000000000014</v>
      </c>
      <c r="J52" s="38">
        <f t="shared" si="32"/>
        <v>9.6000000000000032</v>
      </c>
      <c r="K52" s="40">
        <f t="shared" si="33"/>
        <v>3.1110043209325129E-3</v>
      </c>
      <c r="L52" s="22">
        <f t="shared" si="34"/>
        <v>8.7108120986110354E-4</v>
      </c>
      <c r="M52" s="24">
        <f t="shared" si="35"/>
        <v>2.9865641480952132E-4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2.4000000000000008</v>
      </c>
      <c r="AB52" s="156">
        <f>Poor!AB57</f>
        <v>0.25</v>
      </c>
      <c r="AC52" s="147">
        <f t="shared" si="41"/>
        <v>2.4000000000000008</v>
      </c>
      <c r="AD52" s="156">
        <f>Poor!AD57</f>
        <v>0.25</v>
      </c>
      <c r="AE52" s="147">
        <f t="shared" si="42"/>
        <v>2.4000000000000008</v>
      </c>
      <c r="AF52" s="122">
        <f t="shared" si="29"/>
        <v>0.25</v>
      </c>
      <c r="AG52" s="147">
        <f t="shared" si="36"/>
        <v>2.4000000000000008</v>
      </c>
      <c r="AH52" s="123">
        <f t="shared" si="37"/>
        <v>1</v>
      </c>
      <c r="AI52" s="112">
        <f t="shared" si="37"/>
        <v>9.6000000000000032</v>
      </c>
      <c r="AJ52" s="148">
        <f t="shared" si="38"/>
        <v>4.8000000000000016</v>
      </c>
      <c r="AK52" s="147">
        <f t="shared" si="39"/>
        <v>4.8000000000000016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Groundnuts (dry): no. local meas</v>
      </c>
      <c r="B53" s="216">
        <v>0</v>
      </c>
      <c r="C53" s="216">
        <v>0</v>
      </c>
      <c r="D53" s="38">
        <f t="shared" si="25"/>
        <v>0</v>
      </c>
      <c r="E53" s="75">
        <f>Poor!E53</f>
        <v>0.2</v>
      </c>
      <c r="F53" s="75">
        <f>Poor!F53</f>
        <v>1.4</v>
      </c>
      <c r="G53" s="75">
        <f>Poor!G53</f>
        <v>1.65</v>
      </c>
      <c r="H53" s="24">
        <f t="shared" si="30"/>
        <v>0.27999999999999997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WILD FOODS -- see worksheet Data 3</v>
      </c>
      <c r="B54" s="216">
        <v>187.14285714285714</v>
      </c>
      <c r="C54" s="216">
        <v>273.57142857142856</v>
      </c>
      <c r="D54" s="38">
        <f t="shared" si="25"/>
        <v>460.71428571428567</v>
      </c>
      <c r="E54" s="75">
        <f>Poor!E54</f>
        <v>1</v>
      </c>
      <c r="F54" s="75">
        <f>Poor!F54</f>
        <v>1.18</v>
      </c>
      <c r="G54" s="75">
        <f>Poor!G54</f>
        <v>1.65</v>
      </c>
      <c r="H54" s="24">
        <f t="shared" si="30"/>
        <v>1.18</v>
      </c>
      <c r="I54" s="39">
        <f t="shared" si="31"/>
        <v>543.64285714285711</v>
      </c>
      <c r="J54" s="38">
        <f t="shared" si="32"/>
        <v>543.642857142857</v>
      </c>
      <c r="K54" s="40">
        <f t="shared" si="33"/>
        <v>5.822022372030845E-3</v>
      </c>
      <c r="L54" s="22">
        <f t="shared" si="34"/>
        <v>6.8699863989963965E-3</v>
      </c>
      <c r="M54" s="24">
        <f t="shared" si="35"/>
        <v>1.6912752776155247E-2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Agricultural cash income -- see Data2</v>
      </c>
      <c r="B55" s="216">
        <v>1597.8571428571429</v>
      </c>
      <c r="C55" s="216">
        <v>0</v>
      </c>
      <c r="D55" s="38">
        <f t="shared" si="25"/>
        <v>1597.8571428571429</v>
      </c>
      <c r="E55" s="75">
        <f>Poor!E55</f>
        <v>0.5</v>
      </c>
      <c r="F55" s="75">
        <f>Poor!F55</f>
        <v>1.1100000000000001</v>
      </c>
      <c r="G55" s="75">
        <f>Poor!G55</f>
        <v>1.65</v>
      </c>
      <c r="H55" s="24">
        <f t="shared" si="30"/>
        <v>0.55500000000000005</v>
      </c>
      <c r="I55" s="39">
        <f t="shared" si="31"/>
        <v>886.81071428571443</v>
      </c>
      <c r="J55" s="38">
        <f t="shared" si="32"/>
        <v>886.81071428571443</v>
      </c>
      <c r="K55" s="40">
        <f t="shared" si="33"/>
        <v>4.9709404756614506E-2</v>
      </c>
      <c r="L55" s="22">
        <f t="shared" si="34"/>
        <v>2.7588719639921055E-2</v>
      </c>
      <c r="M55" s="24">
        <f t="shared" si="35"/>
        <v>2.7588719639921055E-2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Construction cash income -- see Data2</v>
      </c>
      <c r="B56" s="216">
        <v>960</v>
      </c>
      <c r="C56" s="216">
        <v>0</v>
      </c>
      <c r="D56" s="38">
        <f t="shared" si="25"/>
        <v>960</v>
      </c>
      <c r="E56" s="75">
        <f>Poor!E56</f>
        <v>0.5</v>
      </c>
      <c r="F56" s="75">
        <f>Poor!F56</f>
        <v>1.1100000000000001</v>
      </c>
      <c r="G56" s="75">
        <f>Poor!G56</f>
        <v>1.65</v>
      </c>
      <c r="H56" s="24">
        <f t="shared" si="30"/>
        <v>0.55500000000000005</v>
      </c>
      <c r="I56" s="39">
        <f t="shared" si="31"/>
        <v>532.80000000000007</v>
      </c>
      <c r="J56" s="38">
        <f t="shared" si="32"/>
        <v>532.80000000000007</v>
      </c>
      <c r="K56" s="40">
        <f t="shared" si="33"/>
        <v>2.9865641480952124E-2</v>
      </c>
      <c r="L56" s="22">
        <f t="shared" si="34"/>
        <v>1.6575431021928429E-2</v>
      </c>
      <c r="M56" s="24">
        <f t="shared" si="35"/>
        <v>1.6575431021928429E-2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Domestic work cash income -- see Data2</v>
      </c>
      <c r="B57" s="216">
        <v>2351.4285714285716</v>
      </c>
      <c r="C57" s="216">
        <v>0</v>
      </c>
      <c r="D57" s="38">
        <f t="shared" si="25"/>
        <v>2351.4285714285716</v>
      </c>
      <c r="E57" s="75">
        <f>Poor!E57</f>
        <v>0.5</v>
      </c>
      <c r="F57" s="75">
        <f>Poor!F57</f>
        <v>1.1100000000000001</v>
      </c>
      <c r="G57" s="75">
        <f>Poor!G57</f>
        <v>1.65</v>
      </c>
      <c r="H57" s="24">
        <f t="shared" si="30"/>
        <v>0.55500000000000005</v>
      </c>
      <c r="I57" s="39">
        <f t="shared" si="31"/>
        <v>1305.0428571428574</v>
      </c>
      <c r="J57" s="38">
        <f t="shared" si="32"/>
        <v>1305.0428571428574</v>
      </c>
      <c r="K57" s="40">
        <f t="shared" si="33"/>
        <v>7.3153044460784522E-2</v>
      </c>
      <c r="L57" s="22">
        <f t="shared" si="34"/>
        <v>4.0599939675735414E-2</v>
      </c>
      <c r="M57" s="24">
        <f t="shared" si="35"/>
        <v>4.0599939675735414E-2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Formal Employment (conservancies, etc.)</v>
      </c>
      <c r="B58" s="216">
        <v>0</v>
      </c>
      <c r="C58" s="216">
        <v>0</v>
      </c>
      <c r="D58" s="38">
        <f t="shared" si="25"/>
        <v>0</v>
      </c>
      <c r="E58" s="75">
        <f>Poor!E58</f>
        <v>0.6</v>
      </c>
      <c r="F58" s="75">
        <f>Poor!F58</f>
        <v>1.18</v>
      </c>
      <c r="G58" s="75">
        <f>Poor!G58</f>
        <v>1.65</v>
      </c>
      <c r="H58" s="24">
        <f t="shared" si="30"/>
        <v>0.70799999999999996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Self-employment -- see Data2</v>
      </c>
      <c r="B59" s="216">
        <v>2091.4285714285716</v>
      </c>
      <c r="C59" s="216">
        <v>418.28571428571428</v>
      </c>
      <c r="D59" s="38">
        <f t="shared" si="25"/>
        <v>2509.7142857142858</v>
      </c>
      <c r="E59" s="75">
        <f>Poor!E59</f>
        <v>0.8</v>
      </c>
      <c r="F59" s="75">
        <f>Poor!F59</f>
        <v>1</v>
      </c>
      <c r="G59" s="75">
        <f>Poor!G59</f>
        <v>1.65</v>
      </c>
      <c r="H59" s="24">
        <f t="shared" si="30"/>
        <v>0.8</v>
      </c>
      <c r="I59" s="39">
        <f t="shared" si="31"/>
        <v>2007.7714285714287</v>
      </c>
      <c r="J59" s="38">
        <f t="shared" si="32"/>
        <v>2007.7714285714287</v>
      </c>
      <c r="K59" s="40">
        <f t="shared" si="33"/>
        <v>6.5064433226359991E-2</v>
      </c>
      <c r="L59" s="22">
        <f t="shared" si="34"/>
        <v>5.2051546581087994E-2</v>
      </c>
      <c r="M59" s="24">
        <f t="shared" si="35"/>
        <v>6.2461855897305588E-2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501.94285714285718</v>
      </c>
      <c r="AB59" s="156">
        <f>Poor!AB59</f>
        <v>0.25</v>
      </c>
      <c r="AC59" s="147">
        <f t="shared" si="41"/>
        <v>501.94285714285718</v>
      </c>
      <c r="AD59" s="156">
        <f>Poor!AD59</f>
        <v>0.25</v>
      </c>
      <c r="AE59" s="147">
        <f t="shared" si="42"/>
        <v>501.94285714285718</v>
      </c>
      <c r="AF59" s="122">
        <f t="shared" si="29"/>
        <v>0.25</v>
      </c>
      <c r="AG59" s="147">
        <f t="shared" si="36"/>
        <v>501.94285714285718</v>
      </c>
      <c r="AH59" s="123">
        <f t="shared" ref="AH59:AI64" si="43">SUM(Z59,AB59,AD59,AF59)</f>
        <v>1</v>
      </c>
      <c r="AI59" s="112">
        <f t="shared" si="43"/>
        <v>2007.7714285714287</v>
      </c>
      <c r="AJ59" s="148">
        <f t="shared" si="38"/>
        <v>1003.8857142857144</v>
      </c>
      <c r="AK59" s="147">
        <f t="shared" si="39"/>
        <v>1003.8857142857144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>Small business -- see Data2</v>
      </c>
      <c r="B60" s="216">
        <v>514.28571428571433</v>
      </c>
      <c r="C60" s="216">
        <v>0</v>
      </c>
      <c r="D60" s="38">
        <f t="shared" si="25"/>
        <v>514.28571428571433</v>
      </c>
      <c r="E60" s="75">
        <f>Poor!E60</f>
        <v>0.8</v>
      </c>
      <c r="F60" s="75">
        <f>Poor!F60</f>
        <v>1.18</v>
      </c>
      <c r="G60" s="75">
        <f>Poor!G60</f>
        <v>1.65</v>
      </c>
      <c r="H60" s="24">
        <f t="shared" si="30"/>
        <v>0.94399999999999995</v>
      </c>
      <c r="I60" s="39">
        <f t="shared" si="31"/>
        <v>485.48571428571432</v>
      </c>
      <c r="J60" s="38">
        <f t="shared" si="32"/>
        <v>485.48571428571432</v>
      </c>
      <c r="K60" s="40">
        <f t="shared" si="33"/>
        <v>1.5999450793367211E-2</v>
      </c>
      <c r="L60" s="22">
        <f t="shared" si="34"/>
        <v>1.5103481548938646E-2</v>
      </c>
      <c r="M60" s="24">
        <f t="shared" si="35"/>
        <v>1.5103481548938646E-2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121.37142857142858</v>
      </c>
      <c r="AB60" s="156">
        <f>Poor!AB60</f>
        <v>0.25</v>
      </c>
      <c r="AC60" s="147">
        <f t="shared" si="41"/>
        <v>121.37142857142858</v>
      </c>
      <c r="AD60" s="156">
        <f>Poor!AD60</f>
        <v>0.25</v>
      </c>
      <c r="AE60" s="147">
        <f t="shared" si="42"/>
        <v>121.37142857142858</v>
      </c>
      <c r="AF60" s="122">
        <f t="shared" si="29"/>
        <v>0.25</v>
      </c>
      <c r="AG60" s="147">
        <f t="shared" si="36"/>
        <v>121.37142857142858</v>
      </c>
      <c r="AH60" s="123">
        <f t="shared" si="43"/>
        <v>1</v>
      </c>
      <c r="AI60" s="112">
        <f t="shared" si="43"/>
        <v>485.48571428571432</v>
      </c>
      <c r="AJ60" s="148">
        <f t="shared" si="38"/>
        <v>242.74285714285716</v>
      </c>
      <c r="AK60" s="147">
        <f t="shared" si="39"/>
        <v>242.74285714285716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>Social development -- see Data2</v>
      </c>
      <c r="B61" s="216">
        <v>19619.531926197913</v>
      </c>
      <c r="C61" s="216">
        <v>0</v>
      </c>
      <c r="D61" s="38">
        <f t="shared" si="25"/>
        <v>19619.531926197913</v>
      </c>
      <c r="E61" s="75">
        <f>Poor!E61</f>
        <v>0</v>
      </c>
      <c r="F61" s="75">
        <f>Poor!F61</f>
        <v>1.18</v>
      </c>
      <c r="G61" s="75">
        <f>Poor!G61</f>
        <v>1.65</v>
      </c>
      <c r="H61" s="24">
        <f t="shared" si="30"/>
        <v>0</v>
      </c>
      <c r="I61" s="39">
        <f t="shared" si="31"/>
        <v>0</v>
      </c>
      <c r="J61" s="38">
        <f t="shared" si="32"/>
        <v>0</v>
      </c>
      <c r="K61" s="40">
        <f t="shared" si="33"/>
        <v>0.61036448597075088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>Public works -- see Data2</v>
      </c>
      <c r="B62" s="216">
        <v>2897.1428571428573</v>
      </c>
      <c r="C62" s="216">
        <v>0</v>
      </c>
      <c r="D62" s="38">
        <f t="shared" si="25"/>
        <v>2897.1428571428573</v>
      </c>
      <c r="E62" s="75">
        <f>Poor!E62</f>
        <v>1</v>
      </c>
      <c r="F62" s="75">
        <f>Poor!F62</f>
        <v>1.18</v>
      </c>
      <c r="G62" s="75">
        <f>Poor!G62</f>
        <v>1.65</v>
      </c>
      <c r="H62" s="24">
        <f t="shared" si="30"/>
        <v>1.18</v>
      </c>
      <c r="I62" s="39">
        <f t="shared" si="31"/>
        <v>3418.6285714285714</v>
      </c>
      <c r="J62" s="38">
        <f t="shared" si="32"/>
        <v>3418.6285714285718</v>
      </c>
      <c r="K62" s="40">
        <f t="shared" si="33"/>
        <v>9.0130239469301945E-2</v>
      </c>
      <c r="L62" s="22">
        <f t="shared" si="34"/>
        <v>0.1063536825737763</v>
      </c>
      <c r="M62" s="24">
        <f t="shared" si="35"/>
        <v>0.10635368257377631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854.65714285714296</v>
      </c>
      <c r="AB62" s="156">
        <f>Poor!AB62</f>
        <v>0.25</v>
      </c>
      <c r="AC62" s="147">
        <f t="shared" si="41"/>
        <v>854.65714285714296</v>
      </c>
      <c r="AD62" s="156">
        <f>Poor!AD62</f>
        <v>0.25</v>
      </c>
      <c r="AE62" s="147">
        <f t="shared" si="42"/>
        <v>854.65714285714296</v>
      </c>
      <c r="AF62" s="122">
        <f t="shared" si="29"/>
        <v>0.25</v>
      </c>
      <c r="AG62" s="147">
        <f t="shared" si="36"/>
        <v>854.65714285714296</v>
      </c>
      <c r="AH62" s="123">
        <f t="shared" si="43"/>
        <v>1</v>
      </c>
      <c r="AI62" s="112">
        <f t="shared" si="43"/>
        <v>3418.6285714285718</v>
      </c>
      <c r="AJ62" s="148">
        <f t="shared" si="38"/>
        <v>1709.3142857142859</v>
      </c>
      <c r="AK62" s="147">
        <f t="shared" si="39"/>
        <v>1709.3142857142859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>Other income: e.g. Credit (cotton loans)</v>
      </c>
      <c r="B63" s="216">
        <v>64.285714285714292</v>
      </c>
      <c r="C63" s="216">
        <v>0</v>
      </c>
      <c r="D63" s="38">
        <f t="shared" si="25"/>
        <v>64.285714285714292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64.285714285714292</v>
      </c>
      <c r="J63" s="38">
        <f t="shared" si="32"/>
        <v>64.285714285714292</v>
      </c>
      <c r="K63" s="40">
        <f t="shared" si="33"/>
        <v>1.9999313491709013E-3</v>
      </c>
      <c r="L63" s="22">
        <f t="shared" si="34"/>
        <v>1.9999313491709013E-3</v>
      </c>
      <c r="M63" s="24">
        <f t="shared" si="35"/>
        <v>1.9999313491709013E-3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16.071428571428573</v>
      </c>
      <c r="AB63" s="156">
        <f>Poor!AB63</f>
        <v>0.25</v>
      </c>
      <c r="AC63" s="147">
        <f t="shared" si="41"/>
        <v>16.071428571428573</v>
      </c>
      <c r="AD63" s="156">
        <f>Poor!AD63</f>
        <v>0.25</v>
      </c>
      <c r="AE63" s="147">
        <f t="shared" si="42"/>
        <v>16.071428571428573</v>
      </c>
      <c r="AF63" s="122">
        <f t="shared" si="29"/>
        <v>0.25</v>
      </c>
      <c r="AG63" s="147">
        <f t="shared" si="36"/>
        <v>16.071428571428573</v>
      </c>
      <c r="AH63" s="123">
        <f t="shared" si="43"/>
        <v>1</v>
      </c>
      <c r="AI63" s="112">
        <f t="shared" si="43"/>
        <v>64.285714285714292</v>
      </c>
      <c r="AJ63" s="148">
        <f t="shared" si="38"/>
        <v>32.142857142857146</v>
      </c>
      <c r="AK63" s="147">
        <f t="shared" si="39"/>
        <v>32.142857142857146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>Remittances: no. times per year</v>
      </c>
      <c r="B64" s="216">
        <v>1342.8571428571429</v>
      </c>
      <c r="C64" s="216">
        <v>0</v>
      </c>
      <c r="D64" s="38">
        <f t="shared" si="25"/>
        <v>1342.8571428571429</v>
      </c>
      <c r="E64" s="75">
        <f>Poor!E64</f>
        <v>1</v>
      </c>
      <c r="F64" s="75">
        <f>Poor!F64</f>
        <v>1.1100000000000001</v>
      </c>
      <c r="G64" s="75">
        <f>Poor!G64</f>
        <v>1.65</v>
      </c>
      <c r="H64" s="24">
        <f t="shared" si="30"/>
        <v>1.1100000000000001</v>
      </c>
      <c r="I64" s="39">
        <f t="shared" si="31"/>
        <v>1490.5714285714287</v>
      </c>
      <c r="J64" s="38">
        <f t="shared" si="32"/>
        <v>1490.5714285714287</v>
      </c>
      <c r="K64" s="40">
        <f t="shared" si="33"/>
        <v>4.1776343738236604E-2</v>
      </c>
      <c r="L64" s="22">
        <f t="shared" si="34"/>
        <v>4.6371741549442638E-2</v>
      </c>
      <c r="M64" s="24">
        <f t="shared" si="35"/>
        <v>4.6371741549442631E-2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372.64285714285717</v>
      </c>
      <c r="AB64" s="156">
        <f>Poor!AB64</f>
        <v>0.25</v>
      </c>
      <c r="AC64" s="149">
        <f t="shared" si="41"/>
        <v>372.64285714285717</v>
      </c>
      <c r="AD64" s="156">
        <f>Poor!AD64</f>
        <v>0.25</v>
      </c>
      <c r="AE64" s="149">
        <f t="shared" si="42"/>
        <v>372.64285714285717</v>
      </c>
      <c r="AF64" s="150">
        <f t="shared" si="29"/>
        <v>0.25</v>
      </c>
      <c r="AG64" s="149">
        <f t="shared" si="36"/>
        <v>372.64285714285717</v>
      </c>
      <c r="AH64" s="123">
        <f t="shared" si="43"/>
        <v>1</v>
      </c>
      <c r="AI64" s="112">
        <f t="shared" si="43"/>
        <v>1490.5714285714287</v>
      </c>
      <c r="AJ64" s="151">
        <f t="shared" si="38"/>
        <v>745.28571428571433</v>
      </c>
      <c r="AK64" s="149">
        <f t="shared" si="39"/>
        <v>745.28571428571433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32143.960497626485</v>
      </c>
      <c r="C65" s="39">
        <f>SUM(C37:C64)</f>
        <v>548.85714285714289</v>
      </c>
      <c r="D65" s="42">
        <f>SUM(D37:D64)</f>
        <v>32692.817640483627</v>
      </c>
      <c r="E65" s="32"/>
      <c r="F65" s="32"/>
      <c r="G65" s="32"/>
      <c r="H65" s="31"/>
      <c r="I65" s="39">
        <f>SUM(I37:I64)</f>
        <v>10985.696428571429</v>
      </c>
      <c r="J65" s="39">
        <f>SUM(J37:J64)</f>
        <v>10985.696428571429</v>
      </c>
      <c r="K65" s="40">
        <f>SUM(K37:K64)</f>
        <v>0.99999999999999989</v>
      </c>
      <c r="L65" s="22">
        <f>SUM(L37:L64)</f>
        <v>0.32255806101411083</v>
      </c>
      <c r="M65" s="24">
        <f>SUM(M37:M64)</f>
        <v>0.34176549057738592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1899.639285714286</v>
      </c>
      <c r="AB65" s="137"/>
      <c r="AC65" s="153">
        <f>SUM(AC37:AC64)</f>
        <v>1889.1035714285717</v>
      </c>
      <c r="AD65" s="137"/>
      <c r="AE65" s="153">
        <f>SUM(AE37:AE64)</f>
        <v>1910.1750000000002</v>
      </c>
      <c r="AF65" s="137"/>
      <c r="AG65" s="153">
        <f>SUM(AG37:AG64)</f>
        <v>2018.4821428571431</v>
      </c>
      <c r="AH65" s="137"/>
      <c r="AI65" s="153">
        <f>SUM(AI37:AI64)</f>
        <v>7717.4000000000015</v>
      </c>
      <c r="AJ65" s="153">
        <f>SUM(AJ37:AJ64)</f>
        <v>3788.7428571428577</v>
      </c>
      <c r="AK65" s="153">
        <f>SUM(AK37:AK64)</f>
        <v>3928.6571428571433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13674.870846626607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10985.696428571429</v>
      </c>
      <c r="J70" s="51">
        <f t="shared" ref="J70:J77" si="44">J124*I$83</f>
        <v>10985.696428571429</v>
      </c>
      <c r="K70" s="40">
        <f>B70/B$76</f>
        <v>0.42542582292049425</v>
      </c>
      <c r="L70" s="22">
        <f t="shared" ref="L70:L74" si="45">(L124*G$37*F$9/F$7)/B$130</f>
        <v>0.32255806101411089</v>
      </c>
      <c r="M70" s="24">
        <f>J70/B$76</f>
        <v>0.34176549057738592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2746.4241071428573</v>
      </c>
      <c r="AB70" s="156">
        <f>Poor!AB70</f>
        <v>0.25</v>
      </c>
      <c r="AC70" s="147">
        <f>$J70*AB70</f>
        <v>2746.4241071428573</v>
      </c>
      <c r="AD70" s="156">
        <f>Poor!AD70</f>
        <v>0.25</v>
      </c>
      <c r="AE70" s="147">
        <f>$J70*AD70</f>
        <v>2746.4241071428573</v>
      </c>
      <c r="AF70" s="156">
        <f>Poor!AF70</f>
        <v>0.25</v>
      </c>
      <c r="AG70" s="147">
        <f>$J70*AF70</f>
        <v>2746.4241071428573</v>
      </c>
      <c r="AH70" s="155">
        <f>SUM(Z70,AB70,AD70,AF70)</f>
        <v>1</v>
      </c>
      <c r="AI70" s="147">
        <f>SUM(AA70,AC70,AE70,AG70)</f>
        <v>10985.696428571429</v>
      </c>
      <c r="AJ70" s="148">
        <f>(AA70+AC70)</f>
        <v>5492.8482142857147</v>
      </c>
      <c r="AK70" s="147">
        <f>(AE70+AG70)</f>
        <v>5492.8482142857147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13673.428571428574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0.42538095367676371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25266.857142857141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0.78605301747813094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1088.8571428571429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3.3874392763068022E-2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115.63662857142857</v>
      </c>
      <c r="AB73" s="156">
        <f>Poor!AB73</f>
        <v>0.09</v>
      </c>
      <c r="AC73" s="147">
        <f>$H$73*$B$73*AB73</f>
        <v>115.63662857142857</v>
      </c>
      <c r="AD73" s="156">
        <f>Poor!AD73</f>
        <v>0.23</v>
      </c>
      <c r="AE73" s="147">
        <f>$H$73*$B$73*AD73</f>
        <v>295.51582857142859</v>
      </c>
      <c r="AF73" s="156">
        <f>Poor!AF73</f>
        <v>0.59</v>
      </c>
      <c r="AG73" s="147">
        <f>$H$73*$B$73*AF73</f>
        <v>758.06234285714288</v>
      </c>
      <c r="AH73" s="155">
        <f>SUM(Z73,AB73,AD73,AF73)</f>
        <v>1</v>
      </c>
      <c r="AI73" s="147">
        <f>SUM(AA73,AC73,AE73,AG73)</f>
        <v>1284.8514285714286</v>
      </c>
      <c r="AJ73" s="148">
        <f>(AA73+AC73)</f>
        <v>231.27325714285715</v>
      </c>
      <c r="AK73" s="147">
        <f>(AE73+AG73)</f>
        <v>1053.5781714285715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7027.4823789434731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0.2186252804617024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-846.78482142857138</v>
      </c>
      <c r="AB74" s="156"/>
      <c r="AC74" s="147">
        <f>AC30*$I$83/4</f>
        <v>-857.3205357142856</v>
      </c>
      <c r="AD74" s="156"/>
      <c r="AE74" s="147">
        <f>AE30*$I$83/4</f>
        <v>-836.24910714285716</v>
      </c>
      <c r="AF74" s="156"/>
      <c r="AG74" s="147">
        <f>AG30*$I$83/4</f>
        <v>-727.94196428571422</v>
      </c>
      <c r="AH74" s="155"/>
      <c r="AI74" s="147">
        <f>SUM(AA74,AC74,AE74,AG74)</f>
        <v>-3268.2964285714284</v>
      </c>
      <c r="AJ74" s="148">
        <f>(AA74+AC74)</f>
        <v>-1704.105357142857</v>
      </c>
      <c r="AK74" s="147">
        <f>(AE74+AG74)</f>
        <v>-1564.1910714285714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32143.960497626485</v>
      </c>
      <c r="C76" s="39"/>
      <c r="D76" s="38"/>
      <c r="E76" s="32"/>
      <c r="F76" s="32"/>
      <c r="G76" s="32"/>
      <c r="H76" s="31"/>
      <c r="I76" s="39">
        <f>I130*I$83</f>
        <v>10985.696428571429</v>
      </c>
      <c r="J76" s="51">
        <f t="shared" si="44"/>
        <v>10985.696428571429</v>
      </c>
      <c r="K76" s="40">
        <f>SUM(K70:K75)</f>
        <v>1.8893594673001592</v>
      </c>
      <c r="L76" s="22">
        <f>SUM(L70:L75)</f>
        <v>0.32255806101411089</v>
      </c>
      <c r="M76" s="24">
        <f>SUM(M70:M75)</f>
        <v>0.34176549057738592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1899.639285714286</v>
      </c>
      <c r="AB76" s="137"/>
      <c r="AC76" s="153">
        <f>AC65</f>
        <v>1889.1035714285717</v>
      </c>
      <c r="AD76" s="137"/>
      <c r="AE76" s="153">
        <f>AE65</f>
        <v>1910.1750000000002</v>
      </c>
      <c r="AF76" s="137"/>
      <c r="AG76" s="153">
        <f>AG65</f>
        <v>2018.4821428571431</v>
      </c>
      <c r="AH76" s="137"/>
      <c r="AI76" s="153">
        <f>SUM(AA76,AC76,AE76,AG76)</f>
        <v>7717.4000000000015</v>
      </c>
      <c r="AJ76" s="154">
        <f>SUM(AA76,AC76)</f>
        <v>3788.7428571428577</v>
      </c>
      <c r="AK76" s="154">
        <f>SUM(AE76,AG76)</f>
        <v>3928.6571428571433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24293.768470991541</v>
      </c>
      <c r="J77" s="100">
        <f t="shared" si="44"/>
        <v>24293.768470991541</v>
      </c>
      <c r="K77" s="40"/>
      <c r="L77" s="22">
        <f>-(L131*G$37*F$9/F$7)/B$130</f>
        <v>-0.75578018684988735</v>
      </c>
      <c r="M77" s="24">
        <f>-J77/B$76</f>
        <v>-0.75578018684988724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3285.6105282713543</v>
      </c>
      <c r="AB77" s="112"/>
      <c r="AC77" s="111">
        <f>AC31*$I$83/4</f>
        <v>3773.4041273680041</v>
      </c>
      <c r="AD77" s="112"/>
      <c r="AE77" s="111">
        <f>AE31*$I$83/4</f>
        <v>3734.3226468140756</v>
      </c>
      <c r="AF77" s="112"/>
      <c r="AG77" s="111">
        <f>AG31*$I$83/4</f>
        <v>3493.1036478598512</v>
      </c>
      <c r="AH77" s="110"/>
      <c r="AI77" s="154">
        <f>SUM(AA77,AC77,AE77,AG77)</f>
        <v>14286.440950313285</v>
      </c>
      <c r="AJ77" s="153">
        <f>SUM(AA77,AC77)</f>
        <v>7059.0146556393584</v>
      </c>
      <c r="AK77" s="160">
        <f>SUM(AE77,AG77)</f>
        <v>7227.4262946739273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">
        <v>193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-846.78482142857138</v>
      </c>
      <c r="AB79" s="112"/>
      <c r="AC79" s="112">
        <f>AA79-AA74+AC65-AC70</f>
        <v>-857.3205357142856</v>
      </c>
      <c r="AD79" s="112"/>
      <c r="AE79" s="112">
        <f>AC79-AC74+AE65-AE70</f>
        <v>-836.24910714285716</v>
      </c>
      <c r="AF79" s="112"/>
      <c r="AG79" s="112">
        <f>AE79-AE74+AG65-AG70</f>
        <v>-727.94196428571422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0.65354715486260606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6.5034145745214618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10859.486075240146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17918.152024146239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4479.5380060365596</v>
      </c>
      <c r="AB83" s="112"/>
      <c r="AC83" s="165">
        <f>$I$83*AB82/4</f>
        <v>4479.5380060365596</v>
      </c>
      <c r="AD83" s="112"/>
      <c r="AE83" s="165">
        <f>$I$83*AD82/4</f>
        <v>4479.5380060365596</v>
      </c>
      <c r="AF83" s="112"/>
      <c r="AG83" s="165">
        <f>$I$83*AF82/4</f>
        <v>4479.5380060365596</v>
      </c>
      <c r="AH83" s="165">
        <f>SUM(AA83,AC83,AE83,AG83)</f>
        <v>17918.152024146239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22094.400750382236</v>
      </c>
      <c r="C84" s="46"/>
      <c r="D84" s="234"/>
      <c r="E84" s="64"/>
      <c r="F84" s="64"/>
      <c r="G84" s="64"/>
      <c r="H84" s="235">
        <f>IF(B84=0,0,I84/B84)</f>
        <v>1.495267687941366</v>
      </c>
      <c r="I84" s="233">
        <f>(B70*H70)+((1-(D29*H29))*I83)</f>
        <v>33037.04352647403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Cows' milk sales - season 1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0.14303030303030304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Other:  hides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0.14303030303030304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6">
        <f t="shared" si="49"/>
        <v>0</v>
      </c>
      <c r="N92" s="228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Cattle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0.3575757575757576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Sheep sales - local: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0.3575757575757576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Goat sales - local: no. sold</v>
      </c>
      <c r="B95" s="75">
        <f t="shared" si="51"/>
        <v>1.8548628363531196E-2</v>
      </c>
      <c r="C95" s="75">
        <f t="shared" si="51"/>
        <v>0</v>
      </c>
      <c r="D95" s="24">
        <f t="shared" si="52"/>
        <v>1.8548628363531196E-2</v>
      </c>
      <c r="H95" s="24">
        <f t="shared" si="53"/>
        <v>0.3575757575757576</v>
      </c>
      <c r="I95" s="22">
        <f t="shared" si="54"/>
        <v>6.6325398390808523E-3</v>
      </c>
      <c r="J95" s="24">
        <f t="shared" si="55"/>
        <v>6.6325398390808523E-3</v>
      </c>
      <c r="K95" s="22">
        <f t="shared" si="56"/>
        <v>1.8548628363531196E-2</v>
      </c>
      <c r="L95" s="22">
        <f t="shared" si="57"/>
        <v>6.6325398390808523E-3</v>
      </c>
      <c r="M95" s="227">
        <f t="shared" si="49"/>
        <v>6.6325398390808523E-3</v>
      </c>
      <c r="N95" s="228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Pig sales: no sold</v>
      </c>
      <c r="B96" s="75">
        <f t="shared" si="51"/>
        <v>6.5775277884862395E-3</v>
      </c>
      <c r="C96" s="75">
        <f t="shared" si="51"/>
        <v>0</v>
      </c>
      <c r="D96" s="24">
        <f t="shared" si="52"/>
        <v>6.5775277884862395E-3</v>
      </c>
      <c r="H96" s="24">
        <f t="shared" si="53"/>
        <v>0.3575757575757576</v>
      </c>
      <c r="I96" s="22">
        <f t="shared" si="54"/>
        <v>2.3519644819435647E-3</v>
      </c>
      <c r="J96" s="24">
        <f t="shared" si="55"/>
        <v>2.3519644819435647E-3</v>
      </c>
      <c r="K96" s="22">
        <f t="shared" si="56"/>
        <v>6.5775277884862395E-3</v>
      </c>
      <c r="L96" s="22">
        <f t="shared" si="57"/>
        <v>2.3519644819435647E-3</v>
      </c>
      <c r="M96" s="227">
        <f t="shared" si="49"/>
        <v>2.3519644819435647E-3</v>
      </c>
      <c r="N96" s="228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Chicken sales: no. sold</v>
      </c>
      <c r="B97" s="75">
        <f t="shared" si="51"/>
        <v>6.2486513990619276E-3</v>
      </c>
      <c r="C97" s="75">
        <f t="shared" si="51"/>
        <v>0</v>
      </c>
      <c r="D97" s="24">
        <f t="shared" si="52"/>
        <v>6.2486513990619276E-3</v>
      </c>
      <c r="H97" s="24">
        <f t="shared" si="53"/>
        <v>0.7151515151515152</v>
      </c>
      <c r="I97" s="22">
        <f t="shared" si="54"/>
        <v>4.4687325156927728E-3</v>
      </c>
      <c r="J97" s="24">
        <f t="shared" si="55"/>
        <v>4.4687325156927728E-3</v>
      </c>
      <c r="K97" s="22">
        <f t="shared" si="56"/>
        <v>6.2486513990619276E-3</v>
      </c>
      <c r="L97" s="22">
        <f t="shared" si="57"/>
        <v>4.4687325156927728E-3</v>
      </c>
      <c r="M97" s="227">
        <f t="shared" si="49"/>
        <v>4.4687325156927728E-3</v>
      </c>
      <c r="N97" s="228">
        <v>5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Maize: kg produced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0.25454545454545457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7">
        <f t="shared" si="49"/>
        <v>0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Sorghum: kg produced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0.25454545454545457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7">
        <f t="shared" si="49"/>
        <v>0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Beans: kg produced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0.16969696969696968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7">
        <f t="shared" si="49"/>
        <v>0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Cowpeas, yams, amadumbe, chillies &amp; sugarcane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0.16969696969696968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Cabbage: no. local meas</v>
      </c>
      <c r="B102" s="75">
        <f t="shared" si="51"/>
        <v>7.8930333461834875E-4</v>
      </c>
      <c r="C102" s="75">
        <f t="shared" si="51"/>
        <v>-7.8930333461834875E-4</v>
      </c>
      <c r="D102" s="24">
        <f t="shared" si="52"/>
        <v>0</v>
      </c>
      <c r="H102" s="24">
        <f t="shared" si="53"/>
        <v>0.16969696969696968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7.8930333461834875E-4</v>
      </c>
      <c r="L102" s="22">
        <f t="shared" si="57"/>
        <v>1.3394238405644706E-4</v>
      </c>
      <c r="M102" s="227">
        <f t="shared" si="49"/>
        <v>0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Sweet potatoes &amp; potatoes</v>
      </c>
      <c r="B103" s="75">
        <f t="shared" si="51"/>
        <v>3.8281211728989914E-3</v>
      </c>
      <c r="C103" s="75">
        <f t="shared" si="51"/>
        <v>-3.8281211728989914E-3</v>
      </c>
      <c r="D103" s="24">
        <f t="shared" si="52"/>
        <v>0</v>
      </c>
      <c r="H103" s="24">
        <f t="shared" si="53"/>
        <v>0.16969696969696968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3.8281211728989914E-3</v>
      </c>
      <c r="L103" s="22">
        <f t="shared" si="57"/>
        <v>6.4962056267376821E-4</v>
      </c>
      <c r="M103" s="227">
        <f t="shared" si="49"/>
        <v>0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Veg: spinach, carrots, beet root &amp; tomatoes</v>
      </c>
      <c r="B104" s="75">
        <f t="shared" si="51"/>
        <v>2.4994605596247712E-3</v>
      </c>
      <c r="C104" s="75">
        <f t="shared" si="51"/>
        <v>-2.4994605596247712E-3</v>
      </c>
      <c r="D104" s="24">
        <f t="shared" si="52"/>
        <v>0</v>
      </c>
      <c r="H104" s="24">
        <f t="shared" si="53"/>
        <v>0.16969696969696968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2.4994605596247712E-3</v>
      </c>
      <c r="L104" s="22">
        <f t="shared" si="57"/>
        <v>4.2415088284541568E-4</v>
      </c>
      <c r="M104" s="227">
        <f t="shared" si="49"/>
        <v>0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Other crop: pumpkin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0.16969696969696968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Onions: kg produced</v>
      </c>
      <c r="B106" s="75">
        <f t="shared" si="51"/>
        <v>9.2085389038807364E-3</v>
      </c>
      <c r="C106" s="75">
        <f t="shared" si="51"/>
        <v>-6.0513255654073396E-3</v>
      </c>
      <c r="D106" s="24">
        <f t="shared" si="52"/>
        <v>3.1572133384733967E-3</v>
      </c>
      <c r="H106" s="24">
        <f t="shared" si="53"/>
        <v>0.16969696969696968</v>
      </c>
      <c r="I106" s="22">
        <f t="shared" si="54"/>
        <v>5.3576953622578845E-4</v>
      </c>
      <c r="J106" s="24">
        <f>IF(I$32&lt;=1+I132,I106,L106+J$33*(I106-L106))</f>
        <v>5.3576953622578845E-4</v>
      </c>
      <c r="K106" s="22">
        <f t="shared" si="56"/>
        <v>9.2085389038807364E-3</v>
      </c>
      <c r="L106" s="22">
        <f t="shared" si="57"/>
        <v>1.5626611473252157E-3</v>
      </c>
      <c r="M106" s="227">
        <f>(J106)</f>
        <v>5.3576953622578845E-4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Groundnuts (dry): no. local meas</v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0.16969696969696968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WILD FOODS -- see worksheet Data 3</v>
      </c>
      <c r="B108" s="75">
        <f t="shared" si="51"/>
        <v>1.7233122805833948E-2</v>
      </c>
      <c r="C108" s="75">
        <f t="shared" si="51"/>
        <v>2.5191931429902295E-2</v>
      </c>
      <c r="D108" s="24">
        <f t="shared" si="59"/>
        <v>4.242505423573624E-2</v>
      </c>
      <c r="H108" s="24">
        <f t="shared" si="60"/>
        <v>0.7151515151515152</v>
      </c>
      <c r="I108" s="22">
        <f t="shared" si="61"/>
        <v>3.0340341817071979E-2</v>
      </c>
      <c r="J108" s="24">
        <f t="shared" si="62"/>
        <v>3.0340341817071979E-2</v>
      </c>
      <c r="K108" s="22">
        <f t="shared" si="63"/>
        <v>1.7233122805833948E-2</v>
      </c>
      <c r="L108" s="22">
        <f t="shared" si="64"/>
        <v>1.232429388538428E-2</v>
      </c>
      <c r="M108" s="227">
        <f t="shared" si="65"/>
        <v>3.0340341817071979E-2</v>
      </c>
      <c r="N108" s="228">
        <v>6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Agricultural cash income -- see Data2</v>
      </c>
      <c r="B109" s="75">
        <f t="shared" si="51"/>
        <v>0.14713929662843719</v>
      </c>
      <c r="C109" s="75">
        <f t="shared" si="51"/>
        <v>0</v>
      </c>
      <c r="D109" s="24">
        <f t="shared" si="59"/>
        <v>0.14713929662843719</v>
      </c>
      <c r="H109" s="24">
        <f t="shared" si="60"/>
        <v>0.33636363636363642</v>
      </c>
      <c r="I109" s="22">
        <f t="shared" si="61"/>
        <v>4.9492308865928883E-2</v>
      </c>
      <c r="J109" s="24">
        <f t="shared" si="62"/>
        <v>4.9492308865928883E-2</v>
      </c>
      <c r="K109" s="22">
        <f t="shared" si="63"/>
        <v>0.14713929662843719</v>
      </c>
      <c r="L109" s="22">
        <f t="shared" si="64"/>
        <v>4.9492308865928883E-2</v>
      </c>
      <c r="M109" s="227">
        <f t="shared" si="65"/>
        <v>4.9492308865928883E-2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Construction cash income -- see Data2</v>
      </c>
      <c r="B110" s="75">
        <f t="shared" si="51"/>
        <v>8.8401973477255064E-2</v>
      </c>
      <c r="C110" s="75">
        <f t="shared" si="51"/>
        <v>0</v>
      </c>
      <c r="D110" s="24">
        <f t="shared" si="59"/>
        <v>8.8401973477255064E-2</v>
      </c>
      <c r="H110" s="24">
        <f t="shared" si="60"/>
        <v>0.33636363636363642</v>
      </c>
      <c r="I110" s="22">
        <f t="shared" si="61"/>
        <v>2.9735209260531255E-2</v>
      </c>
      <c r="J110" s="24">
        <f t="shared" si="62"/>
        <v>2.9735209260531255E-2</v>
      </c>
      <c r="K110" s="22">
        <f t="shared" si="63"/>
        <v>8.8401973477255064E-2</v>
      </c>
      <c r="L110" s="22">
        <f t="shared" si="64"/>
        <v>2.9735209260531255E-2</v>
      </c>
      <c r="M110" s="227">
        <f t="shared" si="65"/>
        <v>2.9735209260531255E-2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Domestic work cash income -- see Data2</v>
      </c>
      <c r="B111" s="75">
        <f t="shared" si="51"/>
        <v>0.21653221479696702</v>
      </c>
      <c r="C111" s="75">
        <f t="shared" si="51"/>
        <v>0</v>
      </c>
      <c r="D111" s="24">
        <f t="shared" si="59"/>
        <v>0.21653221479696702</v>
      </c>
      <c r="H111" s="24">
        <f t="shared" si="60"/>
        <v>0.33636363636363642</v>
      </c>
      <c r="I111" s="22">
        <f t="shared" si="61"/>
        <v>7.2833563158979833E-2</v>
      </c>
      <c r="J111" s="24">
        <f t="shared" si="62"/>
        <v>7.2833563158979833E-2</v>
      </c>
      <c r="K111" s="22">
        <f t="shared" si="63"/>
        <v>0.21653221479696702</v>
      </c>
      <c r="L111" s="22">
        <f t="shared" si="64"/>
        <v>7.2833563158979833E-2</v>
      </c>
      <c r="M111" s="227">
        <f t="shared" si="65"/>
        <v>7.2833563158979833E-2</v>
      </c>
      <c r="N111" s="228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Formal Employment (conservancies, etc.)</v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0.42909090909090908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Self-employment -- see Data2</v>
      </c>
      <c r="B113" s="75">
        <f t="shared" si="51"/>
        <v>0.19259001364687711</v>
      </c>
      <c r="C113" s="75">
        <f t="shared" si="51"/>
        <v>3.8518002729375417E-2</v>
      </c>
      <c r="D113" s="24">
        <f t="shared" si="59"/>
        <v>0.23110801637625253</v>
      </c>
      <c r="H113" s="24">
        <f t="shared" si="60"/>
        <v>0.48484848484848486</v>
      </c>
      <c r="I113" s="22">
        <f t="shared" si="61"/>
        <v>0.11205237157636487</v>
      </c>
      <c r="J113" s="24">
        <f t="shared" si="62"/>
        <v>0.11205237157636487</v>
      </c>
      <c r="K113" s="22">
        <f t="shared" si="63"/>
        <v>0.19259001364687711</v>
      </c>
      <c r="L113" s="22">
        <f t="shared" si="64"/>
        <v>9.3376976313637394E-2</v>
      </c>
      <c r="M113" s="227">
        <f t="shared" si="65"/>
        <v>0.11205237157636487</v>
      </c>
      <c r="N113" s="228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>Small business -- see Data2</v>
      </c>
      <c r="B114" s="75">
        <f t="shared" si="51"/>
        <v>4.7358200077100933E-2</v>
      </c>
      <c r="C114" s="75">
        <f t="shared" si="51"/>
        <v>0</v>
      </c>
      <c r="D114" s="24">
        <f t="shared" si="59"/>
        <v>4.7358200077100933E-2</v>
      </c>
      <c r="H114" s="24">
        <f t="shared" si="60"/>
        <v>0.57212121212121214</v>
      </c>
      <c r="I114" s="22">
        <f t="shared" si="61"/>
        <v>2.7094630831989867E-2</v>
      </c>
      <c r="J114" s="24">
        <f t="shared" si="62"/>
        <v>2.7094630831989867E-2</v>
      </c>
      <c r="K114" s="22">
        <f t="shared" si="63"/>
        <v>4.7358200077100933E-2</v>
      </c>
      <c r="L114" s="22">
        <f t="shared" si="64"/>
        <v>2.7094630831989867E-2</v>
      </c>
      <c r="M114" s="227">
        <f t="shared" si="65"/>
        <v>2.7094630831989867E-2</v>
      </c>
      <c r="N114" s="228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>Social development -- see Data2</v>
      </c>
      <c r="B115" s="75">
        <f t="shared" si="51"/>
        <v>1.8066722301832363</v>
      </c>
      <c r="C115" s="75">
        <f t="shared" si="51"/>
        <v>0</v>
      </c>
      <c r="D115" s="24">
        <f t="shared" si="59"/>
        <v>1.8066722301832363</v>
      </c>
      <c r="H115" s="24">
        <f t="shared" si="60"/>
        <v>0</v>
      </c>
      <c r="I115" s="22">
        <f t="shared" si="61"/>
        <v>0</v>
      </c>
      <c r="J115" s="24">
        <f t="shared" si="62"/>
        <v>0</v>
      </c>
      <c r="K115" s="22">
        <f t="shared" si="63"/>
        <v>1.8066722301832363</v>
      </c>
      <c r="L115" s="22">
        <f t="shared" si="64"/>
        <v>0</v>
      </c>
      <c r="M115" s="227">
        <f t="shared" si="65"/>
        <v>0</v>
      </c>
      <c r="N115" s="228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>Public works -- see Data2</v>
      </c>
      <c r="B116" s="75">
        <f t="shared" si="51"/>
        <v>0.26678452710100192</v>
      </c>
      <c r="C116" s="75">
        <f t="shared" si="51"/>
        <v>0</v>
      </c>
      <c r="D116" s="24">
        <f t="shared" si="59"/>
        <v>0.26678452710100192</v>
      </c>
      <c r="H116" s="24">
        <f t="shared" si="60"/>
        <v>0.7151515151515152</v>
      </c>
      <c r="I116" s="22">
        <f t="shared" si="61"/>
        <v>0.19079135877526199</v>
      </c>
      <c r="J116" s="24">
        <f t="shared" si="62"/>
        <v>0.19079135877526199</v>
      </c>
      <c r="K116" s="22">
        <f t="shared" si="63"/>
        <v>0.26678452710100192</v>
      </c>
      <c r="L116" s="22">
        <f t="shared" si="64"/>
        <v>0.19079135877526199</v>
      </c>
      <c r="M116" s="227">
        <f t="shared" si="65"/>
        <v>0.19079135877526199</v>
      </c>
      <c r="N116" s="228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>Other income: e.g. Credit (cotton loans)</v>
      </c>
      <c r="B117" s="75">
        <f t="shared" si="51"/>
        <v>5.9197750096376166E-3</v>
      </c>
      <c r="C117" s="75">
        <f t="shared" si="51"/>
        <v>0</v>
      </c>
      <c r="D117" s="24">
        <f t="shared" si="59"/>
        <v>5.9197750096376166E-3</v>
      </c>
      <c r="H117" s="24">
        <f t="shared" si="60"/>
        <v>0.60606060606060608</v>
      </c>
      <c r="I117" s="22">
        <f t="shared" si="61"/>
        <v>3.5877424300834043E-3</v>
      </c>
      <c r="J117" s="24">
        <f t="shared" si="62"/>
        <v>3.5877424300834043E-3</v>
      </c>
      <c r="K117" s="22">
        <f t="shared" si="63"/>
        <v>5.9197750096376166E-3</v>
      </c>
      <c r="L117" s="22">
        <f t="shared" si="64"/>
        <v>3.5877424300834043E-3</v>
      </c>
      <c r="M117" s="227">
        <f t="shared" si="65"/>
        <v>3.5877424300834043E-3</v>
      </c>
      <c r="N117" s="228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>Remittances: no. times per year</v>
      </c>
      <c r="B118" s="75">
        <f t="shared" si="51"/>
        <v>0.12365752242354131</v>
      </c>
      <c r="C118" s="75">
        <f t="shared" si="51"/>
        <v>0</v>
      </c>
      <c r="D118" s="24">
        <f t="shared" si="59"/>
        <v>0.12365752242354131</v>
      </c>
      <c r="H118" s="24">
        <f t="shared" si="60"/>
        <v>0.67272727272727284</v>
      </c>
      <c r="I118" s="22">
        <f t="shared" si="61"/>
        <v>8.3187787812200528E-2</v>
      </c>
      <c r="J118" s="24">
        <f t="shared" si="62"/>
        <v>8.3187787812200528E-2</v>
      </c>
      <c r="K118" s="22">
        <f t="shared" si="63"/>
        <v>0.12365752242354131</v>
      </c>
      <c r="L118" s="22">
        <f t="shared" si="64"/>
        <v>8.3187787812200528E-2</v>
      </c>
      <c r="M118" s="227">
        <f t="shared" si="65"/>
        <v>8.3187787812200528E-2</v>
      </c>
      <c r="N118" s="228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2.9599891076719906</v>
      </c>
      <c r="C119" s="22">
        <f>SUM(C91:C118)</f>
        <v>5.0541723526728262E-2</v>
      </c>
      <c r="D119" s="24">
        <f>SUM(D91:D118)</f>
        <v>3.0105308311987193</v>
      </c>
      <c r="E119" s="22"/>
      <c r="F119" s="2"/>
      <c r="G119" s="2"/>
      <c r="H119" s="31"/>
      <c r="I119" s="22">
        <f>SUM(I91:I118)</f>
        <v>0.61310432090135558</v>
      </c>
      <c r="J119" s="24">
        <f>SUM(J91:J118)</f>
        <v>0.61310432090135558</v>
      </c>
      <c r="K119" s="22">
        <f>SUM(K91:K118)</f>
        <v>2.9599891076719906</v>
      </c>
      <c r="L119" s="22">
        <f>SUM(L91:L118)</f>
        <v>0.57864748314761549</v>
      </c>
      <c r="M119" s="57">
        <f t="shared" si="49"/>
        <v>0.61310432090135558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1.2592558019670561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0.61310432090135558</v>
      </c>
      <c r="J124" s="236">
        <f>IF(SUMPRODUCT($B$124:$B124,$H$124:$H124)&lt;J$119,($B124*$H124),J$119)</f>
        <v>0.61310432090135558</v>
      </c>
      <c r="K124" s="29">
        <f>(B124)</f>
        <v>1.2592558019670561</v>
      </c>
      <c r="L124" s="29">
        <f>IF(SUMPRODUCT($B$124:$B124,$H$124:$H124)&lt;L$119,($B124*$H124),L$119)</f>
        <v>0.57864748314761549</v>
      </c>
      <c r="M124" s="239">
        <f t="shared" si="66"/>
        <v>0.61310432090135558</v>
      </c>
      <c r="N124" s="58"/>
      <c r="O124" s="174">
        <f>B124*H124</f>
        <v>1.0684594683356841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1.2591229894943441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6">
        <f>IF(SUMPRODUCT($B$124:$B125,$H$124:$H125)&lt;J$119,($B125*$H125),IF(SUMPRODUCT($B$124:$B124,$H$124:$H124)&lt;J$119,J$119-SUMPRODUCT($B$124:$B124,$H$124:$H124),0))</f>
        <v>0</v>
      </c>
      <c r="K125" s="29">
        <f>(B125)</f>
        <v>1.2591229894943441</v>
      </c>
      <c r="L125" s="29">
        <f>IF(SUMPRODUCT($B$124:$B125,$H$124:$H125)&lt;L$119,($B125*$H125),IF(SUMPRODUCT($B$124:$B124,$H$124:$H124)&lt;L$119,L$119-SUMPRODUCT($B$124:$B124,$H$124:$H124),0))</f>
        <v>0</v>
      </c>
      <c r="M125" s="239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2.3267083697879682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2.3267083697879682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0.10026783360768424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0.10026783360768424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7.1706693125495394E-2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0.64712844882837317</v>
      </c>
      <c r="C128" s="2"/>
      <c r="D128" s="31"/>
      <c r="E128" s="2"/>
      <c r="F128" s="2"/>
      <c r="G128" s="2"/>
      <c r="H128" s="24"/>
      <c r="I128" s="29">
        <f>(I30)</f>
        <v>0</v>
      </c>
      <c r="J128" s="227">
        <f>(J30)</f>
        <v>0</v>
      </c>
      <c r="K128" s="29">
        <f>(B128)</f>
        <v>0.64712844882837317</v>
      </c>
      <c r="L128" s="29">
        <f>IF(L124=L119,0,(L119-L124)/(B119-B124)*K128)</f>
        <v>0</v>
      </c>
      <c r="M128" s="239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2.9599891076719906</v>
      </c>
      <c r="C130" s="2"/>
      <c r="D130" s="31"/>
      <c r="E130" s="2"/>
      <c r="F130" s="2"/>
      <c r="G130" s="2"/>
      <c r="H130" s="24"/>
      <c r="I130" s="29">
        <f>(I119)</f>
        <v>0.61310432090135558</v>
      </c>
      <c r="J130" s="227">
        <f>(J119)</f>
        <v>0.61310432090135558</v>
      </c>
      <c r="K130" s="29">
        <f>(B130)</f>
        <v>2.9599891076719906</v>
      </c>
      <c r="L130" s="29">
        <f>(L119)</f>
        <v>0.57864748314761549</v>
      </c>
      <c r="M130" s="239">
        <f t="shared" si="66"/>
        <v>0.61310432090135558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1.3558188611333142</v>
      </c>
      <c r="J131" s="236">
        <f>IF(SUMPRODUCT($B124:$B125,$H124:$H125)&gt;(J119-J128),SUMPRODUCT($B124:$B125,$H124:$H125)+J128-J119,0)</f>
        <v>1.3558188611333142</v>
      </c>
      <c r="K131" s="29"/>
      <c r="L131" s="29">
        <f>IF(I131&lt;SUM(L126:L127),0,I131-(SUM(L126:L127)))</f>
        <v>1.3558188611333142</v>
      </c>
      <c r="M131" s="236">
        <f>IF(I131&lt;SUM(M126:M127),0,I131-(SUM(M126:M127)))</f>
        <v>1.3558188611333142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07" priority="244" operator="equal">
      <formula>16</formula>
    </cfRule>
    <cfRule type="cellIs" dxfId="506" priority="245" operator="equal">
      <formula>15</formula>
    </cfRule>
    <cfRule type="cellIs" dxfId="505" priority="246" operator="equal">
      <formula>14</formula>
    </cfRule>
    <cfRule type="cellIs" dxfId="504" priority="247" operator="equal">
      <formula>13</formula>
    </cfRule>
    <cfRule type="cellIs" dxfId="503" priority="248" operator="equal">
      <formula>12</formula>
    </cfRule>
    <cfRule type="cellIs" dxfId="502" priority="249" operator="equal">
      <formula>11</formula>
    </cfRule>
    <cfRule type="cellIs" dxfId="501" priority="250" operator="equal">
      <formula>10</formula>
    </cfRule>
    <cfRule type="cellIs" dxfId="500" priority="251" operator="equal">
      <formula>9</formula>
    </cfRule>
    <cfRule type="cellIs" dxfId="499" priority="252" operator="equal">
      <formula>8</formula>
    </cfRule>
    <cfRule type="cellIs" dxfId="498" priority="253" operator="equal">
      <formula>7</formula>
    </cfRule>
    <cfRule type="cellIs" dxfId="497" priority="254" operator="equal">
      <formula>6</formula>
    </cfRule>
    <cfRule type="cellIs" dxfId="496" priority="255" operator="equal">
      <formula>5</formula>
    </cfRule>
    <cfRule type="cellIs" dxfId="495" priority="256" operator="equal">
      <formula>4</formula>
    </cfRule>
    <cfRule type="cellIs" dxfId="494" priority="257" operator="equal">
      <formula>3</formula>
    </cfRule>
    <cfRule type="cellIs" dxfId="493" priority="258" operator="equal">
      <formula>2</formula>
    </cfRule>
    <cfRule type="cellIs" dxfId="492" priority="259" operator="equal">
      <formula>1</formula>
    </cfRule>
  </conditionalFormatting>
  <conditionalFormatting sqref="N29">
    <cfRule type="cellIs" dxfId="491" priority="228" operator="equal">
      <formula>16</formula>
    </cfRule>
    <cfRule type="cellIs" dxfId="490" priority="229" operator="equal">
      <formula>15</formula>
    </cfRule>
    <cfRule type="cellIs" dxfId="489" priority="230" operator="equal">
      <formula>14</formula>
    </cfRule>
    <cfRule type="cellIs" dxfId="488" priority="231" operator="equal">
      <formula>13</formula>
    </cfRule>
    <cfRule type="cellIs" dxfId="487" priority="232" operator="equal">
      <formula>12</formula>
    </cfRule>
    <cfRule type="cellIs" dxfId="486" priority="233" operator="equal">
      <formula>11</formula>
    </cfRule>
    <cfRule type="cellIs" dxfId="485" priority="234" operator="equal">
      <formula>10</formula>
    </cfRule>
    <cfRule type="cellIs" dxfId="484" priority="235" operator="equal">
      <formula>9</formula>
    </cfRule>
    <cfRule type="cellIs" dxfId="483" priority="236" operator="equal">
      <formula>8</formula>
    </cfRule>
    <cfRule type="cellIs" dxfId="482" priority="237" operator="equal">
      <formula>7</formula>
    </cfRule>
    <cfRule type="cellIs" dxfId="481" priority="238" operator="equal">
      <formula>6</formula>
    </cfRule>
    <cfRule type="cellIs" dxfId="480" priority="239" operator="equal">
      <formula>5</formula>
    </cfRule>
    <cfRule type="cellIs" dxfId="479" priority="240" operator="equal">
      <formula>4</formula>
    </cfRule>
    <cfRule type="cellIs" dxfId="478" priority="241" operator="equal">
      <formula>3</formula>
    </cfRule>
    <cfRule type="cellIs" dxfId="477" priority="242" operator="equal">
      <formula>2</formula>
    </cfRule>
    <cfRule type="cellIs" dxfId="476" priority="243" operator="equal">
      <formula>1</formula>
    </cfRule>
  </conditionalFormatting>
  <conditionalFormatting sqref="N119">
    <cfRule type="cellIs" dxfId="475" priority="212" operator="equal">
      <formula>16</formula>
    </cfRule>
    <cfRule type="cellIs" dxfId="474" priority="213" operator="equal">
      <formula>15</formula>
    </cfRule>
    <cfRule type="cellIs" dxfId="473" priority="214" operator="equal">
      <formula>14</formula>
    </cfRule>
    <cfRule type="cellIs" dxfId="472" priority="215" operator="equal">
      <formula>13</formula>
    </cfRule>
    <cfRule type="cellIs" dxfId="471" priority="216" operator="equal">
      <formula>12</formula>
    </cfRule>
    <cfRule type="cellIs" dxfId="470" priority="217" operator="equal">
      <formula>11</formula>
    </cfRule>
    <cfRule type="cellIs" dxfId="469" priority="218" operator="equal">
      <formula>10</formula>
    </cfRule>
    <cfRule type="cellIs" dxfId="468" priority="219" operator="equal">
      <formula>9</formula>
    </cfRule>
    <cfRule type="cellIs" dxfId="467" priority="220" operator="equal">
      <formula>8</formula>
    </cfRule>
    <cfRule type="cellIs" dxfId="466" priority="221" operator="equal">
      <formula>7</formula>
    </cfRule>
    <cfRule type="cellIs" dxfId="465" priority="222" operator="equal">
      <formula>6</formula>
    </cfRule>
    <cfRule type="cellIs" dxfId="464" priority="223" operator="equal">
      <formula>5</formula>
    </cfRule>
    <cfRule type="cellIs" dxfId="463" priority="224" operator="equal">
      <formula>4</formula>
    </cfRule>
    <cfRule type="cellIs" dxfId="462" priority="225" operator="equal">
      <formula>3</formula>
    </cfRule>
    <cfRule type="cellIs" dxfId="461" priority="226" operator="equal">
      <formula>2</formula>
    </cfRule>
    <cfRule type="cellIs" dxfId="460" priority="227" operator="equal">
      <formula>1</formula>
    </cfRule>
  </conditionalFormatting>
  <conditionalFormatting sqref="N27:N28">
    <cfRule type="cellIs" dxfId="459" priority="164" operator="equal">
      <formula>16</formula>
    </cfRule>
    <cfRule type="cellIs" dxfId="458" priority="165" operator="equal">
      <formula>15</formula>
    </cfRule>
    <cfRule type="cellIs" dxfId="457" priority="166" operator="equal">
      <formula>14</formula>
    </cfRule>
    <cfRule type="cellIs" dxfId="456" priority="167" operator="equal">
      <formula>13</formula>
    </cfRule>
    <cfRule type="cellIs" dxfId="455" priority="168" operator="equal">
      <formula>12</formula>
    </cfRule>
    <cfRule type="cellIs" dxfId="454" priority="169" operator="equal">
      <formula>11</formula>
    </cfRule>
    <cfRule type="cellIs" dxfId="453" priority="170" operator="equal">
      <formula>10</formula>
    </cfRule>
    <cfRule type="cellIs" dxfId="452" priority="171" operator="equal">
      <formula>9</formula>
    </cfRule>
    <cfRule type="cellIs" dxfId="451" priority="172" operator="equal">
      <formula>8</formula>
    </cfRule>
    <cfRule type="cellIs" dxfId="450" priority="173" operator="equal">
      <formula>7</formula>
    </cfRule>
    <cfRule type="cellIs" dxfId="449" priority="174" operator="equal">
      <formula>6</formula>
    </cfRule>
    <cfRule type="cellIs" dxfId="448" priority="175" operator="equal">
      <formula>5</formula>
    </cfRule>
    <cfRule type="cellIs" dxfId="447" priority="176" operator="equal">
      <formula>4</formula>
    </cfRule>
    <cfRule type="cellIs" dxfId="446" priority="177" operator="equal">
      <formula>3</formula>
    </cfRule>
    <cfRule type="cellIs" dxfId="445" priority="178" operator="equal">
      <formula>2</formula>
    </cfRule>
    <cfRule type="cellIs" dxfId="444" priority="179" operator="equal">
      <formula>1</formula>
    </cfRule>
  </conditionalFormatting>
  <conditionalFormatting sqref="R31:T31">
    <cfRule type="cellIs" dxfId="443" priority="83" operator="greaterThan">
      <formula>0</formula>
    </cfRule>
  </conditionalFormatting>
  <conditionalFormatting sqref="R32:T32">
    <cfRule type="cellIs" dxfId="442" priority="82" operator="greaterThan">
      <formula>0</formula>
    </cfRule>
  </conditionalFormatting>
  <conditionalFormatting sqref="R30:T30">
    <cfRule type="cellIs" dxfId="441" priority="81" operator="greaterThan">
      <formula>0</formula>
    </cfRule>
  </conditionalFormatting>
  <conditionalFormatting sqref="N6:N26">
    <cfRule type="cellIs" dxfId="440" priority="65" operator="equal">
      <formula>16</formula>
    </cfRule>
    <cfRule type="cellIs" dxfId="439" priority="66" operator="equal">
      <formula>15</formula>
    </cfRule>
    <cfRule type="cellIs" dxfId="438" priority="67" operator="equal">
      <formula>14</formula>
    </cfRule>
    <cfRule type="cellIs" dxfId="437" priority="68" operator="equal">
      <formula>13</formula>
    </cfRule>
    <cfRule type="cellIs" dxfId="436" priority="69" operator="equal">
      <formula>12</formula>
    </cfRule>
    <cfRule type="cellIs" dxfId="435" priority="70" operator="equal">
      <formula>11</formula>
    </cfRule>
    <cfRule type="cellIs" dxfId="434" priority="71" operator="equal">
      <formula>10</formula>
    </cfRule>
    <cfRule type="cellIs" dxfId="433" priority="72" operator="equal">
      <formula>9</formula>
    </cfRule>
    <cfRule type="cellIs" dxfId="432" priority="73" operator="equal">
      <formula>8</formula>
    </cfRule>
    <cfRule type="cellIs" dxfId="431" priority="74" operator="equal">
      <formula>7</formula>
    </cfRule>
    <cfRule type="cellIs" dxfId="430" priority="75" operator="equal">
      <formula>6</formula>
    </cfRule>
    <cfRule type="cellIs" dxfId="429" priority="76" operator="equal">
      <formula>5</formula>
    </cfRule>
    <cfRule type="cellIs" dxfId="428" priority="77" operator="equal">
      <formula>4</formula>
    </cfRule>
    <cfRule type="cellIs" dxfId="427" priority="78" operator="equal">
      <formula>3</formula>
    </cfRule>
    <cfRule type="cellIs" dxfId="426" priority="79" operator="equal">
      <formula>2</formula>
    </cfRule>
    <cfRule type="cellIs" dxfId="425" priority="80" operator="equal">
      <formula>1</formula>
    </cfRule>
  </conditionalFormatting>
  <conditionalFormatting sqref="N113:N118">
    <cfRule type="cellIs" dxfId="424" priority="49" operator="equal">
      <formula>16</formula>
    </cfRule>
    <cfRule type="cellIs" dxfId="423" priority="50" operator="equal">
      <formula>15</formula>
    </cfRule>
    <cfRule type="cellIs" dxfId="422" priority="51" operator="equal">
      <formula>14</formula>
    </cfRule>
    <cfRule type="cellIs" dxfId="421" priority="52" operator="equal">
      <formula>13</formula>
    </cfRule>
    <cfRule type="cellIs" dxfId="420" priority="53" operator="equal">
      <formula>12</formula>
    </cfRule>
    <cfRule type="cellIs" dxfId="419" priority="54" operator="equal">
      <formula>11</formula>
    </cfRule>
    <cfRule type="cellIs" dxfId="418" priority="55" operator="equal">
      <formula>10</formula>
    </cfRule>
    <cfRule type="cellIs" dxfId="417" priority="56" operator="equal">
      <formula>9</formula>
    </cfRule>
    <cfRule type="cellIs" dxfId="416" priority="57" operator="equal">
      <formula>8</formula>
    </cfRule>
    <cfRule type="cellIs" dxfId="415" priority="58" operator="equal">
      <formula>7</formula>
    </cfRule>
    <cfRule type="cellIs" dxfId="414" priority="59" operator="equal">
      <formula>6</formula>
    </cfRule>
    <cfRule type="cellIs" dxfId="413" priority="60" operator="equal">
      <formula>5</formula>
    </cfRule>
    <cfRule type="cellIs" dxfId="412" priority="61" operator="equal">
      <formula>4</formula>
    </cfRule>
    <cfRule type="cellIs" dxfId="411" priority="62" operator="equal">
      <formula>3</formula>
    </cfRule>
    <cfRule type="cellIs" dxfId="410" priority="63" operator="equal">
      <formula>2</formula>
    </cfRule>
    <cfRule type="cellIs" dxfId="409" priority="64" operator="equal">
      <formula>1</formula>
    </cfRule>
  </conditionalFormatting>
  <conditionalFormatting sqref="N112">
    <cfRule type="cellIs" dxfId="408" priority="33" operator="equal">
      <formula>16</formula>
    </cfRule>
    <cfRule type="cellIs" dxfId="407" priority="34" operator="equal">
      <formula>15</formula>
    </cfRule>
    <cfRule type="cellIs" dxfId="406" priority="35" operator="equal">
      <formula>14</formula>
    </cfRule>
    <cfRule type="cellIs" dxfId="405" priority="36" operator="equal">
      <formula>13</formula>
    </cfRule>
    <cfRule type="cellIs" dxfId="404" priority="37" operator="equal">
      <formula>12</formula>
    </cfRule>
    <cfRule type="cellIs" dxfId="403" priority="38" operator="equal">
      <formula>11</formula>
    </cfRule>
    <cfRule type="cellIs" dxfId="402" priority="39" operator="equal">
      <formula>10</formula>
    </cfRule>
    <cfRule type="cellIs" dxfId="401" priority="40" operator="equal">
      <formula>9</formula>
    </cfRule>
    <cfRule type="cellIs" dxfId="400" priority="41" operator="equal">
      <formula>8</formula>
    </cfRule>
    <cfRule type="cellIs" dxfId="399" priority="42" operator="equal">
      <formula>7</formula>
    </cfRule>
    <cfRule type="cellIs" dxfId="398" priority="43" operator="equal">
      <formula>6</formula>
    </cfRule>
    <cfRule type="cellIs" dxfId="397" priority="44" operator="equal">
      <formula>5</formula>
    </cfRule>
    <cfRule type="cellIs" dxfId="396" priority="45" operator="equal">
      <formula>4</formula>
    </cfRule>
    <cfRule type="cellIs" dxfId="395" priority="46" operator="equal">
      <formula>3</formula>
    </cfRule>
    <cfRule type="cellIs" dxfId="394" priority="47" operator="equal">
      <formula>2</formula>
    </cfRule>
    <cfRule type="cellIs" dxfId="393" priority="48" operator="equal">
      <formula>1</formula>
    </cfRule>
  </conditionalFormatting>
  <conditionalFormatting sqref="N91:N104">
    <cfRule type="cellIs" dxfId="392" priority="17" operator="equal">
      <formula>16</formula>
    </cfRule>
    <cfRule type="cellIs" dxfId="391" priority="18" operator="equal">
      <formula>15</formula>
    </cfRule>
    <cfRule type="cellIs" dxfId="390" priority="19" operator="equal">
      <formula>14</formula>
    </cfRule>
    <cfRule type="cellIs" dxfId="389" priority="20" operator="equal">
      <formula>13</formula>
    </cfRule>
    <cfRule type="cellIs" dxfId="388" priority="21" operator="equal">
      <formula>12</formula>
    </cfRule>
    <cfRule type="cellIs" dxfId="387" priority="22" operator="equal">
      <formula>11</formula>
    </cfRule>
    <cfRule type="cellIs" dxfId="386" priority="23" operator="equal">
      <formula>10</formula>
    </cfRule>
    <cfRule type="cellIs" dxfId="385" priority="24" operator="equal">
      <formula>9</formula>
    </cfRule>
    <cfRule type="cellIs" dxfId="384" priority="25" operator="equal">
      <formula>8</formula>
    </cfRule>
    <cfRule type="cellIs" dxfId="383" priority="26" operator="equal">
      <formula>7</formula>
    </cfRule>
    <cfRule type="cellIs" dxfId="382" priority="27" operator="equal">
      <formula>6</formula>
    </cfRule>
    <cfRule type="cellIs" dxfId="381" priority="28" operator="equal">
      <formula>5</formula>
    </cfRule>
    <cfRule type="cellIs" dxfId="380" priority="29" operator="equal">
      <formula>4</formula>
    </cfRule>
    <cfRule type="cellIs" dxfId="379" priority="30" operator="equal">
      <formula>3</formula>
    </cfRule>
    <cfRule type="cellIs" dxfId="378" priority="31" operator="equal">
      <formula>2</formula>
    </cfRule>
    <cfRule type="cellIs" dxfId="377" priority="32" operator="equal">
      <formula>1</formula>
    </cfRule>
  </conditionalFormatting>
  <conditionalFormatting sqref="N105:N111">
    <cfRule type="cellIs" dxfId="376" priority="1" operator="equal">
      <formula>16</formula>
    </cfRule>
    <cfRule type="cellIs" dxfId="375" priority="2" operator="equal">
      <formula>15</formula>
    </cfRule>
    <cfRule type="cellIs" dxfId="374" priority="3" operator="equal">
      <formula>14</formula>
    </cfRule>
    <cfRule type="cellIs" dxfId="373" priority="4" operator="equal">
      <formula>13</formula>
    </cfRule>
    <cfRule type="cellIs" dxfId="372" priority="5" operator="equal">
      <formula>12</formula>
    </cfRule>
    <cfRule type="cellIs" dxfId="371" priority="6" operator="equal">
      <formula>11</formula>
    </cfRule>
    <cfRule type="cellIs" dxfId="370" priority="7" operator="equal">
      <formula>10</formula>
    </cfRule>
    <cfRule type="cellIs" dxfId="369" priority="8" operator="equal">
      <formula>9</formula>
    </cfRule>
    <cfRule type="cellIs" dxfId="368" priority="9" operator="equal">
      <formula>8</formula>
    </cfRule>
    <cfRule type="cellIs" dxfId="367" priority="10" operator="equal">
      <formula>7</formula>
    </cfRule>
    <cfRule type="cellIs" dxfId="366" priority="11" operator="equal">
      <formula>6</formula>
    </cfRule>
    <cfRule type="cellIs" dxfId="365" priority="12" operator="equal">
      <formula>5</formula>
    </cfRule>
    <cfRule type="cellIs" dxfId="364" priority="13" operator="equal">
      <formula>4</formula>
    </cfRule>
    <cfRule type="cellIs" dxfId="363" priority="14" operator="equal">
      <formula>3</formula>
    </cfRule>
    <cfRule type="cellIs" dxfId="362" priority="15" operator="equal">
      <formula>2</formula>
    </cfRule>
    <cfRule type="cellIs" dxfId="361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29" activePane="bottomRight" state="frozen"/>
      <selection pane="topRight" activeCell="B1" sqref="B1"/>
      <selection pane="bottomLeft" activeCell="A3" sqref="A3"/>
      <selection pane="bottomRight" activeCell="E59" sqref="E59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73" t="s">
        <v>169</v>
      </c>
      <c r="B1" s="243" t="s">
        <v>170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9" t="s">
        <v>105</v>
      </c>
      <c r="AA1" s="260"/>
      <c r="AB1" s="259" t="s">
        <v>106</v>
      </c>
      <c r="AC1" s="260"/>
      <c r="AD1" s="259" t="s">
        <v>107</v>
      </c>
      <c r="AE1" s="260"/>
      <c r="AF1" s="259" t="s">
        <v>108</v>
      </c>
      <c r="AG1" s="260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7" t="s">
        <v>109</v>
      </c>
      <c r="AA2" s="261"/>
      <c r="AB2" s="257" t="s">
        <v>110</v>
      </c>
      <c r="AC2" s="261"/>
      <c r="AD2" s="257" t="s">
        <v>111</v>
      </c>
      <c r="AE2" s="261"/>
      <c r="AF2" s="257" t="s">
        <v>112</v>
      </c>
      <c r="AG2" s="261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">
        <v>145</v>
      </c>
      <c r="B6" s="215">
        <v>3.1909559153175587E-2</v>
      </c>
      <c r="C6" s="215">
        <v>0</v>
      </c>
      <c r="D6" s="24">
        <f t="shared" ref="D6:D16" si="0">SUM(B6,C6)</f>
        <v>3.1909559153175587E-2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6.3819118306351176E-3</v>
      </c>
      <c r="J6" s="24">
        <f t="shared" ref="J6:J13" si="3">IF(I$32&lt;=1+I$131,I6,B6*H6+J$33*(I6-B6*H6))</f>
        <v>6.3819118306351176E-3</v>
      </c>
      <c r="K6" s="22">
        <f t="shared" ref="K6:K31" si="4">B6</f>
        <v>3.1909559153175587E-2</v>
      </c>
      <c r="L6" s="22">
        <f t="shared" ref="L6:L29" si="5">IF(K6="","",K6*H6)</f>
        <v>6.3819118306351176E-3</v>
      </c>
      <c r="M6" s="223">
        <f t="shared" ref="M6:M31" si="6">J6</f>
        <v>6.3819118306351176E-3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2.5527647322540471E-2</v>
      </c>
      <c r="Z6" s="116">
        <v>0.17</v>
      </c>
      <c r="AA6" s="121">
        <f>$M6*Z6*4</f>
        <v>4.3397000448318806E-3</v>
      </c>
      <c r="AB6" s="116">
        <v>0.17</v>
      </c>
      <c r="AC6" s="121">
        <f t="shared" ref="AC6:AC29" si="7">$M6*AB6*4</f>
        <v>4.3397000448318806E-3</v>
      </c>
      <c r="AD6" s="116">
        <v>0.33</v>
      </c>
      <c r="AE6" s="121">
        <f t="shared" ref="AE6:AE29" si="8">$M6*AD6*4</f>
        <v>8.4241236164383556E-3</v>
      </c>
      <c r="AF6" s="122">
        <f>1-SUM(Z6,AB6,AD6)</f>
        <v>0.32999999999999996</v>
      </c>
      <c r="AG6" s="121">
        <f>$M6*AF6*4</f>
        <v>8.4241236164383539E-3</v>
      </c>
      <c r="AH6" s="123">
        <f>SUM(Z6,AB6,AD6,AF6)</f>
        <v>1</v>
      </c>
      <c r="AI6" s="183">
        <f>SUM(AA6,AC6,AE6,AG6)/4</f>
        <v>6.3819118306351176E-3</v>
      </c>
      <c r="AJ6" s="120">
        <f>(AA6+AC6)/2</f>
        <v>4.3397000448318806E-3</v>
      </c>
      <c r="AK6" s="119">
        <f>(AE6+AG6)/2</f>
        <v>8.4241236164383539E-3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">
        <v>146</v>
      </c>
      <c r="B7" s="215">
        <v>1.0189543497598291E-2</v>
      </c>
      <c r="C7" s="215">
        <v>0</v>
      </c>
      <c r="D7" s="24">
        <f t="shared" si="0"/>
        <v>1.0189543497598291E-2</v>
      </c>
      <c r="E7" s="26">
        <v>0.2</v>
      </c>
      <c r="F7" s="27">
        <v>8800</v>
      </c>
      <c r="H7" s="24">
        <f t="shared" si="1"/>
        <v>0.2</v>
      </c>
      <c r="I7" s="22">
        <f t="shared" si="2"/>
        <v>2.0379086995196585E-3</v>
      </c>
      <c r="J7" s="24">
        <f t="shared" si="3"/>
        <v>2.0379086995196585E-3</v>
      </c>
      <c r="K7" s="22">
        <f t="shared" si="4"/>
        <v>1.0189543497598291E-2</v>
      </c>
      <c r="L7" s="22">
        <f t="shared" si="5"/>
        <v>2.0379086995196585E-3</v>
      </c>
      <c r="M7" s="223">
        <f t="shared" si="6"/>
        <v>2.0379086995196585E-3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4523.1068643348763</v>
      </c>
      <c r="S7" s="221">
        <f>IF($B$81=0,0,(SUMIF($N$6:$N$28,$U7,L$6:L$28)+SUMIF($N$91:$N$118,$U7,L$91:L$118))*$I$83*Poor!$B$81/$B$81)</f>
        <v>1220.6860954174042</v>
      </c>
      <c r="T7" s="221">
        <f>IF($B$81=0,0,(SUMIF($N$6:$N$28,$U7,M$6:M$28)+SUMIF($N$91:$N$118,$U7,M$91:M$118))*$I$83*Poor!$B$81/$B$81)</f>
        <v>1365.6805554831799</v>
      </c>
      <c r="U7" s="222">
        <v>1</v>
      </c>
      <c r="V7" s="56"/>
      <c r="W7" s="115"/>
      <c r="X7" s="124">
        <v>4</v>
      </c>
      <c r="Y7" s="183">
        <f t="shared" ref="Y7:Y29" si="9">M7*4</f>
        <v>8.151634798078634E-3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8.151634798078634E-3</v>
      </c>
      <c r="AH7" s="123">
        <f t="shared" ref="AH7:AH30" si="12">SUM(Z7,AB7,AD7,AF7)</f>
        <v>1</v>
      </c>
      <c r="AI7" s="183">
        <f t="shared" ref="AI7:AI30" si="13">SUM(AA7,AC7,AE7,AG7)/4</f>
        <v>2.0379086995196585E-3</v>
      </c>
      <c r="AJ7" s="120">
        <f t="shared" ref="AJ7:AJ31" si="14">(AA7+AC7)/2</f>
        <v>0</v>
      </c>
      <c r="AK7" s="119">
        <f t="shared" ref="AK7:AK31" si="15">(AE7+AG7)/2</f>
        <v>4.075817399039317E-3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">
        <v>147</v>
      </c>
      <c r="B8" s="215">
        <v>1.8025760818804481E-2</v>
      </c>
      <c r="C8" s="215">
        <v>0</v>
      </c>
      <c r="D8" s="24">
        <f t="shared" si="0"/>
        <v>1.8025760818804481E-2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3.6051521637608963E-3</v>
      </c>
      <c r="J8" s="24">
        <f t="shared" si="3"/>
        <v>3.6051521637608963E-3</v>
      </c>
      <c r="K8" s="22">
        <f t="shared" si="4"/>
        <v>1.8025760818804481E-2</v>
      </c>
      <c r="L8" s="22">
        <f t="shared" si="5"/>
        <v>3.6051521637608963E-3</v>
      </c>
      <c r="M8" s="223">
        <f t="shared" si="6"/>
        <v>3.6051521637608963E-3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836.92268590775336</v>
      </c>
      <c r="S8" s="221">
        <f>IF($B$81=0,0,(SUMIF($N$6:$N$28,$U8,L$6:L$28)+SUMIF($N$91:$N$118,$U8,L$91:L$118))*$I$83*Poor!$B$81/$B$81)</f>
        <v>156.71999999999997</v>
      </c>
      <c r="T8" s="221">
        <f>IF($B$81=0,0,(SUMIF($N$6:$N$28,$U8,M$6:M$28)+SUMIF($N$91:$N$118,$U8,M$91:M$118))*$I$83*Poor!$B$81/$B$81)</f>
        <v>5.7999999999999954</v>
      </c>
      <c r="U8" s="222">
        <v>2</v>
      </c>
      <c r="V8" s="184"/>
      <c r="W8" s="115"/>
      <c r="X8" s="124">
        <v>1</v>
      </c>
      <c r="Y8" s="183">
        <f t="shared" si="9"/>
        <v>1.4420608655043585E-2</v>
      </c>
      <c r="Z8" s="125">
        <f>IF($Y8=0,0,AA8/$Y8)</f>
        <v>0.35814827876236471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5.1647161685095195E-3</v>
      </c>
      <c r="AB8" s="125">
        <f>IF($Y8=0,0,AC8/$Y8)</f>
        <v>0.41231333594295067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5.9458092608888078E-3</v>
      </c>
      <c r="AD8" s="125">
        <f>IF($Y8=0,0,AE8/$Y8)</f>
        <v>0.22953838529468454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3.3100832256452569E-3</v>
      </c>
      <c r="AF8" s="122">
        <f t="shared" si="10"/>
        <v>0</v>
      </c>
      <c r="AG8" s="121">
        <f t="shared" si="11"/>
        <v>0</v>
      </c>
      <c r="AH8" s="123">
        <f t="shared" si="12"/>
        <v>0.99999999999999989</v>
      </c>
      <c r="AI8" s="183">
        <f t="shared" si="13"/>
        <v>3.6051521637608958E-3</v>
      </c>
      <c r="AJ8" s="120">
        <f t="shared" si="14"/>
        <v>5.5552627146991636E-3</v>
      </c>
      <c r="AK8" s="119">
        <f t="shared" si="15"/>
        <v>1.6550416128226285E-3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">
        <v>148</v>
      </c>
      <c r="B9" s="215">
        <v>2.4642857142857143E-2</v>
      </c>
      <c r="C9" s="215">
        <v>0</v>
      </c>
      <c r="D9" s="24">
        <f t="shared" si="0"/>
        <v>2.4642857142857143E-2</v>
      </c>
      <c r="E9" s="26">
        <v>0.2</v>
      </c>
      <c r="F9" s="28">
        <v>8800</v>
      </c>
      <c r="H9" s="24">
        <f t="shared" si="1"/>
        <v>0.2</v>
      </c>
      <c r="I9" s="22">
        <f t="shared" si="2"/>
        <v>4.9285714285714289E-3</v>
      </c>
      <c r="J9" s="24">
        <f t="shared" si="3"/>
        <v>4.9285714285714289E-3</v>
      </c>
      <c r="K9" s="22">
        <f t="shared" si="4"/>
        <v>2.4642857142857143E-2</v>
      </c>
      <c r="L9" s="22">
        <f t="shared" si="5"/>
        <v>4.9285714285714289E-3</v>
      </c>
      <c r="M9" s="223">
        <f t="shared" si="6"/>
        <v>4.9285714285714289E-3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1115.7689497461563</v>
      </c>
      <c r="S9" s="221">
        <f>IF($B$81=0,0,(SUMIF($N$6:$N$28,$U9,L$6:L$28)+SUMIF($N$91:$N$118,$U9,L$91:L$118))*$I$83*Poor!$B$81/$B$81)</f>
        <v>246.24604436090095</v>
      </c>
      <c r="T9" s="221">
        <f>IF($B$81=0,0,(SUMIF($N$6:$N$28,$U9,M$6:M$28)+SUMIF($N$91:$N$118,$U9,M$91:M$118))*$I$83*Poor!$B$81/$B$81)</f>
        <v>246.24604436090095</v>
      </c>
      <c r="U9" s="222">
        <v>3</v>
      </c>
      <c r="V9" s="56"/>
      <c r="W9" s="115"/>
      <c r="X9" s="124">
        <v>1</v>
      </c>
      <c r="Y9" s="183">
        <f t="shared" si="9"/>
        <v>1.9714285714285715E-2</v>
      </c>
      <c r="Z9" s="125">
        <f>IF($Y9=0,0,AA9/$Y9)</f>
        <v>0.35814827876236471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7.0606374956009047E-3</v>
      </c>
      <c r="AB9" s="125">
        <f>IF($Y9=0,0,AC9/$Y9)</f>
        <v>0.41231333594295067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8.1284629085895989E-3</v>
      </c>
      <c r="AD9" s="125">
        <f>IF($Y9=0,0,AE9/$Y9)</f>
        <v>0.22953838529468459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4.5251853100952109E-3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4.9285714285714289E-3</v>
      </c>
      <c r="AJ9" s="120">
        <f t="shared" si="14"/>
        <v>7.5945502020952523E-3</v>
      </c>
      <c r="AK9" s="119">
        <f t="shared" si="15"/>
        <v>2.2625926550476055E-3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">
        <v>149</v>
      </c>
      <c r="B10" s="215">
        <v>0.10863097089041096</v>
      </c>
      <c r="C10" s="215">
        <v>0</v>
      </c>
      <c r="D10" s="24">
        <f t="shared" si="0"/>
        <v>0.10863097089041096</v>
      </c>
      <c r="E10" s="26">
        <v>0.3</v>
      </c>
      <c r="H10" s="24">
        <f t="shared" si="1"/>
        <v>0.3</v>
      </c>
      <c r="I10" s="22">
        <f t="shared" si="2"/>
        <v>3.2589291267123288E-2</v>
      </c>
      <c r="J10" s="24">
        <f t="shared" si="3"/>
        <v>3.2589291267123288E-2</v>
      </c>
      <c r="K10" s="22">
        <f t="shared" si="4"/>
        <v>0.10863097089041096</v>
      </c>
      <c r="L10" s="22">
        <f t="shared" si="5"/>
        <v>3.2589291267123288E-2</v>
      </c>
      <c r="M10" s="223">
        <f t="shared" si="6"/>
        <v>3.2589291267123288E-2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2.1360966970590951</v>
      </c>
      <c r="S10" s="221">
        <f>IF($B$81=0,0,(SUMIF($N$6:$N$28,$U10,L$6:L$28)+SUMIF($N$91:$N$118,$U10,L$91:L$118))*$I$83*Poor!$B$81/$B$81)</f>
        <v>0.33714285714285719</v>
      </c>
      <c r="T10" s="221">
        <f>IF($B$81=0,0,(SUMIF($N$6:$N$28,$U10,M$6:M$28)+SUMIF($N$91:$N$118,$U10,M$91:M$118))*$I$83*Poor!$B$81/$B$81)</f>
        <v>0.33714285714285719</v>
      </c>
      <c r="U10" s="222">
        <v>4</v>
      </c>
      <c r="V10" s="56"/>
      <c r="W10" s="115"/>
      <c r="X10" s="124">
        <v>1</v>
      </c>
      <c r="Y10" s="183">
        <f t="shared" si="9"/>
        <v>0.13035716506849315</v>
      </c>
      <c r="Z10" s="125">
        <f>IF($Y10=0,0,AA10/$Y10)</f>
        <v>0.35814827876236471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4.6687194293622281E-2</v>
      </c>
      <c r="AB10" s="125">
        <f>IF($Y10=0,0,AC10/$Y10)</f>
        <v>0.41231333594295072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5.3747997593456297E-2</v>
      </c>
      <c r="AD10" s="125">
        <f>IF($Y10=0,0,AE10/$Y10)</f>
        <v>0.22953838529468454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2.9921973181414575E-2</v>
      </c>
      <c r="AF10" s="122">
        <f t="shared" si="10"/>
        <v>0</v>
      </c>
      <c r="AG10" s="121">
        <f t="shared" si="11"/>
        <v>0</v>
      </c>
      <c r="AH10" s="123">
        <f t="shared" si="12"/>
        <v>0.99999999999999989</v>
      </c>
      <c r="AI10" s="183">
        <f t="shared" si="13"/>
        <v>3.2589291267123288E-2</v>
      </c>
      <c r="AJ10" s="120">
        <f t="shared" si="14"/>
        <v>5.0217595943539292E-2</v>
      </c>
      <c r="AK10" s="119">
        <f t="shared" si="15"/>
        <v>1.4960986590707288E-2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">
        <v>150</v>
      </c>
      <c r="B11" s="215">
        <v>0</v>
      </c>
      <c r="C11" s="215">
        <v>0</v>
      </c>
      <c r="D11" s="24">
        <f t="shared" si="0"/>
        <v>0</v>
      </c>
      <c r="E11" s="26">
        <v>0.3</v>
      </c>
      <c r="H11" s="24">
        <f t="shared" si="1"/>
        <v>0.3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4582.2478296963172</v>
      </c>
      <c r="S11" s="221">
        <f>IF($B$81=0,0,(SUMIF($N$6:$N$28,$U11,L$6:L$28)+SUMIF($N$91:$N$118,$U11,L$91:L$118))*$I$83*Poor!$B$81/$B$81)</f>
        <v>1846.9107142857147</v>
      </c>
      <c r="T11" s="221">
        <f>IF($B$81=0,0,(SUMIF($N$6:$N$28,$U11,M$6:M$28)+SUMIF($N$91:$N$118,$U11,M$91:M$118))*$I$83*Poor!$B$81/$B$81)</f>
        <v>1735.569285714286</v>
      </c>
      <c r="U11" s="222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">
        <v>151</v>
      </c>
      <c r="B12" s="215">
        <v>4.3851245401174167E-2</v>
      </c>
      <c r="C12" s="215">
        <v>0</v>
      </c>
      <c r="D12" s="24">
        <f t="shared" si="0"/>
        <v>4.3851245401174167E-2</v>
      </c>
      <c r="E12" s="26">
        <v>0.2</v>
      </c>
      <c r="H12" s="24">
        <f t="shared" si="1"/>
        <v>0.2</v>
      </c>
      <c r="I12" s="22">
        <f t="shared" si="2"/>
        <v>8.7702490802348335E-3</v>
      </c>
      <c r="J12" s="24">
        <f t="shared" si="3"/>
        <v>8.7702490802348335E-3</v>
      </c>
      <c r="K12" s="22">
        <f t="shared" si="4"/>
        <v>4.3851245401174167E-2</v>
      </c>
      <c r="L12" s="22">
        <f t="shared" si="5"/>
        <v>8.7702490802348335E-3</v>
      </c>
      <c r="M12" s="223">
        <f t="shared" si="6"/>
        <v>8.7702490802348335E-3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261.67846338279497</v>
      </c>
      <c r="S12" s="221">
        <f>IF($B$81=0,0,(SUMIF($N$6:$N$28,$U12,L$6:L$28)+SUMIF($N$91:$N$118,$U12,L$91:L$118))*$I$83*Poor!$B$81/$B$81)</f>
        <v>245.7858742604524</v>
      </c>
      <c r="T12" s="221">
        <f>IF($B$81=0,0,(SUMIF($N$6:$N$28,$U12,M$6:M$28)+SUMIF($N$91:$N$118,$U12,M$91:M$118))*$I$83*Poor!$B$81/$B$81)</f>
        <v>379.32228644264376</v>
      </c>
      <c r="U12" s="222">
        <v>6</v>
      </c>
      <c r="V12" s="56"/>
      <c r="W12" s="117"/>
      <c r="X12" s="118"/>
      <c r="Y12" s="183">
        <f t="shared" si="9"/>
        <v>3.5080996320939334E-2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2.3504267535029356E-2</v>
      </c>
      <c r="AF12" s="122">
        <f>1-SUM(Z12,AB12,AD12)</f>
        <v>0.32999999999999996</v>
      </c>
      <c r="AG12" s="121">
        <f>$M12*AF12*4</f>
        <v>1.1576728785909979E-2</v>
      </c>
      <c r="AH12" s="123">
        <f t="shared" si="12"/>
        <v>1</v>
      </c>
      <c r="AI12" s="183">
        <f t="shared" si="13"/>
        <v>8.7702490802348335E-3</v>
      </c>
      <c r="AJ12" s="120">
        <f t="shared" si="14"/>
        <v>0</v>
      </c>
      <c r="AK12" s="119">
        <f t="shared" si="15"/>
        <v>1.7540498160469667E-2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">
        <v>152</v>
      </c>
      <c r="B13" s="215">
        <v>0</v>
      </c>
      <c r="C13" s="215">
        <v>0</v>
      </c>
      <c r="D13" s="24">
        <f t="shared" si="0"/>
        <v>0</v>
      </c>
      <c r="E13" s="26"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10014.697008700983</v>
      </c>
      <c r="S13" s="221">
        <f>IF($B$81=0,0,(SUMIF($N$6:$N$28,$U13,L$6:L$28)+SUMIF($N$91:$N$118,$U13,L$91:L$118))*$I$83*Poor!$B$81/$B$81)</f>
        <v>3789.6470929628144</v>
      </c>
      <c r="T13" s="221">
        <f>IF($B$81=0,0,(SUMIF($N$6:$N$28,$U13,M$6:M$28)+SUMIF($N$91:$N$118,$U13,M$91:M$118))*$I$83*Poor!$B$81/$B$81)</f>
        <v>3789.6470929628144</v>
      </c>
      <c r="U13" s="222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">
        <v>153</v>
      </c>
      <c r="B14" s="215">
        <v>8.3353977939868342E-3</v>
      </c>
      <c r="C14" s="215">
        <v>6.0542312310976772E-4</v>
      </c>
      <c r="D14" s="24">
        <f t="shared" si="0"/>
        <v>8.9408209170966021E-3</v>
      </c>
      <c r="E14" s="26">
        <v>0.2</v>
      </c>
      <c r="F14" s="22"/>
      <c r="H14" s="24">
        <f t="shared" si="1"/>
        <v>0.2</v>
      </c>
      <c r="I14" s="22">
        <f t="shared" si="2"/>
        <v>1.7881641834193206E-3</v>
      </c>
      <c r="J14" s="24">
        <f>IF(I$32&lt;=1+I131,I14,B14*H14+J$33*(I14-B14*H14))</f>
        <v>1.7881641834193206E-3</v>
      </c>
      <c r="K14" s="22">
        <f t="shared" si="4"/>
        <v>8.3353977939868342E-3</v>
      </c>
      <c r="L14" s="22">
        <f t="shared" si="5"/>
        <v>1.667079558797367E-3</v>
      </c>
      <c r="M14" s="224">
        <f t="shared" si="6"/>
        <v>1.7881641834193206E-3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7.1526567336772824E-3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7.1526567336772824E-3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1.7881641834193206E-3</v>
      </c>
      <c r="AJ14" s="120">
        <f t="shared" si="14"/>
        <v>3.5763283668386412E-3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">
        <v>154</v>
      </c>
      <c r="B15" s="215">
        <v>2.7192490882405264E-3</v>
      </c>
      <c r="C15" s="215">
        <v>2.4713574097135735E-4</v>
      </c>
      <c r="D15" s="24">
        <f t="shared" si="0"/>
        <v>2.9663848292118839E-3</v>
      </c>
      <c r="E15" s="26">
        <v>0.2</v>
      </c>
      <c r="F15" s="22"/>
      <c r="H15" s="24">
        <f t="shared" si="1"/>
        <v>0.2</v>
      </c>
      <c r="I15" s="22">
        <f t="shared" si="2"/>
        <v>5.9327696584237678E-4</v>
      </c>
      <c r="J15" s="24">
        <f>IF(I$32&lt;=1+I131,I15,B15*H15+J$33*(I15-B15*H15))</f>
        <v>5.9327696584237678E-4</v>
      </c>
      <c r="K15" s="22">
        <f t="shared" si="4"/>
        <v>2.7192490882405264E-3</v>
      </c>
      <c r="L15" s="22">
        <f t="shared" si="5"/>
        <v>5.4384981764810526E-4</v>
      </c>
      <c r="M15" s="225">
        <f t="shared" si="6"/>
        <v>5.9327696584237678E-4</v>
      </c>
      <c r="N15" s="228">
        <v>1</v>
      </c>
      <c r="O15" s="2"/>
      <c r="P15" s="22"/>
      <c r="Q15" s="59" t="s">
        <v>127</v>
      </c>
      <c r="R15" s="221">
        <f>IF($B$81=0,0,(SUMIF($N$6:$N$28,$U15,K$6:K$28)+SUMIF($N$91:$N$118,$U15,K$91:K$118))*$B$83*$H$84*Poor!$B$81/$B$81)</f>
        <v>2952.2992450053753</v>
      </c>
      <c r="S15" s="221">
        <f>IF($B$81=0,0,(SUMIF($N$6:$N$28,$U15,L$6:L$28)+SUMIF($N$91:$N$118,$U15,L$91:L$118))*$I$83*Poor!$B$81/$B$81)</f>
        <v>2329.8257142857146</v>
      </c>
      <c r="T15" s="221">
        <f>IF($B$81=0,0,(SUMIF($N$6:$N$28,$U15,M$6:M$28)+SUMIF($N$91:$N$118,$U15,M$91:M$118))*$I$83*Poor!$B$81/$B$81)</f>
        <v>2329.8257142857146</v>
      </c>
      <c r="U15" s="222">
        <v>9</v>
      </c>
      <c r="V15" s="56"/>
      <c r="W15" s="110"/>
      <c r="X15" s="118"/>
      <c r="Y15" s="183">
        <f t="shared" si="9"/>
        <v>2.3731078633695071E-3</v>
      </c>
      <c r="Z15" s="116">
        <v>0.25</v>
      </c>
      <c r="AA15" s="121">
        <f t="shared" si="16"/>
        <v>5.9327696584237678E-4</v>
      </c>
      <c r="AB15" s="116">
        <v>0.25</v>
      </c>
      <c r="AC15" s="121">
        <f t="shared" si="7"/>
        <v>5.9327696584237678E-4</v>
      </c>
      <c r="AD15" s="116">
        <v>0.25</v>
      </c>
      <c r="AE15" s="121">
        <f t="shared" si="8"/>
        <v>5.9327696584237678E-4</v>
      </c>
      <c r="AF15" s="122">
        <f t="shared" si="10"/>
        <v>0.25</v>
      </c>
      <c r="AG15" s="121">
        <f t="shared" si="11"/>
        <v>5.9327696584237678E-4</v>
      </c>
      <c r="AH15" s="123">
        <f t="shared" si="12"/>
        <v>1</v>
      </c>
      <c r="AI15" s="183">
        <f t="shared" si="13"/>
        <v>5.9327696584237678E-4</v>
      </c>
      <c r="AJ15" s="120">
        <f t="shared" si="14"/>
        <v>5.9327696584237678E-4</v>
      </c>
      <c r="AK15" s="119">
        <f t="shared" si="15"/>
        <v>5.9327696584237678E-4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">
        <v>155</v>
      </c>
      <c r="B16" s="215">
        <v>5.6982360967799319E-3</v>
      </c>
      <c r="C16" s="215">
        <v>5.9353317914961781E-4</v>
      </c>
      <c r="D16" s="24">
        <f t="shared" si="0"/>
        <v>6.29176927592955E-3</v>
      </c>
      <c r="E16" s="26">
        <v>0.2</v>
      </c>
      <c r="F16" s="22"/>
      <c r="H16" s="24">
        <f t="shared" si="1"/>
        <v>0.2</v>
      </c>
      <c r="I16" s="22">
        <f t="shared" si="2"/>
        <v>1.2583538551859102E-3</v>
      </c>
      <c r="J16" s="24">
        <f>IF(I$32&lt;=1+I131,I16,B16*H16+J$33*(I16-B16*H16))</f>
        <v>1.2583538551859102E-3</v>
      </c>
      <c r="K16" s="22">
        <f t="shared" si="4"/>
        <v>5.6982360967799319E-3</v>
      </c>
      <c r="L16" s="22">
        <f t="shared" si="5"/>
        <v>1.1396472193559864E-3</v>
      </c>
      <c r="M16" s="223">
        <f t="shared" si="6"/>
        <v>1.2583538551859102E-3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2516.3219091356141</v>
      </c>
      <c r="S16" s="221">
        <f>IF($B$81=0,0,(SUMIF($N$6:$N$28,$U16,L$6:L$28)+SUMIF($N$91:$N$118,$U16,L$91:L$118))*$I$83*Poor!$B$81/$B$81)</f>
        <v>1346.2857142857142</v>
      </c>
      <c r="T16" s="221">
        <f>IF($B$81=0,0,(SUMIF($N$6:$N$28,$U16,M$6:M$28)+SUMIF($N$91:$N$118,$U16,M$91:M$118))*$I$83*Poor!$B$81/$B$81)</f>
        <v>1615.5428571428572</v>
      </c>
      <c r="U16" s="222">
        <v>10</v>
      </c>
      <c r="V16" s="56"/>
      <c r="W16" s="110"/>
      <c r="X16" s="118"/>
      <c r="Y16" s="183">
        <f t="shared" si="9"/>
        <v>5.0334154207436407E-3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5.0334154207436407E-3</v>
      </c>
      <c r="AH16" s="123">
        <f t="shared" si="12"/>
        <v>1</v>
      </c>
      <c r="AI16" s="183">
        <f t="shared" si="13"/>
        <v>1.2583538551859102E-3</v>
      </c>
      <c r="AJ16" s="120">
        <f t="shared" si="14"/>
        <v>0</v>
      </c>
      <c r="AK16" s="119">
        <f t="shared" si="15"/>
        <v>2.5167077103718204E-3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">
        <v>156</v>
      </c>
      <c r="B17" s="215">
        <v>8.4002018768902335E-3</v>
      </c>
      <c r="C17" s="215">
        <v>0</v>
      </c>
      <c r="D17" s="24">
        <f>SUM(B17,C17)</f>
        <v>8.4002018768902335E-3</v>
      </c>
      <c r="E17" s="26">
        <v>0.2</v>
      </c>
      <c r="F17" s="22"/>
      <c r="H17" s="24">
        <f t="shared" si="1"/>
        <v>0.2</v>
      </c>
      <c r="I17" s="22">
        <f t="shared" si="2"/>
        <v>1.6800403753780468E-3</v>
      </c>
      <c r="J17" s="24">
        <f t="shared" ref="J17:J25" si="17">IF(I$32&lt;=1+I131,I17,B17*H17+J$33*(I17-B17*H17))</f>
        <v>1.6800403753780468E-3</v>
      </c>
      <c r="K17" s="22">
        <f t="shared" si="4"/>
        <v>8.4002018768902335E-3</v>
      </c>
      <c r="L17" s="22">
        <f t="shared" si="5"/>
        <v>1.6800403753780468E-3</v>
      </c>
      <c r="M17" s="224">
        <f t="shared" si="6"/>
        <v>1.6800403753780468E-3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2999.0797626709691</v>
      </c>
      <c r="S17" s="221">
        <f>IF($B$81=0,0,(SUMIF($N$6:$N$28,$U17,L$6:L$28)+SUMIF($N$91:$N$118,$U17,L$91:L$118))*$I$83*Poor!$B$81/$B$81)</f>
        <v>1893.3942857142856</v>
      </c>
      <c r="T17" s="221">
        <f>IF($B$81=0,0,(SUMIF($N$6:$N$28,$U17,M$6:M$28)+SUMIF($N$91:$N$118,$U17,M$91:M$118))*$I$83*Poor!$B$81/$B$81)</f>
        <v>1893.3942857142856</v>
      </c>
      <c r="U17" s="222">
        <v>11</v>
      </c>
      <c r="V17" s="56"/>
      <c r="W17" s="110"/>
      <c r="X17" s="118"/>
      <c r="Y17" s="183">
        <f t="shared" si="9"/>
        <v>6.7201615015121874E-3</v>
      </c>
      <c r="Z17" s="116">
        <v>0.29409999999999997</v>
      </c>
      <c r="AA17" s="121">
        <f t="shared" si="16"/>
        <v>1.9763994975947343E-3</v>
      </c>
      <c r="AB17" s="116">
        <v>0.17649999999999999</v>
      </c>
      <c r="AC17" s="121">
        <f t="shared" si="7"/>
        <v>1.1861085050169011E-3</v>
      </c>
      <c r="AD17" s="116">
        <v>0.23530000000000001</v>
      </c>
      <c r="AE17" s="121">
        <f t="shared" si="8"/>
        <v>1.5812540013058177E-3</v>
      </c>
      <c r="AF17" s="122">
        <f t="shared" si="10"/>
        <v>0.29410000000000003</v>
      </c>
      <c r="AG17" s="121">
        <f t="shared" si="11"/>
        <v>1.9763994975947343E-3</v>
      </c>
      <c r="AH17" s="123">
        <f t="shared" si="12"/>
        <v>1</v>
      </c>
      <c r="AI17" s="183">
        <f t="shared" si="13"/>
        <v>1.6800403753780471E-3</v>
      </c>
      <c r="AJ17" s="120">
        <f t="shared" si="14"/>
        <v>1.5812540013058177E-3</v>
      </c>
      <c r="AK17" s="119">
        <f t="shared" si="15"/>
        <v>1.778826749450276E-3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">
        <v>157</v>
      </c>
      <c r="B18" s="215">
        <v>4.3612474648639038E-3</v>
      </c>
      <c r="C18" s="215">
        <v>5.9775840597758416E-5</v>
      </c>
      <c r="D18" s="24">
        <f t="shared" ref="D18:D20" si="18">SUM(B18,C18)</f>
        <v>4.4210233054616625E-3</v>
      </c>
      <c r="E18" s="26">
        <v>0.2</v>
      </c>
      <c r="F18" s="22"/>
      <c r="H18" s="24">
        <f t="shared" ref="H18:H20" si="19">(E18*F$7/F$9)</f>
        <v>0.2</v>
      </c>
      <c r="I18" s="22">
        <f t="shared" ref="I18:I20" si="20">(D18*H18)</f>
        <v>8.8420466109233255E-4</v>
      </c>
      <c r="J18" s="24">
        <f t="shared" si="17"/>
        <v>8.8420466109233255E-4</v>
      </c>
      <c r="K18" s="22">
        <f t="shared" ref="K18:K20" si="21">B18</f>
        <v>4.3612474648639038E-3</v>
      </c>
      <c r="L18" s="22">
        <f t="shared" ref="L18:L20" si="22">IF(K18="","",K18*H18)</f>
        <v>8.7224949297278083E-4</v>
      </c>
      <c r="M18" s="224">
        <f t="shared" ref="M18:M20" si="23">J18</f>
        <v>8.8420466109233255E-4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2083.7806600068589</v>
      </c>
      <c r="S18" s="221">
        <f>IF($B$81=0,0,(SUMIF($N$6:$N$28,$U18,L$6:L$28)+SUMIF($N$91:$N$118,$U18,L$91:L$118))*$I$83*Poor!$B$81/$B$81)</f>
        <v>2299.4130861912531</v>
      </c>
      <c r="T18" s="221">
        <f>IF($B$81=0,0,(SUMIF($N$6:$N$28,$U18,M$6:M$28)+SUMIF($N$91:$N$118,$U18,M$91:M$118))*$I$83*Poor!$B$81/$B$81)</f>
        <v>2299.4130861912531</v>
      </c>
      <c r="U18" s="222">
        <v>12</v>
      </c>
      <c r="V18" s="56"/>
      <c r="W18" s="110"/>
      <c r="X18" s="118"/>
      <c r="Y18" s="183">
        <f t="shared" ref="Y18:Y20" si="24">M18*4</f>
        <v>3.5368186443693302E-3</v>
      </c>
      <c r="Z18" s="116">
        <v>1.2941</v>
      </c>
      <c r="AA18" s="121">
        <f t="shared" ref="AA18:AA20" si="25">$M18*Z18*4</f>
        <v>4.5769970076783503E-3</v>
      </c>
      <c r="AB18" s="116">
        <v>1.1765000000000001</v>
      </c>
      <c r="AC18" s="121">
        <f t="shared" ref="AC18:AC20" si="26">$M18*AB18*4</f>
        <v>4.1610671351005176E-3</v>
      </c>
      <c r="AD18" s="116">
        <v>1.2353000000000001</v>
      </c>
      <c r="AE18" s="121">
        <f t="shared" ref="AE18:AE20" si="27">$M18*AD18*4</f>
        <v>4.3690320713894336E-3</v>
      </c>
      <c r="AF18" s="122">
        <f t="shared" ref="AF18:AF20" si="28">1-SUM(Z18,AB18,AD18)</f>
        <v>-2.7059000000000002</v>
      </c>
      <c r="AG18" s="121">
        <f t="shared" ref="AG18:AG20" si="29">$M18*AF18*4</f>
        <v>-9.5702775697989705E-3</v>
      </c>
      <c r="AH18" s="123">
        <f t="shared" ref="AH18:AH20" si="30">SUM(Z18,AB18,AD18,AF18)</f>
        <v>1</v>
      </c>
      <c r="AI18" s="183">
        <f t="shared" ref="AI18:AI20" si="31">SUM(AA18,AC18,AE18,AG18)/4</f>
        <v>8.842046610923332E-4</v>
      </c>
      <c r="AJ18" s="120">
        <f t="shared" ref="AJ18:AJ20" si="32">(AA18+AC18)/2</f>
        <v>4.3690320713894344E-3</v>
      </c>
      <c r="AK18" s="119">
        <f t="shared" ref="AK18:AK20" si="33">(AE18+AG18)/2</f>
        <v>-2.6006227492047685E-3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">
        <v>158</v>
      </c>
      <c r="B19" s="215">
        <v>2.4478921010496351E-2</v>
      </c>
      <c r="C19" s="215">
        <v>3.3744846335171677E-2</v>
      </c>
      <c r="D19" s="24">
        <f t="shared" si="18"/>
        <v>5.8223767345668032E-2</v>
      </c>
      <c r="E19" s="26">
        <v>0.2</v>
      </c>
      <c r="F19" s="22"/>
      <c r="H19" s="24">
        <f t="shared" si="19"/>
        <v>0.2</v>
      </c>
      <c r="I19" s="22">
        <f t="shared" si="20"/>
        <v>1.1644753469133608E-2</v>
      </c>
      <c r="J19" s="24">
        <f t="shared" si="17"/>
        <v>1.1644753469133608E-2</v>
      </c>
      <c r="K19" s="22">
        <f t="shared" si="21"/>
        <v>2.4478921010496351E-2</v>
      </c>
      <c r="L19" s="22">
        <f t="shared" si="22"/>
        <v>4.8957842020992707E-3</v>
      </c>
      <c r="M19" s="224">
        <f t="shared" si="23"/>
        <v>1.1644753469133608E-2</v>
      </c>
      <c r="N19" s="228">
        <v>1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14.925919327655205</v>
      </c>
      <c r="S19" s="221">
        <f>IF($B$81=0,0,(SUMIF($N$6:$N$28,$U19,L$6:L$28)+SUMIF($N$91:$N$118,$U19,L$91:L$118))*$I$83*Poor!$B$81/$B$81)</f>
        <v>16.470473540786369</v>
      </c>
      <c r="T19" s="221">
        <f>IF($B$81=0,0,(SUMIF($N$6:$N$28,$U19,M$6:M$28)+SUMIF($N$91:$N$118,$U19,M$91:M$118))*$I$83*Poor!$B$81/$B$81)</f>
        <v>16.470473540786369</v>
      </c>
      <c r="U19" s="222">
        <v>13</v>
      </c>
      <c r="V19" s="56"/>
      <c r="W19" s="110"/>
      <c r="X19" s="118"/>
      <c r="Y19" s="183">
        <f t="shared" si="24"/>
        <v>4.6579013876534431E-2</v>
      </c>
      <c r="Z19" s="116">
        <v>2.2940999999999998</v>
      </c>
      <c r="AA19" s="121">
        <f t="shared" si="25"/>
        <v>0.10685691573415763</v>
      </c>
      <c r="AB19" s="116">
        <v>2.1764999999999999</v>
      </c>
      <c r="AC19" s="121">
        <f t="shared" si="26"/>
        <v>0.10137922370227719</v>
      </c>
      <c r="AD19" s="116">
        <v>2.2353000000000001</v>
      </c>
      <c r="AE19" s="121">
        <f t="shared" si="27"/>
        <v>0.10411806971821741</v>
      </c>
      <c r="AF19" s="122">
        <f t="shared" si="28"/>
        <v>-5.7058999999999997</v>
      </c>
      <c r="AG19" s="121">
        <f t="shared" si="29"/>
        <v>-0.26577519527811777</v>
      </c>
      <c r="AH19" s="123">
        <f t="shared" si="30"/>
        <v>1</v>
      </c>
      <c r="AI19" s="183">
        <f t="shared" si="31"/>
        <v>1.1644753469133615E-2</v>
      </c>
      <c r="AJ19" s="120">
        <f t="shared" si="32"/>
        <v>0.10411806971821741</v>
      </c>
      <c r="AK19" s="119">
        <f t="shared" si="33"/>
        <v>-8.082856277995018E-2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">
        <v>159</v>
      </c>
      <c r="B20" s="215">
        <v>7.7029870129870131E-3</v>
      </c>
      <c r="C20" s="215">
        <v>0</v>
      </c>
      <c r="D20" s="24">
        <f t="shared" si="18"/>
        <v>7.7029870129870131E-3</v>
      </c>
      <c r="E20" s="26">
        <v>0.2</v>
      </c>
      <c r="F20" s="22"/>
      <c r="H20" s="24">
        <f t="shared" si="19"/>
        <v>0.2</v>
      </c>
      <c r="I20" s="22">
        <f t="shared" si="20"/>
        <v>1.5405974025974028E-3</v>
      </c>
      <c r="J20" s="24">
        <f t="shared" si="17"/>
        <v>1.5405974025974028E-3</v>
      </c>
      <c r="K20" s="22">
        <f t="shared" si="21"/>
        <v>7.7029870129870131E-3</v>
      </c>
      <c r="L20" s="22">
        <f t="shared" si="22"/>
        <v>1.5405974025974028E-3</v>
      </c>
      <c r="M20" s="224">
        <f t="shared" si="23"/>
        <v>1.5405974025974028E-3</v>
      </c>
      <c r="N20" s="228">
        <v>1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33512.701830892402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>
        <f t="shared" si="24"/>
        <v>6.1623896103896111E-3</v>
      </c>
      <c r="Z20" s="116">
        <v>3.2940999999999998</v>
      </c>
      <c r="AA20" s="121">
        <f t="shared" si="25"/>
        <v>2.0299527615584418E-2</v>
      </c>
      <c r="AB20" s="116">
        <v>3.1764999999999999</v>
      </c>
      <c r="AC20" s="121">
        <f t="shared" si="26"/>
        <v>1.9574830597402598E-2</v>
      </c>
      <c r="AD20" s="116">
        <v>3.2353000000000001</v>
      </c>
      <c r="AE20" s="121">
        <f t="shared" si="27"/>
        <v>1.9937179106493508E-2</v>
      </c>
      <c r="AF20" s="122">
        <f t="shared" si="28"/>
        <v>-8.7058999999999997</v>
      </c>
      <c r="AG20" s="121">
        <f t="shared" si="29"/>
        <v>-5.3649147709090912E-2</v>
      </c>
      <c r="AH20" s="123">
        <f t="shared" si="30"/>
        <v>1</v>
      </c>
      <c r="AI20" s="183">
        <f t="shared" si="31"/>
        <v>1.5405974025974028E-3</v>
      </c>
      <c r="AJ20" s="120">
        <f t="shared" si="32"/>
        <v>1.9937179106493508E-2</v>
      </c>
      <c r="AK20" s="119">
        <f t="shared" si="33"/>
        <v>-1.6855984301298702E-2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">
        <v>160</v>
      </c>
      <c r="B21" s="215">
        <v>4.9130030243728865E-3</v>
      </c>
      <c r="C21" s="215">
        <v>1.5197473759117594E-4</v>
      </c>
      <c r="D21" s="24">
        <f t="shared" ref="D21:D25" si="34">SUM(B21,C21)</f>
        <v>5.0649777619640622E-3</v>
      </c>
      <c r="E21" s="26">
        <v>0.2</v>
      </c>
      <c r="F21" s="22"/>
      <c r="H21" s="24">
        <f t="shared" ref="H21:H25" si="35">(E21*F$7/F$9)</f>
        <v>0.2</v>
      </c>
      <c r="I21" s="22">
        <f t="shared" ref="I21:I25" si="36">(D21*H21)</f>
        <v>1.0129955523928125E-3</v>
      </c>
      <c r="J21" s="24">
        <f t="shared" si="17"/>
        <v>1.0129955523928125E-3</v>
      </c>
      <c r="K21" s="22">
        <f t="shared" ref="K21:K25" si="37">B21</f>
        <v>4.9130030243728865E-3</v>
      </c>
      <c r="L21" s="22">
        <f t="shared" ref="L21:L25" si="38">IF(K21="","",K21*H21)</f>
        <v>9.8260060487457743E-4</v>
      </c>
      <c r="M21" s="224">
        <f t="shared" ref="M21:M25" si="39">J21</f>
        <v>1.0129955523928125E-3</v>
      </c>
      <c r="N21" s="228">
        <v>1</v>
      </c>
      <c r="O21" s="2"/>
      <c r="P21" s="22"/>
      <c r="Q21" s="59" t="s">
        <v>82</v>
      </c>
      <c r="R21" s="221">
        <f>IF($B$81=0,0,(SUMIF($N$6:$N$28,$U21,K$6:K$28)+SUMIF($N$91:$N$118,$U21,K$91:K$118))*$B$83*$H$84*Poor!$B$81/$B$81)</f>
        <v>3994.5008235005075</v>
      </c>
      <c r="S21" s="221">
        <f>IF($B$81=0,0,(SUMIF($N$6:$N$28,$U21,L$6:L$28)+SUMIF($N$91:$N$118,$U21,L$91:L$118))*$I$83*Poor!$B$81/$B$81)</f>
        <v>2965.2857142857147</v>
      </c>
      <c r="T21" s="221">
        <f>IF($B$81=0,0,(SUMIF($N$6:$N$28,$U21,M$6:M$28)+SUMIF($N$91:$N$118,$U21,M$91:M$118))*$I$83*Poor!$B$81/$B$81)</f>
        <v>2965.2857142857147</v>
      </c>
      <c r="U21" s="222">
        <v>15</v>
      </c>
      <c r="V21" s="56"/>
      <c r="W21" s="110"/>
      <c r="X21" s="118"/>
      <c r="Y21" s="183">
        <f t="shared" ref="Y21:Y25" si="40">M21*4</f>
        <v>4.0519822095712501E-3</v>
      </c>
      <c r="Z21" s="116">
        <v>4.2941000000000003</v>
      </c>
      <c r="AA21" s="121">
        <f t="shared" ref="AA21:AA25" si="41">$M21*Z21*4</f>
        <v>1.7399616806119907E-2</v>
      </c>
      <c r="AB21" s="116">
        <v>4.1764999999999999</v>
      </c>
      <c r="AC21" s="121">
        <f t="shared" ref="AC21:AC25" si="42">$M21*AB21*4</f>
        <v>1.6923103698274326E-2</v>
      </c>
      <c r="AD21" s="116">
        <v>4.2352999999999996</v>
      </c>
      <c r="AE21" s="121">
        <f t="shared" ref="AE21:AE25" si="43">$M21*AD21*4</f>
        <v>1.7161360252197114E-2</v>
      </c>
      <c r="AF21" s="122">
        <f t="shared" ref="AF21:AF25" si="44">1-SUM(Z21,AB21,AD21)</f>
        <v>-11.7059</v>
      </c>
      <c r="AG21" s="121">
        <f t="shared" ref="AG21:AG25" si="45">$M21*AF21*4</f>
        <v>-4.7432098547020095E-2</v>
      </c>
      <c r="AH21" s="123">
        <f t="shared" ref="AH21:AH25" si="46">SUM(Z21,AB21,AD21,AF21)</f>
        <v>1</v>
      </c>
      <c r="AI21" s="183">
        <f t="shared" ref="AI21:AI25" si="47">SUM(AA21,AC21,AE21,AG21)/4</f>
        <v>1.012995552392813E-3</v>
      </c>
      <c r="AJ21" s="120">
        <f t="shared" ref="AJ21:AJ25" si="48">(AA21+AC21)/2</f>
        <v>1.7161360252197118E-2</v>
      </c>
      <c r="AK21" s="119">
        <f t="shared" ref="AK21:AK25" si="49">(AE21+AG21)/2</f>
        <v>-1.513536914741149E-2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">
        <v>161</v>
      </c>
      <c r="B22" s="215">
        <v>6.7341006938267207E-3</v>
      </c>
      <c r="C22" s="215">
        <v>-9.7000177904287422E-4</v>
      </c>
      <c r="D22" s="24">
        <f t="shared" si="34"/>
        <v>5.7640989147838464E-3</v>
      </c>
      <c r="E22" s="26">
        <v>1</v>
      </c>
      <c r="F22" s="22"/>
      <c r="H22" s="24">
        <f t="shared" si="35"/>
        <v>1</v>
      </c>
      <c r="I22" s="22">
        <f t="shared" si="36"/>
        <v>5.7640989147838464E-3</v>
      </c>
      <c r="J22" s="24">
        <f t="shared" si="17"/>
        <v>5.7640989147838464E-3</v>
      </c>
      <c r="K22" s="22">
        <f t="shared" si="37"/>
        <v>6.7341006938267207E-3</v>
      </c>
      <c r="L22" s="22">
        <f t="shared" si="38"/>
        <v>6.7341006938267207E-3</v>
      </c>
      <c r="M22" s="224">
        <f t="shared" si="39"/>
        <v>5.7640989147838464E-3</v>
      </c>
      <c r="N22" s="228">
        <v>6</v>
      </c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2.3056395659135386E-2</v>
      </c>
      <c r="Z22" s="116">
        <v>5.2941000000000003</v>
      </c>
      <c r="AA22" s="121">
        <f t="shared" si="41"/>
        <v>0.12206286425902865</v>
      </c>
      <c r="AB22" s="116">
        <v>5.1764999999999999</v>
      </c>
      <c r="AC22" s="121">
        <f t="shared" si="42"/>
        <v>0.11935143212951432</v>
      </c>
      <c r="AD22" s="116">
        <v>5.2352999999999996</v>
      </c>
      <c r="AE22" s="121">
        <f t="shared" si="43"/>
        <v>0.12070714819427147</v>
      </c>
      <c r="AF22" s="122">
        <f t="shared" si="44"/>
        <v>-14.7059</v>
      </c>
      <c r="AG22" s="121">
        <f t="shared" si="45"/>
        <v>-0.33906504892367906</v>
      </c>
      <c r="AH22" s="123">
        <f t="shared" si="46"/>
        <v>1</v>
      </c>
      <c r="AI22" s="183">
        <f t="shared" si="47"/>
        <v>5.7640989147838551E-3</v>
      </c>
      <c r="AJ22" s="120">
        <f t="shared" si="48"/>
        <v>0.12070714819427149</v>
      </c>
      <c r="AK22" s="119">
        <f t="shared" si="49"/>
        <v>-0.10917895036470379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">
        <v>162</v>
      </c>
      <c r="B23" s="215">
        <v>8.1114129158512717E-3</v>
      </c>
      <c r="C23" s="215">
        <v>0</v>
      </c>
      <c r="D23" s="24">
        <f t="shared" si="34"/>
        <v>8.1114129158512717E-3</v>
      </c>
      <c r="E23" s="26">
        <v>0.5</v>
      </c>
      <c r="F23" s="22"/>
      <c r="H23" s="24">
        <f t="shared" si="35"/>
        <v>0.5</v>
      </c>
      <c r="I23" s="22">
        <f t="shared" si="36"/>
        <v>4.0557064579256358E-3</v>
      </c>
      <c r="J23" s="24">
        <f t="shared" si="17"/>
        <v>4.0557064579256358E-3</v>
      </c>
      <c r="K23" s="22">
        <f t="shared" si="37"/>
        <v>8.1114129158512717E-3</v>
      </c>
      <c r="L23" s="22">
        <f t="shared" si="38"/>
        <v>4.0557064579256358E-3</v>
      </c>
      <c r="M23" s="224">
        <f t="shared" si="39"/>
        <v>4.0557064579256358E-3</v>
      </c>
      <c r="N23" s="228">
        <v>7</v>
      </c>
      <c r="O23" s="2"/>
      <c r="P23" s="22"/>
      <c r="Q23" s="171" t="s">
        <v>100</v>
      </c>
      <c r="R23" s="179">
        <f>SUM(R7:R22)</f>
        <v>69410.168049005326</v>
      </c>
      <c r="S23" s="179">
        <f>SUM(S7:S22)</f>
        <v>18357.007952447897</v>
      </c>
      <c r="T23" s="179">
        <f>SUM(T7:T22)</f>
        <v>18642.534538981577</v>
      </c>
      <c r="U23" s="56"/>
      <c r="V23" s="56"/>
      <c r="W23" s="110"/>
      <c r="X23" s="118"/>
      <c r="Y23" s="183">
        <f t="shared" si="40"/>
        <v>1.6222825831702543E-2</v>
      </c>
      <c r="Z23" s="116">
        <v>6.2941000000000003</v>
      </c>
      <c r="AA23" s="121">
        <f t="shared" si="41"/>
        <v>0.10210808806731898</v>
      </c>
      <c r="AB23" s="116">
        <v>6.1764999999999999</v>
      </c>
      <c r="AC23" s="121">
        <f t="shared" si="42"/>
        <v>0.10020028374951076</v>
      </c>
      <c r="AD23" s="116">
        <v>6.2352999999999996</v>
      </c>
      <c r="AE23" s="121">
        <f t="shared" si="43"/>
        <v>0.10115418590841486</v>
      </c>
      <c r="AF23" s="122">
        <f t="shared" si="44"/>
        <v>-17.7059</v>
      </c>
      <c r="AG23" s="121">
        <f t="shared" si="45"/>
        <v>-0.28723973189354207</v>
      </c>
      <c r="AH23" s="123">
        <f t="shared" si="46"/>
        <v>1</v>
      </c>
      <c r="AI23" s="183">
        <f t="shared" si="47"/>
        <v>4.0557064579256341E-3</v>
      </c>
      <c r="AJ23" s="120">
        <f t="shared" si="48"/>
        <v>0.10115418590841488</v>
      </c>
      <c r="AK23" s="119">
        <f t="shared" si="49"/>
        <v>-9.304277299256361E-2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">
        <v>163</v>
      </c>
      <c r="B24" s="215">
        <v>1.3519021526418786E-2</v>
      </c>
      <c r="C24" s="215">
        <v>0</v>
      </c>
      <c r="D24" s="24">
        <f t="shared" si="34"/>
        <v>1.3519021526418786E-2</v>
      </c>
      <c r="E24" s="26">
        <v>0.5</v>
      </c>
      <c r="F24" s="22"/>
      <c r="H24" s="24">
        <f t="shared" si="35"/>
        <v>0.5</v>
      </c>
      <c r="I24" s="22">
        <f t="shared" si="36"/>
        <v>6.7595107632093931E-3</v>
      </c>
      <c r="J24" s="24">
        <f t="shared" si="17"/>
        <v>6.7595107632093931E-3</v>
      </c>
      <c r="K24" s="22">
        <f t="shared" si="37"/>
        <v>1.3519021526418786E-2</v>
      </c>
      <c r="L24" s="22">
        <f t="shared" si="38"/>
        <v>6.7595107632093931E-3</v>
      </c>
      <c r="M24" s="224">
        <f t="shared" si="39"/>
        <v>6.7595107632093931E-3</v>
      </c>
      <c r="N24" s="228">
        <v>7</v>
      </c>
      <c r="O24" s="2"/>
      <c r="P24" s="22"/>
      <c r="Q24" s="59" t="s">
        <v>137</v>
      </c>
      <c r="R24" s="41">
        <f>IF($B$81=0,0,(SUM(($B$70*$H$70))+((1-$D$29)*$I$83))*Poor!$B$81/$B$81)</f>
        <v>37756.62117311317</v>
      </c>
      <c r="S24" s="41">
        <f>IF($B$81=0,0,(SUM(($B$70*$H$70))+((1-$D$29)*$I$83))*Poor!$B$81/$B$81)</f>
        <v>37756.62117311317</v>
      </c>
      <c r="T24" s="41">
        <f>IF($B$81=0,0,(SUM(($B$70*$H$70))+((1-$D$29)*$I$83))*Poor!$B$81/$B$81)</f>
        <v>37756.62117311317</v>
      </c>
      <c r="U24" s="56"/>
      <c r="V24" s="56"/>
      <c r="W24" s="110"/>
      <c r="X24" s="118"/>
      <c r="Y24" s="183">
        <f t="shared" si="40"/>
        <v>2.7038043052837572E-2</v>
      </c>
      <c r="Z24" s="116">
        <v>7.2941000000000003</v>
      </c>
      <c r="AA24" s="121">
        <f t="shared" si="41"/>
        <v>0.19721818983170256</v>
      </c>
      <c r="AB24" s="116">
        <v>7.1764999999999999</v>
      </c>
      <c r="AC24" s="121">
        <f t="shared" si="42"/>
        <v>0.19403851596868885</v>
      </c>
      <c r="AD24" s="116">
        <v>7.2352999999999996</v>
      </c>
      <c r="AE24" s="121">
        <f t="shared" si="43"/>
        <v>0.19562835290019567</v>
      </c>
      <c r="AF24" s="122">
        <f t="shared" si="44"/>
        <v>-20.7059</v>
      </c>
      <c r="AG24" s="121">
        <f t="shared" si="45"/>
        <v>-0.55984701564774952</v>
      </c>
      <c r="AH24" s="123">
        <f t="shared" si="46"/>
        <v>1</v>
      </c>
      <c r="AI24" s="183">
        <f t="shared" si="47"/>
        <v>6.7595107632093809E-3</v>
      </c>
      <c r="AJ24" s="120">
        <f t="shared" si="48"/>
        <v>0.1956283529001957</v>
      </c>
      <c r="AK24" s="119">
        <f t="shared" si="49"/>
        <v>-0.18210933137377694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">
        <v>164</v>
      </c>
      <c r="B25" s="215">
        <v>8.0430528375733865E-4</v>
      </c>
      <c r="C25" s="215">
        <v>0</v>
      </c>
      <c r="D25" s="24">
        <f t="shared" si="34"/>
        <v>8.0430528375733865E-4</v>
      </c>
      <c r="E25" s="26">
        <v>1</v>
      </c>
      <c r="F25" s="22"/>
      <c r="H25" s="24">
        <f t="shared" si="35"/>
        <v>1</v>
      </c>
      <c r="I25" s="22">
        <f t="shared" si="36"/>
        <v>8.0430528375733865E-4</v>
      </c>
      <c r="J25" s="24">
        <f t="shared" si="17"/>
        <v>8.0430528375733865E-4</v>
      </c>
      <c r="K25" s="22">
        <f t="shared" si="37"/>
        <v>8.0430528375733865E-4</v>
      </c>
      <c r="L25" s="22">
        <f t="shared" si="38"/>
        <v>8.0430528375733865E-4</v>
      </c>
      <c r="M25" s="224">
        <f t="shared" si="39"/>
        <v>8.0430528375733865E-4</v>
      </c>
      <c r="N25" s="228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56196.216275154024</v>
      </c>
      <c r="S25" s="41">
        <f>IF($B$81=0,0,(SUM(($B$70*$H$70),($B$71*$H$71))+((1-$D$29)*$I$83))*Poor!$B$81/$B$81)</f>
        <v>56196.216275154024</v>
      </c>
      <c r="T25" s="41">
        <f>IF($B$81=0,0,(SUM(($B$70*$H$70),($B$71*$H$71))+((1-$D$29)*$I$83))*Poor!$B$81/$B$81)</f>
        <v>56196.216275154024</v>
      </c>
      <c r="U25" s="56"/>
      <c r="V25" s="56"/>
      <c r="W25" s="110"/>
      <c r="X25" s="118"/>
      <c r="Y25" s="183">
        <f t="shared" si="40"/>
        <v>3.2172211350293546E-3</v>
      </c>
      <c r="Z25" s="116">
        <v>8.2941000000000003</v>
      </c>
      <c r="AA25" s="121">
        <f t="shared" si="41"/>
        <v>2.6683953816046969E-2</v>
      </c>
      <c r="AB25" s="116">
        <v>8.1765000000000008</v>
      </c>
      <c r="AC25" s="121">
        <f t="shared" si="42"/>
        <v>2.6305608610567521E-2</v>
      </c>
      <c r="AD25" s="116">
        <v>8.2353000000000005</v>
      </c>
      <c r="AE25" s="121">
        <f t="shared" si="43"/>
        <v>2.6494781213307245E-2</v>
      </c>
      <c r="AF25" s="122">
        <f t="shared" si="44"/>
        <v>-23.7059</v>
      </c>
      <c r="AG25" s="121">
        <f t="shared" si="45"/>
        <v>-7.6267122504892371E-2</v>
      </c>
      <c r="AH25" s="123">
        <f t="shared" si="46"/>
        <v>1</v>
      </c>
      <c r="AI25" s="183">
        <f t="shared" si="47"/>
        <v>8.0430528375734223E-4</v>
      </c>
      <c r="AJ25" s="120">
        <f t="shared" si="48"/>
        <v>2.6494781213307245E-2</v>
      </c>
      <c r="AK25" s="119">
        <f t="shared" si="49"/>
        <v>-2.4886170645792564E-2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">
        <v>165</v>
      </c>
      <c r="B26" s="215">
        <v>0.11228760910756998</v>
      </c>
      <c r="C26" s="215">
        <v>0</v>
      </c>
      <c r="D26" s="24">
        <f>SUM(B26,C26)</f>
        <v>0.11228760910756998</v>
      </c>
      <c r="E26" s="26">
        <v>1</v>
      </c>
      <c r="F26" s="22"/>
      <c r="H26" s="24">
        <f t="shared" si="1"/>
        <v>1</v>
      </c>
      <c r="I26" s="22">
        <f t="shared" si="2"/>
        <v>0.11228760910756998</v>
      </c>
      <c r="J26" s="24">
        <f>IF(I$32&lt;=1+I131,I26,B26*H26+J$33*(I26-B26*H26))</f>
        <v>0.11228760910756998</v>
      </c>
      <c r="K26" s="22">
        <f t="shared" si="4"/>
        <v>0.11228760910756998</v>
      </c>
      <c r="L26" s="22">
        <f t="shared" si="5"/>
        <v>0.11228760910756998</v>
      </c>
      <c r="M26" s="223">
        <f t="shared" si="6"/>
        <v>0.11228760910756998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90270.377907807022</v>
      </c>
      <c r="S26" s="41">
        <f>IF($B$81=0,0,(SUM(($B$70*$H$70),($B$71*$H$71),($B$72*$H$72))+((1-$D$29)*$I$83))*Poor!$B$81/$B$81)</f>
        <v>90270.377907807022</v>
      </c>
      <c r="T26" s="41">
        <f>IF($B$81=0,0,(SUM(($B$70*$H$70),($B$71*$H$71),($B$72*$H$72))+((1-$D$29)*$I$83))*Poor!$B$81/$B$81)</f>
        <v>90270.377907807022</v>
      </c>
      <c r="U26" s="56"/>
      <c r="V26" s="56"/>
      <c r="W26" s="110"/>
      <c r="X26" s="118"/>
      <c r="Y26" s="183">
        <f t="shared" si="9"/>
        <v>0.44915043643027991</v>
      </c>
      <c r="Z26" s="116">
        <v>0.25</v>
      </c>
      <c r="AA26" s="121">
        <f t="shared" si="16"/>
        <v>0.11228760910756998</v>
      </c>
      <c r="AB26" s="116">
        <v>0.25</v>
      </c>
      <c r="AC26" s="121">
        <f t="shared" si="7"/>
        <v>0.11228760910756998</v>
      </c>
      <c r="AD26" s="116">
        <v>0.25</v>
      </c>
      <c r="AE26" s="121">
        <f t="shared" si="8"/>
        <v>0.11228760910756998</v>
      </c>
      <c r="AF26" s="122">
        <f t="shared" si="10"/>
        <v>0.25</v>
      </c>
      <c r="AG26" s="121">
        <f t="shared" si="11"/>
        <v>0.11228760910756998</v>
      </c>
      <c r="AH26" s="123">
        <f t="shared" si="12"/>
        <v>1</v>
      </c>
      <c r="AI26" s="183">
        <f t="shared" si="13"/>
        <v>0.11228760910756998</v>
      </c>
      <c r="AJ26" s="120">
        <f t="shared" si="14"/>
        <v>0.11228760910756998</v>
      </c>
      <c r="AK26" s="119">
        <f t="shared" si="15"/>
        <v>0.11228760910756998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">
        <v>166</v>
      </c>
      <c r="B27" s="215">
        <v>2.609427403486924E-2</v>
      </c>
      <c r="C27" s="215">
        <v>-2.609427403486924E-2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2.609427403486924E-2</v>
      </c>
      <c r="L27" s="22">
        <f t="shared" si="5"/>
        <v>2.609427403486924E-2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">
        <v>167</v>
      </c>
      <c r="B28" s="215">
        <v>1.8056273296566446E-2</v>
      </c>
      <c r="C28" s="215">
        <v>-1.8056273296566446E-2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1.8056273296566446E-2</v>
      </c>
      <c r="L28" s="22">
        <f t="shared" si="5"/>
        <v>1.8056273296566446E-2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">
        <v>168</v>
      </c>
      <c r="B29" s="215">
        <v>0.20621733066803061</v>
      </c>
      <c r="C29" s="215">
        <v>1.8466982620760276E-2</v>
      </c>
      <c r="D29" s="24">
        <f>SUM(B29,C29)</f>
        <v>0.22468431328879088</v>
      </c>
      <c r="E29" s="26">
        <v>1</v>
      </c>
      <c r="F29" s="22"/>
      <c r="H29" s="24">
        <f t="shared" si="1"/>
        <v>1</v>
      </c>
      <c r="I29" s="22">
        <f t="shared" si="2"/>
        <v>0.22468431328879088</v>
      </c>
      <c r="J29" s="24">
        <f>IF(I$32&lt;=1+I131,I29,B29*H29+J$33*(I29-B29*H29))</f>
        <v>0.22468431328879088</v>
      </c>
      <c r="K29" s="22">
        <f t="shared" si="4"/>
        <v>0.20621733066803061</v>
      </c>
      <c r="L29" s="22">
        <f t="shared" si="5"/>
        <v>0.20621733066803061</v>
      </c>
      <c r="M29" s="223">
        <f t="shared" si="6"/>
        <v>0.22468431328879088</v>
      </c>
      <c r="N29" s="228"/>
      <c r="P29" s="22"/>
      <c r="V29" s="56"/>
      <c r="W29" s="110"/>
      <c r="X29" s="118"/>
      <c r="Y29" s="183">
        <f t="shared" si="9"/>
        <v>0.89873725315516351</v>
      </c>
      <c r="Z29" s="116">
        <v>0.25</v>
      </c>
      <c r="AA29" s="121">
        <f t="shared" si="16"/>
        <v>0.22468431328879088</v>
      </c>
      <c r="AB29" s="116">
        <v>0.25</v>
      </c>
      <c r="AC29" s="121">
        <f t="shared" si="7"/>
        <v>0.22468431328879088</v>
      </c>
      <c r="AD29" s="116">
        <v>0.25</v>
      </c>
      <c r="AE29" s="121">
        <f t="shared" si="8"/>
        <v>0.22468431328879088</v>
      </c>
      <c r="AF29" s="122">
        <f t="shared" si="10"/>
        <v>0.25</v>
      </c>
      <c r="AG29" s="121">
        <f t="shared" si="11"/>
        <v>0.22468431328879088</v>
      </c>
      <c r="AH29" s="123">
        <f t="shared" si="12"/>
        <v>1</v>
      </c>
      <c r="AI29" s="183">
        <f t="shared" si="13"/>
        <v>0.22468431328879088</v>
      </c>
      <c r="AJ29" s="120">
        <f t="shared" si="14"/>
        <v>0.22468431328879088</v>
      </c>
      <c r="AK29" s="119">
        <f t="shared" si="15"/>
        <v>0.22468431328879088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">
        <v>56</v>
      </c>
      <c r="B30" s="215">
        <v>0.61940969298167581</v>
      </c>
      <c r="C30" s="103"/>
      <c r="D30" s="24">
        <f>(D119-B124)</f>
        <v>2.014656830697398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</v>
      </c>
      <c r="J30" s="230">
        <f>IF(I$32&lt;=1,I30,1-SUM(J6:J29))</f>
        <v>0</v>
      </c>
      <c r="K30" s="22">
        <f t="shared" si="4"/>
        <v>0.61940969298167581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19399.613220665273</v>
      </c>
      <c r="T30" s="233">
        <f t="shared" si="50"/>
        <v>19114.086634131592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0</v>
      </c>
      <c r="AE30" s="187">
        <f>IF(AE79*4/$I$83+SUM(AE6:AE29)&lt;1,AE79*4/$I$83,1-SUM(AE6:AE29))</f>
        <v>1.1614515382528928E-3</v>
      </c>
      <c r="AF30" s="122">
        <f>IF($Y30=0,0,AG30/($Y$30))</f>
        <v>0</v>
      </c>
      <c r="AG30" s="187">
        <f>IF(AG79*4/$I$83+SUM(AG6:AG29)&lt;1,AG79*4/$I$83,1-SUM(AG6:AG29))</f>
        <v>-5.333201012823878E-2</v>
      </c>
      <c r="AH30" s="123">
        <f t="shared" si="12"/>
        <v>0</v>
      </c>
      <c r="AI30" s="183">
        <f t="shared" si="13"/>
        <v>-1.3042639647496471E-2</v>
      </c>
      <c r="AJ30" s="120">
        <f t="shared" si="14"/>
        <v>0</v>
      </c>
      <c r="AK30" s="119">
        <f t="shared" si="15"/>
        <v>-2.6085279294992943E-2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0.56692898524907587</v>
      </c>
      <c r="K31" s="22" t="str">
        <f t="shared" si="4"/>
        <v/>
      </c>
      <c r="L31" s="22">
        <f>(1-SUM(L6:L30))</f>
        <v>0.54735595655067582</v>
      </c>
      <c r="M31" s="178">
        <f t="shared" si="6"/>
        <v>0.56692898524907587</v>
      </c>
      <c r="N31" s="167">
        <f>M31*I83</f>
        <v>11609.508279529031</v>
      </c>
      <c r="P31" s="22"/>
      <c r="Q31" s="237" t="s">
        <v>142</v>
      </c>
      <c r="R31" s="233">
        <f t="shared" si="50"/>
        <v>0</v>
      </c>
      <c r="S31" s="233">
        <f t="shared" si="50"/>
        <v>37839.208322706123</v>
      </c>
      <c r="T31" s="233">
        <f>IF(T25&gt;T$23,T25-T$23,0)</f>
        <v>37553.681736172446</v>
      </c>
      <c r="V31" s="56"/>
      <c r="W31" s="129" t="s">
        <v>84</v>
      </c>
      <c r="X31" s="130"/>
      <c r="Y31" s="121">
        <f>M31*4</f>
        <v>2.2677159409963035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4.3635286512855309E-4</v>
      </c>
      <c r="AF31" s="134"/>
      <c r="AG31" s="133">
        <f>1-AG32+IF($Y32&lt;0,$Y32/4,0)</f>
        <v>2.3194501467211612</v>
      </c>
      <c r="AH31" s="123"/>
      <c r="AI31" s="182">
        <f>SUM(AA31,AC31,AE31,AG31)/4</f>
        <v>0.5799716248965725</v>
      </c>
      <c r="AJ31" s="135">
        <f t="shared" si="14"/>
        <v>0</v>
      </c>
      <c r="AK31" s="136">
        <f t="shared" si="15"/>
        <v>1.159943249793145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1.3150932007812046</v>
      </c>
      <c r="C32" s="29">
        <f>SUM(C6:C31)</f>
        <v>8.7491224668730695E-3</v>
      </c>
      <c r="D32" s="24">
        <f>SUM(D6:D30)</f>
        <v>2.7190894609637999</v>
      </c>
      <c r="E32" s="2"/>
      <c r="F32" s="2"/>
      <c r="H32" s="17"/>
      <c r="I32" s="22">
        <f>SUM(I6:I30)</f>
        <v>0.43307101475092413</v>
      </c>
      <c r="J32" s="17"/>
      <c r="L32" s="22">
        <f>SUM(L6:L30)</f>
        <v>0.45264404344932413</v>
      </c>
      <c r="M32" s="23"/>
      <c r="N32" s="56"/>
      <c r="O32" s="2"/>
      <c r="P32" s="22"/>
      <c r="Q32" s="233" t="s">
        <v>143</v>
      </c>
      <c r="R32" s="233">
        <f t="shared" si="50"/>
        <v>20860.209858801696</v>
      </c>
      <c r="S32" s="233">
        <f t="shared" si="50"/>
        <v>71913.369955359129</v>
      </c>
      <c r="T32" s="233">
        <f t="shared" si="50"/>
        <v>71627.843368825444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0.99956364713487145</v>
      </c>
      <c r="AF32" s="137"/>
      <c r="AG32" s="139">
        <f>SUM(AG6:AG30)</f>
        <v>-1.319450146721161</v>
      </c>
      <c r="AH32" s="127"/>
      <c r="AI32" s="110"/>
      <c r="AJ32" s="140">
        <f>SUM(AJ6:AJ31)</f>
        <v>1.0000000000000002</v>
      </c>
      <c r="AK32" s="141">
        <f>SUM(AK6:AK31)</f>
        <v>1.0000000000000002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-34.083714186374188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25944.173456643417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">
        <v>171</v>
      </c>
      <c r="B37" s="216">
        <v>0</v>
      </c>
      <c r="C37" s="216">
        <v>0</v>
      </c>
      <c r="D37" s="38">
        <f>SUM(B37,C37)</f>
        <v>0</v>
      </c>
      <c r="E37" s="232">
        <v>0.2</v>
      </c>
      <c r="F37" s="26">
        <v>1.18</v>
      </c>
      <c r="G37" s="26">
        <v>1.65</v>
      </c>
      <c r="H37" s="24">
        <f t="shared" ref="H37:H49" si="51">(E37*F37)</f>
        <v>0.23599999999999999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">
        <v>172</v>
      </c>
      <c r="B38" s="216">
        <v>1.4285714285714286</v>
      </c>
      <c r="C38" s="216">
        <v>0</v>
      </c>
      <c r="D38" s="38">
        <f t="shared" ref="D38:D47" si="58">SUM(B38,C38)</f>
        <v>1.4285714285714286</v>
      </c>
      <c r="E38" s="26">
        <v>0.2</v>
      </c>
      <c r="F38" s="26">
        <v>1.18</v>
      </c>
      <c r="G38" s="22">
        <f t="shared" ref="G38:G64" si="59">(G$37)</f>
        <v>1.65</v>
      </c>
      <c r="H38" s="24">
        <f t="shared" si="51"/>
        <v>0.23599999999999999</v>
      </c>
      <c r="I38" s="39">
        <f t="shared" si="52"/>
        <v>0.33714285714285713</v>
      </c>
      <c r="J38" s="38">
        <f t="shared" si="53"/>
        <v>0.33714285714285719</v>
      </c>
      <c r="K38" s="40">
        <f t="shared" si="54"/>
        <v>3.493424529322354E-5</v>
      </c>
      <c r="L38" s="22">
        <f t="shared" si="55"/>
        <v>8.2444818892007547E-6</v>
      </c>
      <c r="M38" s="24">
        <f t="shared" si="56"/>
        <v>8.2444818892007564E-6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0.316358297236846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0.10665794021127951</v>
      </c>
      <c r="AD38" s="122">
        <f>IF($J38=0,0,AE38/($J38))</f>
        <v>0.25393003419576049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8.5610697243142117E-2</v>
      </c>
      <c r="AF38" s="122">
        <f t="shared" si="57"/>
        <v>0.42971166856739351</v>
      </c>
      <c r="AG38" s="147">
        <f t="shared" ref="AG38:AG64" si="60">$J38*AF38</f>
        <v>0.14487421968843556</v>
      </c>
      <c r="AH38" s="123">
        <f t="shared" ref="AH38:AI58" si="61">SUM(Z38,AB38,AD38,AF38)</f>
        <v>1</v>
      </c>
      <c r="AI38" s="112">
        <f t="shared" si="61"/>
        <v>0.33714285714285719</v>
      </c>
      <c r="AJ38" s="148">
        <f t="shared" ref="AJ38:AJ64" si="62">(AA38+AC38)</f>
        <v>0.10665794021127951</v>
      </c>
      <c r="AK38" s="147">
        <f t="shared" ref="AK38:AK64" si="63">(AE38+AG38)</f>
        <v>0.23048491693157769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">
        <v>173</v>
      </c>
      <c r="B39" s="216">
        <v>2071.4285714285716</v>
      </c>
      <c r="C39" s="216">
        <v>0</v>
      </c>
      <c r="D39" s="38">
        <f t="shared" si="58"/>
        <v>2071.4285714285716</v>
      </c>
      <c r="E39" s="26">
        <v>0.5</v>
      </c>
      <c r="F39" s="26">
        <v>1.18</v>
      </c>
      <c r="G39" s="22">
        <f t="shared" si="59"/>
        <v>1.65</v>
      </c>
      <c r="H39" s="24">
        <f t="shared" si="51"/>
        <v>0.59</v>
      </c>
      <c r="I39" s="39">
        <f t="shared" si="52"/>
        <v>1222.1428571428571</v>
      </c>
      <c r="J39" s="38">
        <f t="shared" si="53"/>
        <v>1222.1428571428573</v>
      </c>
      <c r="K39" s="40">
        <f t="shared" si="54"/>
        <v>5.0654655675174139E-2</v>
      </c>
      <c r="L39" s="22">
        <f t="shared" si="55"/>
        <v>2.988624684835274E-2</v>
      </c>
      <c r="M39" s="24">
        <f t="shared" si="56"/>
        <v>2.9886246848352744E-2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0.35814827876236471</v>
      </c>
      <c r="AA39" s="147">
        <f t="shared" ref="AA39:AA64" si="64">$J39*Z39</f>
        <v>437.70836068743296</v>
      </c>
      <c r="AB39" s="122">
        <f>AB8</f>
        <v>0.41231333594295067</v>
      </c>
      <c r="AC39" s="147">
        <f t="shared" ref="AC39:AC64" si="65">$J39*AB39</f>
        <v>503.90579842742051</v>
      </c>
      <c r="AD39" s="122">
        <f>AD8</f>
        <v>0.22953838529468454</v>
      </c>
      <c r="AE39" s="147">
        <f t="shared" ref="AE39:AE64" si="66">$J39*AD39</f>
        <v>280.52869802800382</v>
      </c>
      <c r="AF39" s="122">
        <f t="shared" si="57"/>
        <v>0</v>
      </c>
      <c r="AG39" s="147">
        <f t="shared" si="60"/>
        <v>0</v>
      </c>
      <c r="AH39" s="123">
        <f t="shared" si="61"/>
        <v>0.99999999999999989</v>
      </c>
      <c r="AI39" s="112">
        <f t="shared" si="61"/>
        <v>1222.1428571428573</v>
      </c>
      <c r="AJ39" s="148">
        <f t="shared" si="62"/>
        <v>941.61415911485346</v>
      </c>
      <c r="AK39" s="147">
        <f t="shared" si="63"/>
        <v>280.52869802800382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">
        <v>174</v>
      </c>
      <c r="B40" s="216">
        <v>107.14285714285714</v>
      </c>
      <c r="C40" s="216">
        <v>0</v>
      </c>
      <c r="D40" s="38">
        <f t="shared" si="58"/>
        <v>107.14285714285714</v>
      </c>
      <c r="E40" s="26">
        <v>0.5</v>
      </c>
      <c r="F40" s="26">
        <v>1.18</v>
      </c>
      <c r="G40" s="22">
        <f t="shared" si="59"/>
        <v>1.65</v>
      </c>
      <c r="H40" s="24">
        <f t="shared" si="51"/>
        <v>0.59</v>
      </c>
      <c r="I40" s="39">
        <f t="shared" si="52"/>
        <v>63.214285714285708</v>
      </c>
      <c r="J40" s="38">
        <f t="shared" si="53"/>
        <v>63.214285714285708</v>
      </c>
      <c r="K40" s="40">
        <f t="shared" si="54"/>
        <v>2.6200683969917656E-3</v>
      </c>
      <c r="L40" s="22">
        <f t="shared" si="55"/>
        <v>1.5458403542251416E-3</v>
      </c>
      <c r="M40" s="24">
        <f t="shared" si="56"/>
        <v>1.5458403542251416E-3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0.35814827876236471</v>
      </c>
      <c r="AA40" s="147">
        <f t="shared" si="64"/>
        <v>22.640087621763769</v>
      </c>
      <c r="AB40" s="122">
        <f>AB9</f>
        <v>0.41231333594295067</v>
      </c>
      <c r="AC40" s="147">
        <f t="shared" si="65"/>
        <v>26.064093022107951</v>
      </c>
      <c r="AD40" s="122">
        <f>AD9</f>
        <v>0.22953838529468459</v>
      </c>
      <c r="AE40" s="147">
        <f t="shared" si="66"/>
        <v>14.510105070413989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63.214285714285708</v>
      </c>
      <c r="AJ40" s="148">
        <f t="shared" si="62"/>
        <v>48.704180643871723</v>
      </c>
      <c r="AK40" s="147">
        <f t="shared" si="63"/>
        <v>14.510105070413989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">
        <v>175</v>
      </c>
      <c r="B41" s="216">
        <v>448.64285714285717</v>
      </c>
      <c r="C41" s="216">
        <v>-188.71428571428572</v>
      </c>
      <c r="D41" s="38">
        <f t="shared" si="58"/>
        <v>259.92857142857144</v>
      </c>
      <c r="E41" s="26">
        <v>0.5</v>
      </c>
      <c r="F41" s="26">
        <v>1.18</v>
      </c>
      <c r="G41" s="22">
        <f t="shared" si="59"/>
        <v>1.65</v>
      </c>
      <c r="H41" s="24">
        <f t="shared" si="51"/>
        <v>0.59</v>
      </c>
      <c r="I41" s="39">
        <f t="shared" si="52"/>
        <v>153.35785714285714</v>
      </c>
      <c r="J41" s="38">
        <f t="shared" si="53"/>
        <v>153.35785714285714</v>
      </c>
      <c r="K41" s="40">
        <f t="shared" si="54"/>
        <v>1.0971099734336853E-2</v>
      </c>
      <c r="L41" s="22">
        <f t="shared" si="55"/>
        <v>6.4729488432587433E-3</v>
      </c>
      <c r="M41" s="24">
        <f t="shared" si="56"/>
        <v>3.7502086993501937E-3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153.35785714285714</v>
      </c>
      <c r="AH41" s="123">
        <f t="shared" si="61"/>
        <v>1</v>
      </c>
      <c r="AI41" s="112">
        <f t="shared" si="61"/>
        <v>153.35785714285714</v>
      </c>
      <c r="AJ41" s="148">
        <f t="shared" si="62"/>
        <v>0</v>
      </c>
      <c r="AK41" s="147">
        <f t="shared" si="63"/>
        <v>153.35785714285714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">
        <v>176</v>
      </c>
      <c r="B42" s="216">
        <v>371.42857142857144</v>
      </c>
      <c r="C42" s="216">
        <v>0</v>
      </c>
      <c r="D42" s="38">
        <f t="shared" si="58"/>
        <v>371.42857142857144</v>
      </c>
      <c r="E42" s="26">
        <v>0.5</v>
      </c>
      <c r="F42" s="26">
        <v>1.18</v>
      </c>
      <c r="G42" s="22">
        <f t="shared" si="59"/>
        <v>1.65</v>
      </c>
      <c r="H42" s="24">
        <f t="shared" si="51"/>
        <v>0.59</v>
      </c>
      <c r="I42" s="39">
        <f t="shared" si="52"/>
        <v>219.14285714285714</v>
      </c>
      <c r="J42" s="38">
        <f t="shared" si="53"/>
        <v>219.14285714285717</v>
      </c>
      <c r="K42" s="40">
        <f t="shared" si="54"/>
        <v>9.0829037762381205E-3</v>
      </c>
      <c r="L42" s="22">
        <f t="shared" si="55"/>
        <v>5.3589132279804911E-3</v>
      </c>
      <c r="M42" s="24">
        <f t="shared" si="56"/>
        <v>5.358913227980492E-3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54.785714285714292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109.57142857142858</v>
      </c>
      <c r="AF42" s="122">
        <f t="shared" si="57"/>
        <v>0.25</v>
      </c>
      <c r="AG42" s="147">
        <f t="shared" si="60"/>
        <v>54.785714285714292</v>
      </c>
      <c r="AH42" s="123">
        <f t="shared" si="61"/>
        <v>1</v>
      </c>
      <c r="AI42" s="112">
        <f t="shared" si="61"/>
        <v>219.14285714285717</v>
      </c>
      <c r="AJ42" s="148">
        <f t="shared" si="62"/>
        <v>54.785714285714292</v>
      </c>
      <c r="AK42" s="147">
        <f t="shared" si="63"/>
        <v>164.35714285714289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">
        <v>177</v>
      </c>
      <c r="B43" s="216">
        <v>65.857142857142861</v>
      </c>
      <c r="C43" s="216">
        <v>0</v>
      </c>
      <c r="D43" s="38">
        <f t="shared" si="58"/>
        <v>65.857142857142861</v>
      </c>
      <c r="E43" s="26">
        <v>1</v>
      </c>
      <c r="F43" s="26">
        <v>1.18</v>
      </c>
      <c r="G43" s="22">
        <f t="shared" si="59"/>
        <v>1.65</v>
      </c>
      <c r="H43" s="24">
        <f t="shared" si="51"/>
        <v>1.18</v>
      </c>
      <c r="I43" s="39">
        <f t="shared" si="52"/>
        <v>77.71142857142857</v>
      </c>
      <c r="J43" s="38">
        <f t="shared" si="53"/>
        <v>77.711428571428584</v>
      </c>
      <c r="K43" s="40">
        <f t="shared" si="54"/>
        <v>1.6104687080176054E-3</v>
      </c>
      <c r="L43" s="22">
        <f t="shared" si="55"/>
        <v>1.9003530754607742E-3</v>
      </c>
      <c r="M43" s="24">
        <f t="shared" si="56"/>
        <v>1.9003530754607746E-3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19.427857142857146</v>
      </c>
      <c r="AB43" s="116">
        <v>0.25</v>
      </c>
      <c r="AC43" s="147">
        <f t="shared" si="65"/>
        <v>19.427857142857146</v>
      </c>
      <c r="AD43" s="116">
        <v>0.25</v>
      </c>
      <c r="AE43" s="147">
        <f t="shared" si="66"/>
        <v>19.427857142857146</v>
      </c>
      <c r="AF43" s="122">
        <f t="shared" si="57"/>
        <v>0.25</v>
      </c>
      <c r="AG43" s="147">
        <f t="shared" si="60"/>
        <v>19.427857142857146</v>
      </c>
      <c r="AH43" s="123">
        <f t="shared" si="61"/>
        <v>1</v>
      </c>
      <c r="AI43" s="112">
        <f t="shared" si="61"/>
        <v>77.711428571428584</v>
      </c>
      <c r="AJ43" s="148">
        <f t="shared" si="62"/>
        <v>38.855714285714292</v>
      </c>
      <c r="AK43" s="147">
        <f t="shared" si="63"/>
        <v>38.855714285714292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">
        <v>149</v>
      </c>
      <c r="B44" s="216">
        <v>0</v>
      </c>
      <c r="C44" s="216">
        <v>0</v>
      </c>
      <c r="D44" s="38">
        <f t="shared" si="58"/>
        <v>0</v>
      </c>
      <c r="E44" s="75">
        <f>E10</f>
        <v>0.3</v>
      </c>
      <c r="F44" s="26">
        <v>1.4</v>
      </c>
      <c r="G44" s="22">
        <f t="shared" si="59"/>
        <v>1.65</v>
      </c>
      <c r="H44" s="24">
        <f t="shared" si="51"/>
        <v>0.42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">
        <v>150</v>
      </c>
      <c r="B45" s="216">
        <v>0</v>
      </c>
      <c r="C45" s="216">
        <v>0</v>
      </c>
      <c r="D45" s="38">
        <f t="shared" si="58"/>
        <v>0</v>
      </c>
      <c r="E45" s="75">
        <f>E11</f>
        <v>0.3</v>
      </c>
      <c r="F45" s="26">
        <v>1.4</v>
      </c>
      <c r="G45" s="22">
        <f t="shared" si="59"/>
        <v>1.65</v>
      </c>
      <c r="H45" s="24">
        <f t="shared" si="51"/>
        <v>0.42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">
        <v>151</v>
      </c>
      <c r="B46" s="216">
        <v>0</v>
      </c>
      <c r="C46" s="216">
        <v>0</v>
      </c>
      <c r="D46" s="38">
        <f t="shared" si="58"/>
        <v>0</v>
      </c>
      <c r="E46" s="75">
        <f>E12</f>
        <v>0.2</v>
      </c>
      <c r="F46" s="26">
        <v>1.4</v>
      </c>
      <c r="G46" s="22">
        <f t="shared" si="59"/>
        <v>1.65</v>
      </c>
      <c r="H46" s="24">
        <f t="shared" si="51"/>
        <v>0.27999999999999997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">
        <v>178</v>
      </c>
      <c r="B47" s="216">
        <v>0</v>
      </c>
      <c r="C47" s="216">
        <v>0</v>
      </c>
      <c r="D47" s="38">
        <f t="shared" si="58"/>
        <v>0</v>
      </c>
      <c r="E47" s="75">
        <f>E20</f>
        <v>0.2</v>
      </c>
      <c r="F47" s="26">
        <v>1.4</v>
      </c>
      <c r="G47" s="22">
        <f t="shared" si="59"/>
        <v>1.65</v>
      </c>
      <c r="H47" s="24">
        <f t="shared" si="51"/>
        <v>0.27999999999999997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">
        <v>154</v>
      </c>
      <c r="B48" s="216">
        <v>36</v>
      </c>
      <c r="C48" s="216">
        <v>-36</v>
      </c>
      <c r="D48" s="38">
        <f>SUM(B48,C48)</f>
        <v>0</v>
      </c>
      <c r="E48" s="75">
        <f>E15</f>
        <v>0.2</v>
      </c>
      <c r="F48" s="26">
        <v>1.4</v>
      </c>
      <c r="G48" s="22">
        <f t="shared" si="59"/>
        <v>1.65</v>
      </c>
      <c r="H48" s="24">
        <f t="shared" si="51"/>
        <v>0.27999999999999997</v>
      </c>
      <c r="I48" s="39">
        <f t="shared" si="52"/>
        <v>0</v>
      </c>
      <c r="J48" s="38">
        <f t="shared" si="53"/>
        <v>0</v>
      </c>
      <c r="K48" s="40">
        <f t="shared" si="54"/>
        <v>8.8034298138923322E-4</v>
      </c>
      <c r="L48" s="22">
        <f t="shared" si="55"/>
        <v>2.464960347889853E-4</v>
      </c>
      <c r="M48" s="24">
        <f t="shared" si="56"/>
        <v>0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">
        <v>179</v>
      </c>
      <c r="B49" s="216">
        <v>25.142857142857142</v>
      </c>
      <c r="C49" s="216">
        <v>-25.142857142857142</v>
      </c>
      <c r="D49" s="38">
        <f t="shared" ref="D49:D64" si="67">SUM(B49,C49)</f>
        <v>0</v>
      </c>
      <c r="E49" s="75">
        <f>E14</f>
        <v>0.2</v>
      </c>
      <c r="F49" s="26">
        <v>1.4</v>
      </c>
      <c r="G49" s="22">
        <f t="shared" si="59"/>
        <v>1.65</v>
      </c>
      <c r="H49" s="24">
        <f t="shared" si="51"/>
        <v>0.27999999999999997</v>
      </c>
      <c r="I49" s="39">
        <f t="shared" si="52"/>
        <v>0</v>
      </c>
      <c r="J49" s="38">
        <f t="shared" si="53"/>
        <v>0</v>
      </c>
      <c r="K49" s="40">
        <f t="shared" si="54"/>
        <v>6.1484271716073433E-4</v>
      </c>
      <c r="L49" s="22">
        <f t="shared" si="55"/>
        <v>1.7215596080500561E-4</v>
      </c>
      <c r="M49" s="24">
        <f t="shared" si="56"/>
        <v>0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">
        <v>180</v>
      </c>
      <c r="B50" s="216">
        <v>87.857142857142847</v>
      </c>
      <c r="C50" s="216">
        <v>-120.71428571428571</v>
      </c>
      <c r="D50" s="38">
        <f t="shared" si="67"/>
        <v>-32.857142857142861</v>
      </c>
      <c r="E50" s="26">
        <v>0.2</v>
      </c>
      <c r="F50" s="26">
        <v>1.4</v>
      </c>
      <c r="G50" s="22">
        <f t="shared" si="59"/>
        <v>1.65</v>
      </c>
      <c r="H50" s="24">
        <f t="shared" ref="H50:H64" si="68">(E50*F50)</f>
        <v>0.27999999999999997</v>
      </c>
      <c r="I50" s="39">
        <f t="shared" ref="I50:I64" si="69">D50*H50</f>
        <v>-9.2000000000000011</v>
      </c>
      <c r="J50" s="38">
        <f t="shared" ref="J50:J64" si="70">J104*I$83</f>
        <v>-9.1999999999999975</v>
      </c>
      <c r="K50" s="40">
        <f t="shared" ref="K50:K64" si="71">(B50/B$65)</f>
        <v>2.1484560855332476E-3</v>
      </c>
      <c r="L50" s="22">
        <f t="shared" ref="L50:L64" si="72">(K50*H50)</f>
        <v>6.0156770394930923E-4</v>
      </c>
      <c r="M50" s="24">
        <f t="shared" ref="M50:M64" si="73">J50/B$65</f>
        <v>-2.2497653968835954E-4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">
        <v>181</v>
      </c>
      <c r="B51" s="216">
        <v>0</v>
      </c>
      <c r="C51" s="216">
        <v>0</v>
      </c>
      <c r="D51" s="38">
        <f t="shared" si="67"/>
        <v>0</v>
      </c>
      <c r="E51" s="75">
        <f>E17</f>
        <v>0.2</v>
      </c>
      <c r="F51" s="26">
        <v>1.4</v>
      </c>
      <c r="G51" s="22">
        <f t="shared" si="59"/>
        <v>1.65</v>
      </c>
      <c r="H51" s="24">
        <f t="shared" si="68"/>
        <v>0.27999999999999997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">
        <v>160</v>
      </c>
      <c r="B52" s="216">
        <v>175</v>
      </c>
      <c r="C52" s="216">
        <v>-121.42857142857143</v>
      </c>
      <c r="D52" s="38">
        <f t="shared" si="67"/>
        <v>53.571428571428569</v>
      </c>
      <c r="E52" s="75">
        <f>E21</f>
        <v>0.2</v>
      </c>
      <c r="F52" s="26">
        <v>1.4</v>
      </c>
      <c r="G52" s="22">
        <f t="shared" si="59"/>
        <v>1.65</v>
      </c>
      <c r="H52" s="24">
        <f t="shared" si="68"/>
        <v>0.27999999999999997</v>
      </c>
      <c r="I52" s="39">
        <f t="shared" si="69"/>
        <v>14.999999999999998</v>
      </c>
      <c r="J52" s="38">
        <f t="shared" si="70"/>
        <v>14.999999999999993</v>
      </c>
      <c r="K52" s="40">
        <f t="shared" si="71"/>
        <v>4.2794450484198842E-3</v>
      </c>
      <c r="L52" s="22">
        <f t="shared" si="72"/>
        <v>1.1982446135575674E-3</v>
      </c>
      <c r="M52" s="24">
        <f t="shared" si="73"/>
        <v>3.6680957557884701E-4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">
        <v>158</v>
      </c>
      <c r="B53" s="216">
        <v>235.71428571428572</v>
      </c>
      <c r="C53" s="216">
        <v>-235.71428571428572</v>
      </c>
      <c r="D53" s="38">
        <f t="shared" si="67"/>
        <v>0</v>
      </c>
      <c r="E53" s="75">
        <f>E19</f>
        <v>0.2</v>
      </c>
      <c r="F53" s="26">
        <v>1.4</v>
      </c>
      <c r="G53" s="22">
        <f t="shared" si="59"/>
        <v>1.65</v>
      </c>
      <c r="H53" s="24">
        <f t="shared" si="68"/>
        <v>0.27999999999999997</v>
      </c>
      <c r="I53" s="39">
        <f t="shared" si="69"/>
        <v>0</v>
      </c>
      <c r="J53" s="38">
        <f t="shared" si="70"/>
        <v>0</v>
      </c>
      <c r="K53" s="40">
        <f t="shared" si="71"/>
        <v>5.7641504733818849E-3</v>
      </c>
      <c r="L53" s="22">
        <f t="shared" si="72"/>
        <v>1.6139621325469277E-3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">
        <v>182</v>
      </c>
      <c r="B54" s="216">
        <v>91.428571428571431</v>
      </c>
      <c r="C54" s="216">
        <v>130</v>
      </c>
      <c r="D54" s="38">
        <f t="shared" si="67"/>
        <v>221.42857142857144</v>
      </c>
      <c r="E54" s="26">
        <v>1</v>
      </c>
      <c r="F54" s="26">
        <v>1.18</v>
      </c>
      <c r="G54" s="22">
        <f t="shared" si="59"/>
        <v>1.65</v>
      </c>
      <c r="H54" s="24">
        <f t="shared" si="68"/>
        <v>1.18</v>
      </c>
      <c r="I54" s="39">
        <f t="shared" si="69"/>
        <v>261.28571428571428</v>
      </c>
      <c r="J54" s="38">
        <f t="shared" si="70"/>
        <v>261.28571428571433</v>
      </c>
      <c r="K54" s="40">
        <f t="shared" si="71"/>
        <v>2.2357916987663065E-3</v>
      </c>
      <c r="L54" s="22">
        <f t="shared" si="72"/>
        <v>2.6382342045442415E-3</v>
      </c>
      <c r="M54" s="24">
        <f t="shared" si="73"/>
        <v>6.3894734641305869E-3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">
        <v>183</v>
      </c>
      <c r="B55" s="216">
        <v>3823.4285714285716</v>
      </c>
      <c r="C55" s="216">
        <v>0</v>
      </c>
      <c r="D55" s="38">
        <f t="shared" si="67"/>
        <v>3823.4285714285716</v>
      </c>
      <c r="E55" s="26">
        <v>0.5</v>
      </c>
      <c r="F55" s="26">
        <v>1.1100000000000001</v>
      </c>
      <c r="G55" s="22">
        <f t="shared" si="59"/>
        <v>1.65</v>
      </c>
      <c r="H55" s="24">
        <f t="shared" si="68"/>
        <v>0.55500000000000005</v>
      </c>
      <c r="I55" s="39">
        <f t="shared" si="69"/>
        <v>2122.0028571428575</v>
      </c>
      <c r="J55" s="38">
        <f t="shared" si="70"/>
        <v>2122.0028571428575</v>
      </c>
      <c r="K55" s="40">
        <f t="shared" si="71"/>
        <v>9.3498014102783494E-2</v>
      </c>
      <c r="L55" s="22">
        <f t="shared" si="72"/>
        <v>5.1891397827044841E-2</v>
      </c>
      <c r="M55" s="24">
        <f t="shared" si="73"/>
        <v>5.1891397827044841E-2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530.50071428571437</v>
      </c>
      <c r="AB55" s="116">
        <v>0.25</v>
      </c>
      <c r="AC55" s="147">
        <f t="shared" si="65"/>
        <v>530.50071428571437</v>
      </c>
      <c r="AD55" s="116">
        <v>0.25</v>
      </c>
      <c r="AE55" s="147">
        <f t="shared" si="66"/>
        <v>530.50071428571437</v>
      </c>
      <c r="AF55" s="122">
        <f t="shared" si="57"/>
        <v>0.25</v>
      </c>
      <c r="AG55" s="147">
        <f t="shared" si="60"/>
        <v>530.50071428571437</v>
      </c>
      <c r="AH55" s="123">
        <f t="shared" si="61"/>
        <v>1</v>
      </c>
      <c r="AI55" s="112">
        <f t="shared" si="61"/>
        <v>2122.0028571428575</v>
      </c>
      <c r="AJ55" s="148">
        <f t="shared" si="62"/>
        <v>1061.0014285714287</v>
      </c>
      <c r="AK55" s="147">
        <f t="shared" si="63"/>
        <v>1061.0014285714287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">
        <v>184</v>
      </c>
      <c r="B56" s="216">
        <v>0</v>
      </c>
      <c r="C56" s="216">
        <v>0</v>
      </c>
      <c r="D56" s="38">
        <f t="shared" si="67"/>
        <v>0</v>
      </c>
      <c r="E56" s="26">
        <v>0.5</v>
      </c>
      <c r="F56" s="26">
        <v>1.1100000000000001</v>
      </c>
      <c r="G56" s="22">
        <f t="shared" si="59"/>
        <v>1.65</v>
      </c>
      <c r="H56" s="24">
        <f t="shared" si="68"/>
        <v>0.55500000000000005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">
        <v>185</v>
      </c>
      <c r="B57" s="216">
        <v>2605.7142857142858</v>
      </c>
      <c r="C57" s="216">
        <v>0</v>
      </c>
      <c r="D57" s="38">
        <f t="shared" si="67"/>
        <v>2605.7142857142858</v>
      </c>
      <c r="E57" s="26">
        <v>0.5</v>
      </c>
      <c r="F57" s="26">
        <v>1.1100000000000001</v>
      </c>
      <c r="G57" s="22">
        <f t="shared" si="59"/>
        <v>1.65</v>
      </c>
      <c r="H57" s="24">
        <f t="shared" si="68"/>
        <v>0.55500000000000005</v>
      </c>
      <c r="I57" s="39">
        <f t="shared" si="69"/>
        <v>1446.1714285714288</v>
      </c>
      <c r="J57" s="38">
        <f t="shared" si="70"/>
        <v>1446.1714285714286</v>
      </c>
      <c r="K57" s="40">
        <f t="shared" si="71"/>
        <v>6.3720063414839739E-2</v>
      </c>
      <c r="L57" s="22">
        <f t="shared" si="72"/>
        <v>3.5364635195236062E-2</v>
      </c>
      <c r="M57" s="24">
        <f t="shared" si="73"/>
        <v>3.5364635195236055E-2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361.54285714285714</v>
      </c>
      <c r="AB57" s="116">
        <v>0.25</v>
      </c>
      <c r="AC57" s="147">
        <f t="shared" si="65"/>
        <v>361.54285714285714</v>
      </c>
      <c r="AD57" s="116">
        <v>0.25</v>
      </c>
      <c r="AE57" s="147">
        <f t="shared" si="66"/>
        <v>361.54285714285714</v>
      </c>
      <c r="AF57" s="122">
        <f t="shared" si="57"/>
        <v>0.25</v>
      </c>
      <c r="AG57" s="147">
        <f t="shared" si="60"/>
        <v>361.54285714285714</v>
      </c>
      <c r="AH57" s="123">
        <f t="shared" si="61"/>
        <v>1</v>
      </c>
      <c r="AI57" s="112">
        <f t="shared" si="61"/>
        <v>1446.1714285714286</v>
      </c>
      <c r="AJ57" s="148">
        <f t="shared" si="62"/>
        <v>723.08571428571429</v>
      </c>
      <c r="AK57" s="147">
        <f t="shared" si="63"/>
        <v>723.08571428571429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">
        <v>186</v>
      </c>
      <c r="B58" s="216">
        <v>0</v>
      </c>
      <c r="C58" s="216">
        <v>0</v>
      </c>
      <c r="D58" s="38">
        <f t="shared" si="67"/>
        <v>0</v>
      </c>
      <c r="E58" s="26">
        <v>0.6</v>
      </c>
      <c r="F58" s="26">
        <v>1.18</v>
      </c>
      <c r="G58" s="22">
        <f t="shared" si="59"/>
        <v>1.65</v>
      </c>
      <c r="H58" s="24">
        <f t="shared" si="68"/>
        <v>0.70799999999999996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">
        <v>187</v>
      </c>
      <c r="B59" s="216">
        <v>1682.8571428571429</v>
      </c>
      <c r="C59" s="216">
        <v>336.57142857142856</v>
      </c>
      <c r="D59" s="38">
        <f t="shared" si="67"/>
        <v>2019.4285714285716</v>
      </c>
      <c r="E59" s="26">
        <v>0.8</v>
      </c>
      <c r="F59" s="26">
        <v>1</v>
      </c>
      <c r="G59" s="22">
        <f t="shared" si="59"/>
        <v>1.65</v>
      </c>
      <c r="H59" s="24">
        <f t="shared" si="68"/>
        <v>0.8</v>
      </c>
      <c r="I59" s="39">
        <f t="shared" si="69"/>
        <v>1615.5428571428574</v>
      </c>
      <c r="J59" s="38">
        <f t="shared" si="70"/>
        <v>1615.5428571428572</v>
      </c>
      <c r="K59" s="40">
        <f t="shared" si="71"/>
        <v>4.115254095541733E-2</v>
      </c>
      <c r="L59" s="22">
        <f t="shared" si="72"/>
        <v>3.2922032764333864E-2</v>
      </c>
      <c r="M59" s="24">
        <f t="shared" si="73"/>
        <v>3.9506439317200638E-2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403.8857142857143</v>
      </c>
      <c r="AB59" s="116">
        <v>0.25</v>
      </c>
      <c r="AC59" s="147">
        <f t="shared" si="65"/>
        <v>403.8857142857143</v>
      </c>
      <c r="AD59" s="116">
        <v>0.25</v>
      </c>
      <c r="AE59" s="147">
        <f t="shared" si="66"/>
        <v>403.8857142857143</v>
      </c>
      <c r="AF59" s="122">
        <f t="shared" si="57"/>
        <v>0.25</v>
      </c>
      <c r="AG59" s="147">
        <f t="shared" si="60"/>
        <v>403.8857142857143</v>
      </c>
      <c r="AH59" s="123">
        <f t="shared" ref="AH59:AI64" si="74">SUM(Z59,AB59,AD59,AF59)</f>
        <v>1</v>
      </c>
      <c r="AI59" s="112">
        <f t="shared" si="74"/>
        <v>1615.5428571428572</v>
      </c>
      <c r="AJ59" s="148">
        <f t="shared" si="62"/>
        <v>807.7714285714286</v>
      </c>
      <c r="AK59" s="147">
        <f t="shared" si="63"/>
        <v>807.7714285714286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">
        <v>188</v>
      </c>
      <c r="B60" s="216">
        <v>2005.7142857142858</v>
      </c>
      <c r="C60" s="216">
        <v>0</v>
      </c>
      <c r="D60" s="38">
        <f t="shared" si="67"/>
        <v>2005.7142857142858</v>
      </c>
      <c r="E60" s="26">
        <v>0.8</v>
      </c>
      <c r="F60" s="26">
        <v>1.18</v>
      </c>
      <c r="G60" s="22">
        <f t="shared" si="59"/>
        <v>1.65</v>
      </c>
      <c r="H60" s="24">
        <f t="shared" si="68"/>
        <v>0.94399999999999995</v>
      </c>
      <c r="I60" s="39">
        <f t="shared" si="69"/>
        <v>1893.3942857142856</v>
      </c>
      <c r="J60" s="38">
        <f t="shared" si="70"/>
        <v>1893.3942857142856</v>
      </c>
      <c r="K60" s="40">
        <f t="shared" si="71"/>
        <v>4.9047680391685854E-2</v>
      </c>
      <c r="L60" s="22">
        <f t="shared" si="72"/>
        <v>4.6301010289751442E-2</v>
      </c>
      <c r="M60" s="24">
        <f t="shared" si="73"/>
        <v>4.6301010289751442E-2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473.3485714285714</v>
      </c>
      <c r="AB60" s="116">
        <v>0.25</v>
      </c>
      <c r="AC60" s="147">
        <f t="shared" si="65"/>
        <v>473.3485714285714</v>
      </c>
      <c r="AD60" s="116">
        <v>0.25</v>
      </c>
      <c r="AE60" s="147">
        <f t="shared" si="66"/>
        <v>473.3485714285714</v>
      </c>
      <c r="AF60" s="122">
        <f t="shared" si="57"/>
        <v>0.25</v>
      </c>
      <c r="AG60" s="147">
        <f t="shared" si="60"/>
        <v>473.3485714285714</v>
      </c>
      <c r="AH60" s="123">
        <f t="shared" si="74"/>
        <v>1</v>
      </c>
      <c r="AI60" s="112">
        <f t="shared" si="74"/>
        <v>1893.3942857142856</v>
      </c>
      <c r="AJ60" s="148">
        <f t="shared" si="62"/>
        <v>946.69714285714281</v>
      </c>
      <c r="AK60" s="147">
        <f t="shared" si="63"/>
        <v>946.69714285714281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">
        <v>189</v>
      </c>
      <c r="B61" s="216">
        <v>22412.509881111353</v>
      </c>
      <c r="C61" s="216">
        <v>0</v>
      </c>
      <c r="D61" s="38">
        <f t="shared" si="67"/>
        <v>22412.509881111353</v>
      </c>
      <c r="E61" s="26">
        <v>0</v>
      </c>
      <c r="F61" s="26">
        <v>1.18</v>
      </c>
      <c r="G61" s="22">
        <f t="shared" si="59"/>
        <v>1.65</v>
      </c>
      <c r="H61" s="24">
        <f t="shared" si="68"/>
        <v>0</v>
      </c>
      <c r="I61" s="39">
        <f t="shared" si="69"/>
        <v>0</v>
      </c>
      <c r="J61" s="38">
        <f t="shared" si="70"/>
        <v>0</v>
      </c>
      <c r="K61" s="40">
        <f t="shared" si="71"/>
        <v>0.54807488247647829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">
        <v>190</v>
      </c>
      <c r="B62" s="216">
        <v>1974.4285714285713</v>
      </c>
      <c r="C62" s="216">
        <v>0</v>
      </c>
      <c r="D62" s="38">
        <f t="shared" si="67"/>
        <v>1974.4285714285713</v>
      </c>
      <c r="E62" s="26">
        <v>1</v>
      </c>
      <c r="F62" s="26">
        <v>1.18</v>
      </c>
      <c r="G62" s="22">
        <f t="shared" si="59"/>
        <v>1.65</v>
      </c>
      <c r="H62" s="24">
        <f t="shared" si="68"/>
        <v>1.18</v>
      </c>
      <c r="I62" s="39">
        <f t="shared" si="69"/>
        <v>2329.8257142857142</v>
      </c>
      <c r="J62" s="38">
        <f t="shared" si="70"/>
        <v>2329.8257142857146</v>
      </c>
      <c r="K62" s="40">
        <f t="shared" si="71"/>
        <v>4.8282620419764256E-2</v>
      </c>
      <c r="L62" s="22">
        <f t="shared" si="72"/>
        <v>5.697349209532182E-2</v>
      </c>
      <c r="M62" s="24">
        <f t="shared" si="73"/>
        <v>5.6973492095321834E-2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582.45642857142866</v>
      </c>
      <c r="AB62" s="116">
        <v>0.25</v>
      </c>
      <c r="AC62" s="147">
        <f t="shared" si="65"/>
        <v>582.45642857142866</v>
      </c>
      <c r="AD62" s="116">
        <v>0.25</v>
      </c>
      <c r="AE62" s="147">
        <f t="shared" si="66"/>
        <v>582.45642857142866</v>
      </c>
      <c r="AF62" s="122">
        <f t="shared" si="57"/>
        <v>0.25</v>
      </c>
      <c r="AG62" s="147">
        <f t="shared" si="60"/>
        <v>582.45642857142866</v>
      </c>
      <c r="AH62" s="123">
        <f t="shared" si="74"/>
        <v>1</v>
      </c>
      <c r="AI62" s="112">
        <f t="shared" si="74"/>
        <v>2329.8257142857146</v>
      </c>
      <c r="AJ62" s="148">
        <f t="shared" si="62"/>
        <v>1164.9128571428573</v>
      </c>
      <c r="AK62" s="147">
        <f t="shared" si="63"/>
        <v>1164.9128571428573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">
        <v>191</v>
      </c>
      <c r="B63" s="216">
        <v>0</v>
      </c>
      <c r="C63" s="216"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">
        <v>192</v>
      </c>
      <c r="B64" s="216">
        <v>2671.4285714285716</v>
      </c>
      <c r="C64" s="216">
        <v>0</v>
      </c>
      <c r="D64" s="38">
        <f t="shared" si="67"/>
        <v>2671.4285714285716</v>
      </c>
      <c r="E64" s="26">
        <v>1</v>
      </c>
      <c r="F64" s="26">
        <v>1.1100000000000001</v>
      </c>
      <c r="G64" s="22">
        <f t="shared" si="59"/>
        <v>1.65</v>
      </c>
      <c r="H64" s="24">
        <f t="shared" si="68"/>
        <v>1.1100000000000001</v>
      </c>
      <c r="I64" s="39">
        <f t="shared" si="69"/>
        <v>2965.2857142857147</v>
      </c>
      <c r="J64" s="38">
        <f t="shared" si="70"/>
        <v>2965.2857142857147</v>
      </c>
      <c r="K64" s="40">
        <f t="shared" si="71"/>
        <v>6.5327038698328024E-2</v>
      </c>
      <c r="L64" s="22">
        <f t="shared" si="72"/>
        <v>7.2513012955144118E-2</v>
      </c>
      <c r="M64" s="24">
        <f t="shared" si="73"/>
        <v>7.2513012955144118E-2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741.32142857142867</v>
      </c>
      <c r="AB64" s="116">
        <v>0.25</v>
      </c>
      <c r="AC64" s="149">
        <f t="shared" si="65"/>
        <v>741.32142857142867</v>
      </c>
      <c r="AD64" s="116">
        <v>0.25</v>
      </c>
      <c r="AE64" s="149">
        <f t="shared" si="66"/>
        <v>741.32142857142867</v>
      </c>
      <c r="AF64" s="150">
        <f t="shared" si="57"/>
        <v>0.25</v>
      </c>
      <c r="AG64" s="149">
        <f t="shared" si="60"/>
        <v>741.32142857142867</v>
      </c>
      <c r="AH64" s="123">
        <f t="shared" si="74"/>
        <v>1</v>
      </c>
      <c r="AI64" s="112">
        <f t="shared" si="74"/>
        <v>2965.2857142857147</v>
      </c>
      <c r="AJ64" s="151">
        <f t="shared" si="62"/>
        <v>1482.6428571428573</v>
      </c>
      <c r="AK64" s="149">
        <f t="shared" si="63"/>
        <v>1482.6428571428573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40893.152738254212</v>
      </c>
      <c r="C65" s="41">
        <f>SUM(C37:C64)</f>
        <v>-261.14285714285722</v>
      </c>
      <c r="D65" s="42">
        <f>SUM(D37:D64)</f>
        <v>40632.009881111357</v>
      </c>
      <c r="E65" s="32"/>
      <c r="F65" s="32"/>
      <c r="G65" s="32"/>
      <c r="H65" s="31"/>
      <c r="I65" s="39">
        <f>SUM(I37:I64)</f>
        <v>14375.215</v>
      </c>
      <c r="J65" s="39">
        <f>SUM(J37:J64)</f>
        <v>14375.215</v>
      </c>
      <c r="K65" s="40">
        <f>SUM(K37:K64)</f>
        <v>1</v>
      </c>
      <c r="L65" s="22">
        <f>SUM(L37:L64)</f>
        <v>0.34760878860819128</v>
      </c>
      <c r="M65" s="24">
        <f>SUM(M37:M64)</f>
        <v>0.35153110086697853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3627.6177340234826</v>
      </c>
      <c r="AB65" s="137"/>
      <c r="AC65" s="153">
        <f>SUM(AC37:AC64)</f>
        <v>3642.5601208183116</v>
      </c>
      <c r="AD65" s="137"/>
      <c r="AE65" s="153">
        <f>SUM(AE37:AE64)</f>
        <v>3517.1794137956613</v>
      </c>
      <c r="AF65" s="137"/>
      <c r="AG65" s="153">
        <f>SUM(AG37:AG64)</f>
        <v>3320.7720170768316</v>
      </c>
      <c r="AH65" s="137"/>
      <c r="AI65" s="153">
        <f>SUM(AI37:AI64)</f>
        <v>14108.129285714287</v>
      </c>
      <c r="AJ65" s="153">
        <f>SUM(AJ37:AJ64)</f>
        <v>7270.1778548417933</v>
      </c>
      <c r="AK65" s="153">
        <f>SUM(AK37:AK64)</f>
        <v>6837.951430872492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13674.8708466266*8/7</f>
        <v>15628.423824716114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14375.215</v>
      </c>
      <c r="J70" s="51">
        <f t="shared" ref="J70:J77" si="75">J124*I$83</f>
        <v>14375.215</v>
      </c>
      <c r="K70" s="40">
        <f>B70/B$76</f>
        <v>0.38217703400736408</v>
      </c>
      <c r="L70" s="22">
        <f t="shared" ref="L70:L75" si="76">(L124*G$37*F$9/F$7)/B$130</f>
        <v>0.34760878860819128</v>
      </c>
      <c r="M70" s="24">
        <f>J70/B$76</f>
        <v>0.35153110086697853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3593.80375</v>
      </c>
      <c r="AB70" s="116">
        <v>0.25</v>
      </c>
      <c r="AC70" s="147">
        <f>$J70*AB70</f>
        <v>3593.80375</v>
      </c>
      <c r="AD70" s="116">
        <v>0.25</v>
      </c>
      <c r="AE70" s="147">
        <f>$J70*AD70</f>
        <v>3593.80375</v>
      </c>
      <c r="AF70" s="122">
        <f>1-SUM(Z70,AB70,AD70)</f>
        <v>0.25</v>
      </c>
      <c r="AG70" s="147">
        <f>$J70*AF70</f>
        <v>3593.80375</v>
      </c>
      <c r="AH70" s="155">
        <f>SUM(Z70,AB70,AD70,AF70)</f>
        <v>1</v>
      </c>
      <c r="AI70" s="147">
        <f>SUM(AA70,AC70,AE70,AG70)</f>
        <v>14375.215</v>
      </c>
      <c r="AJ70" s="148">
        <f>(AA70+AC70)</f>
        <v>7187.6075000000001</v>
      </c>
      <c r="AK70" s="147">
        <f>(AE70+AG70)</f>
        <v>7187.6075000000001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13673.4285714286*8/7</f>
        <v>15626.775510204114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0</v>
      </c>
      <c r="J71" s="51">
        <f t="shared" si="75"/>
        <v>0</v>
      </c>
      <c r="K71" s="40">
        <f t="shared" ref="K71:K72" si="78">B71/B$76</f>
        <v>0.38213672617092626</v>
      </c>
      <c r="L71" s="22">
        <f t="shared" si="76"/>
        <v>0</v>
      </c>
      <c r="M71" s="24">
        <f t="shared" ref="M71:M72" si="79">J71/B$76</f>
        <v>0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25266.8571428571*8/7</f>
        <v>28876.40816326526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0.70614286817392591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2078.4285714285716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5.0825833477110935E-2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220.7291142857143</v>
      </c>
      <c r="AB73" s="116">
        <v>0.09</v>
      </c>
      <c r="AC73" s="147">
        <f>$H$73*$B$73*AB73</f>
        <v>220.7291142857143</v>
      </c>
      <c r="AD73" s="116">
        <v>0.23</v>
      </c>
      <c r="AE73" s="147">
        <f>$H$73*$B$73*AD73</f>
        <v>564.08551428571434</v>
      </c>
      <c r="AF73" s="122">
        <f>1-SUM(Z73,AB73,AD73)</f>
        <v>0.59</v>
      </c>
      <c r="AG73" s="147">
        <f>$H$73*$B$73*AF73</f>
        <v>1447.0019714285716</v>
      </c>
      <c r="AH73" s="155">
        <f>SUM(Z73,AB73,AD73,AF73)</f>
        <v>1</v>
      </c>
      <c r="AI73" s="147">
        <f>SUM(AA73,AC73,AE73,AG73)</f>
        <v>2452.5457142857144</v>
      </c>
      <c r="AJ73" s="148">
        <f>(AA73+AC73)</f>
        <v>441.45822857142861</v>
      </c>
      <c r="AK73" s="147">
        <f>(AE73+AG73)</f>
        <v>2011.0874857142858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7687.395355203751</v>
      </c>
      <c r="C74" s="46"/>
      <c r="D74" s="38"/>
      <c r="E74" s="32"/>
      <c r="F74" s="32"/>
      <c r="G74" s="32"/>
      <c r="H74" s="31"/>
      <c r="I74" s="39">
        <f>I128*I$83</f>
        <v>0</v>
      </c>
      <c r="J74" s="51">
        <f t="shared" si="75"/>
        <v>0</v>
      </c>
      <c r="K74" s="40">
        <f>B74/B$76</f>
        <v>0.18798734850327262</v>
      </c>
      <c r="L74" s="22">
        <f t="shared" si="76"/>
        <v>0</v>
      </c>
      <c r="M74" s="24">
        <f>J74/B$76</f>
        <v>0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5.9460186374553805</v>
      </c>
      <c r="AF74" s="156"/>
      <c r="AG74" s="147">
        <f>AG30*$I$83/4</f>
        <v>-273.03173292316842</v>
      </c>
      <c r="AH74" s="155"/>
      <c r="AI74" s="147">
        <f>SUM(AA74,AC74,AE74,AG74)</f>
        <v>-267.08571428571304</v>
      </c>
      <c r="AJ74" s="148">
        <f>(AA74+AC74)</f>
        <v>0</v>
      </c>
      <c r="AK74" s="147">
        <f>(AE74+AG74)</f>
        <v>-267.08571428571304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33.81398402348259</v>
      </c>
      <c r="AB75" s="158"/>
      <c r="AC75" s="149">
        <f>AA75+AC65-SUM(AC70,AC74)</f>
        <v>82.570354841794142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82.570354841794142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40893.152738254212</v>
      </c>
      <c r="C76" s="46"/>
      <c r="D76" s="38"/>
      <c r="E76" s="32"/>
      <c r="F76" s="32"/>
      <c r="G76" s="32"/>
      <c r="H76" s="31"/>
      <c r="I76" s="39">
        <f>I130*I$83</f>
        <v>14375.215</v>
      </c>
      <c r="J76" s="51">
        <f t="shared" si="75"/>
        <v>14375.215</v>
      </c>
      <c r="K76" s="40">
        <f>SUM(K70:K75)</f>
        <v>1.7092698103325998</v>
      </c>
      <c r="L76" s="22">
        <f>SUM(L70:L75)</f>
        <v>0.34760878860819128</v>
      </c>
      <c r="M76" s="24">
        <f>SUM(M70:M75)</f>
        <v>0.35153110086697853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3627.6177340234826</v>
      </c>
      <c r="AB76" s="137"/>
      <c r="AC76" s="153">
        <f>AC65</f>
        <v>3642.5601208183116</v>
      </c>
      <c r="AD76" s="137"/>
      <c r="AE76" s="153">
        <f>AE65</f>
        <v>3517.1794137956613</v>
      </c>
      <c r="AF76" s="137"/>
      <c r="AG76" s="153">
        <f>AG65</f>
        <v>3320.7720170768316</v>
      </c>
      <c r="AH76" s="137"/>
      <c r="AI76" s="153">
        <f>SUM(AA76,AC76,AE76,AG76)</f>
        <v>14108.129285714287</v>
      </c>
      <c r="AJ76" s="154">
        <f>SUM(AA76,AC76)</f>
        <v>7270.1778548417942</v>
      </c>
      <c r="AK76" s="154">
        <f>SUM(AE76,AG76)</f>
        <v>6837.9514308724929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25944.173456643417</v>
      </c>
      <c r="J77" s="100">
        <f t="shared" si="75"/>
        <v>25944.173456643417</v>
      </c>
      <c r="K77" s="40"/>
      <c r="L77" s="22">
        <f>-(L131*G$37*F$9/F$7)/B$130</f>
        <v>-0.6344380836250243</v>
      </c>
      <c r="M77" s="24">
        <f>-J77/B$76</f>
        <v>-0.6344380836250243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2.2338962781557696</v>
      </c>
      <c r="AF77" s="112"/>
      <c r="AG77" s="111">
        <f>AG31*$I$83/4</f>
        <v>11874.36009753659</v>
      </c>
      <c r="AH77" s="110"/>
      <c r="AI77" s="154">
        <f>SUM(AA77,AC77,AE77,AG77)</f>
        <v>11876.593993814746</v>
      </c>
      <c r="AJ77" s="153">
        <f>SUM(AA77,AC77)</f>
        <v>0</v>
      </c>
      <c r="AK77" s="160">
        <f>SUM(AE77,AG77)</f>
        <v>11876.593993814746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33.81398402348259</v>
      </c>
      <c r="AD78" s="112"/>
      <c r="AE78" s="112">
        <f>AC75</f>
        <v>82.570354841794142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">
        <v>193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33.81398402348259</v>
      </c>
      <c r="AB79" s="112"/>
      <c r="AC79" s="112">
        <f>AA79-AA74+AC65-AC70</f>
        <v>82.570354841794142</v>
      </c>
      <c r="AD79" s="112"/>
      <c r="AE79" s="112">
        <f>AC79-AC74+AE65-AE70</f>
        <v>5.9460186374553814</v>
      </c>
      <c r="AF79" s="112"/>
      <c r="AG79" s="112">
        <f>AE79-AE74+AG65-AG70</f>
        <v>-273.03173292316842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v>0.65354715486260606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v>6.5034145745214618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12410.84122884588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20477.888027595702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5119.4720068989254</v>
      </c>
      <c r="AB83" s="112"/>
      <c r="AC83" s="165">
        <f>$I$83*AB82/4</f>
        <v>5119.4720068989254</v>
      </c>
      <c r="AD83" s="112"/>
      <c r="AE83" s="165">
        <f>$I$83*AD82/4</f>
        <v>5119.4720068989254</v>
      </c>
      <c r="AF83" s="112"/>
      <c r="AG83" s="165">
        <f>$I$83*AF82/4</f>
        <v>5119.4720068989254</v>
      </c>
      <c r="AH83" s="165">
        <f>SUM(AA83,AC83,AE83,AG83)</f>
        <v>20477.888027595702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25250.743714722543</v>
      </c>
      <c r="C84" s="46"/>
      <c r="D84" s="234"/>
      <c r="E84" s="64"/>
      <c r="F84" s="64"/>
      <c r="G84" s="64"/>
      <c r="H84" s="235">
        <f>IF(B84=0,0,I84/B84)</f>
        <v>1.4952676879413664</v>
      </c>
      <c r="I84" s="233">
        <f>(B70*H70)+((1-(D29*H29))*I83)</f>
        <v>37756.62117311317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Cows' milk sales - season 1</v>
      </c>
      <c r="B91" s="60">
        <f t="shared" ref="B91:C118" si="81">IF(B37="","",(B37/$B$83))</f>
        <v>0</v>
      </c>
      <c r="C91" s="60">
        <f t="shared" si="81"/>
        <v>0</v>
      </c>
      <c r="D91" s="24">
        <f>SUM(B91,C91)</f>
        <v>0</v>
      </c>
      <c r="H91" s="24">
        <f>(E37*F37/G37*F$7/F$9)</f>
        <v>0.14303030303030304</v>
      </c>
      <c r="I91" s="22">
        <f t="shared" ref="I91" si="82">(D91*H91)</f>
        <v>0</v>
      </c>
      <c r="J91" s="24">
        <f>IF(I$32&lt;=1+I$131,I91,L91+J$33*(I91-L91))</f>
        <v>0</v>
      </c>
      <c r="K91" s="22">
        <f t="shared" ref="K91" si="83">IF(B91="",0,B91)</f>
        <v>0</v>
      </c>
      <c r="L91" s="22">
        <f t="shared" ref="L91" si="84">(K91*H91)</f>
        <v>0</v>
      </c>
      <c r="M91" s="226">
        <f t="shared" si="80"/>
        <v>0</v>
      </c>
      <c r="N91" s="228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Other:  hides</v>
      </c>
      <c r="B92" s="60">
        <f t="shared" si="81"/>
        <v>1.151067362985092E-4</v>
      </c>
      <c r="C92" s="60">
        <f t="shared" si="81"/>
        <v>0</v>
      </c>
      <c r="D92" s="24">
        <f t="shared" ref="D92:D118" si="86">SUM(B92,C92)</f>
        <v>1.151067362985092E-4</v>
      </c>
      <c r="H92" s="24">
        <f t="shared" ref="H92:H118" si="87">(E38*F38/G38*F$7/F$9)</f>
        <v>0.14303030303030304</v>
      </c>
      <c r="I92" s="22">
        <f t="shared" ref="I92:I118" si="88">(D92*H92)</f>
        <v>1.6463751373604955E-5</v>
      </c>
      <c r="J92" s="24">
        <f t="shared" ref="J92:J118" si="89">IF(I$32&lt;=1+I$131,I92,L92+J$33*(I92-L92))</f>
        <v>1.6463751373604955E-5</v>
      </c>
      <c r="K92" s="22">
        <f t="shared" ref="K92:K118" si="90">IF(B92="",0,B92)</f>
        <v>1.151067362985092E-4</v>
      </c>
      <c r="L92" s="22">
        <f t="shared" ref="L92:L118" si="91">(K92*H92)</f>
        <v>1.6463751373604955E-5</v>
      </c>
      <c r="M92" s="226">
        <f t="shared" ref="M92:M118" si="92">(J92)</f>
        <v>1.6463751373604955E-5</v>
      </c>
      <c r="N92" s="228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Cattle sales - local: no. sold</v>
      </c>
      <c r="B93" s="60">
        <f t="shared" si="81"/>
        <v>0.16690476763283835</v>
      </c>
      <c r="C93" s="60">
        <f t="shared" si="81"/>
        <v>0</v>
      </c>
      <c r="D93" s="24">
        <f t="shared" si="86"/>
        <v>0.16690476763283835</v>
      </c>
      <c r="H93" s="24">
        <f t="shared" si="87"/>
        <v>0.3575757575757576</v>
      </c>
      <c r="I93" s="22">
        <f t="shared" si="88"/>
        <v>5.9681098729317962E-2</v>
      </c>
      <c r="J93" s="24">
        <f t="shared" si="89"/>
        <v>5.9681098729317962E-2</v>
      </c>
      <c r="K93" s="22">
        <f t="shared" si="90"/>
        <v>0.16690476763283835</v>
      </c>
      <c r="L93" s="22">
        <f t="shared" si="91"/>
        <v>5.9681098729317962E-2</v>
      </c>
      <c r="M93" s="226">
        <f t="shared" si="92"/>
        <v>5.9681098729317962E-2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Sheep sales - local: no. sold</v>
      </c>
      <c r="B94" s="60">
        <f t="shared" si="81"/>
        <v>8.6330052223881886E-3</v>
      </c>
      <c r="C94" s="60">
        <f t="shared" si="81"/>
        <v>0</v>
      </c>
      <c r="D94" s="24">
        <f t="shared" si="86"/>
        <v>8.6330052223881886E-3</v>
      </c>
      <c r="H94" s="24">
        <f t="shared" si="87"/>
        <v>0.3575757575757576</v>
      </c>
      <c r="I94" s="22">
        <f t="shared" si="88"/>
        <v>3.0869533825509284E-3</v>
      </c>
      <c r="J94" s="24">
        <f t="shared" si="89"/>
        <v>3.0869533825509284E-3</v>
      </c>
      <c r="K94" s="22">
        <f t="shared" si="90"/>
        <v>8.6330052223881886E-3</v>
      </c>
      <c r="L94" s="22">
        <f t="shared" si="91"/>
        <v>3.0869533825509284E-3</v>
      </c>
      <c r="M94" s="226">
        <f t="shared" si="92"/>
        <v>3.0869533825509284E-3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Goat sales - local: no. sold</v>
      </c>
      <c r="B95" s="60">
        <f t="shared" si="81"/>
        <v>3.6149270534546814E-2</v>
      </c>
      <c r="C95" s="60">
        <f t="shared" si="81"/>
        <v>-1.5205599865033066E-2</v>
      </c>
      <c r="D95" s="24">
        <f t="shared" si="86"/>
        <v>2.0943670669513748E-2</v>
      </c>
      <c r="H95" s="24">
        <f t="shared" si="87"/>
        <v>0.3575757575757576</v>
      </c>
      <c r="I95" s="22">
        <f t="shared" si="88"/>
        <v>7.4889489060685531E-3</v>
      </c>
      <c r="J95" s="24">
        <f t="shared" si="89"/>
        <v>7.4889489060685531E-3</v>
      </c>
      <c r="K95" s="22">
        <f t="shared" si="90"/>
        <v>3.6149270534546814E-2</v>
      </c>
      <c r="L95" s="22">
        <f t="shared" si="91"/>
        <v>1.292610279720159E-2</v>
      </c>
      <c r="M95" s="226">
        <f t="shared" si="92"/>
        <v>7.4889489060685531E-3</v>
      </c>
      <c r="N95" s="228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Pig sales: no sold</v>
      </c>
      <c r="B96" s="60">
        <f t="shared" si="81"/>
        <v>2.9927751437612393E-2</v>
      </c>
      <c r="C96" s="60">
        <f t="shared" si="81"/>
        <v>0</v>
      </c>
      <c r="D96" s="24">
        <f t="shared" si="86"/>
        <v>2.9927751437612393E-2</v>
      </c>
      <c r="H96" s="24">
        <f t="shared" si="87"/>
        <v>0.3575757575757576</v>
      </c>
      <c r="I96" s="22">
        <f t="shared" si="88"/>
        <v>1.070143839284322E-2</v>
      </c>
      <c r="J96" s="24">
        <f t="shared" si="89"/>
        <v>1.070143839284322E-2</v>
      </c>
      <c r="K96" s="22">
        <f t="shared" si="90"/>
        <v>2.9927751437612393E-2</v>
      </c>
      <c r="L96" s="22">
        <f t="shared" si="91"/>
        <v>1.070143839284322E-2</v>
      </c>
      <c r="M96" s="226">
        <f t="shared" si="92"/>
        <v>1.070143839284322E-2</v>
      </c>
      <c r="N96" s="228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Chicken sales: no. sold</v>
      </c>
      <c r="B97" s="60">
        <f t="shared" si="81"/>
        <v>5.3064205433612744E-3</v>
      </c>
      <c r="C97" s="60">
        <f t="shared" si="81"/>
        <v>0</v>
      </c>
      <c r="D97" s="24">
        <f t="shared" si="86"/>
        <v>5.3064205433612744E-3</v>
      </c>
      <c r="H97" s="24">
        <f t="shared" si="87"/>
        <v>0.7151515151515152</v>
      </c>
      <c r="I97" s="22">
        <f t="shared" si="88"/>
        <v>3.7948946916159421E-3</v>
      </c>
      <c r="J97" s="24">
        <f t="shared" si="89"/>
        <v>3.7948946916159421E-3</v>
      </c>
      <c r="K97" s="22">
        <f t="shared" si="90"/>
        <v>5.3064205433612744E-3</v>
      </c>
      <c r="L97" s="22">
        <f t="shared" si="91"/>
        <v>3.7948946916159421E-3</v>
      </c>
      <c r="M97" s="226">
        <f t="shared" si="92"/>
        <v>3.7948946916159421E-3</v>
      </c>
      <c r="N97" s="228">
        <v>5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Maize: kg produced</v>
      </c>
      <c r="B98" s="60">
        <f t="shared" si="81"/>
        <v>0</v>
      </c>
      <c r="C98" s="60">
        <f t="shared" si="81"/>
        <v>0</v>
      </c>
      <c r="D98" s="24">
        <f t="shared" si="86"/>
        <v>0</v>
      </c>
      <c r="H98" s="24">
        <f t="shared" si="87"/>
        <v>0.25454545454545457</v>
      </c>
      <c r="I98" s="22">
        <f t="shared" si="88"/>
        <v>0</v>
      </c>
      <c r="J98" s="24">
        <f t="shared" si="89"/>
        <v>0</v>
      </c>
      <c r="K98" s="22">
        <f t="shared" si="90"/>
        <v>0</v>
      </c>
      <c r="L98" s="22">
        <f t="shared" si="91"/>
        <v>0</v>
      </c>
      <c r="M98" s="226">
        <f t="shared" si="92"/>
        <v>0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Sorghum: kg produced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0.25454545454545457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6">
        <f t="shared" si="92"/>
        <v>0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Beans: kg produced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0.16969696969696968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6">
        <f t="shared" si="92"/>
        <v>0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Cowpeas, yams, amadumbe, chillies &amp; sugarcane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0.16969696969696968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6">
        <f t="shared" si="92"/>
        <v>0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Cabbage: no. local meas</v>
      </c>
      <c r="B102" s="60">
        <f t="shared" si="81"/>
        <v>2.9006897547224318E-3</v>
      </c>
      <c r="C102" s="60">
        <f t="shared" si="81"/>
        <v>-2.9006897547224318E-3</v>
      </c>
      <c r="D102" s="24">
        <f t="shared" si="86"/>
        <v>0</v>
      </c>
      <c r="H102" s="24">
        <f t="shared" si="87"/>
        <v>0.16969696969696968</v>
      </c>
      <c r="I102" s="22">
        <f t="shared" si="88"/>
        <v>0</v>
      </c>
      <c r="J102" s="24">
        <f t="shared" si="89"/>
        <v>0</v>
      </c>
      <c r="K102" s="22">
        <f t="shared" si="90"/>
        <v>2.9006897547224318E-3</v>
      </c>
      <c r="L102" s="22">
        <f t="shared" si="91"/>
        <v>4.9223826140744288E-4</v>
      </c>
      <c r="M102" s="226">
        <f t="shared" si="92"/>
        <v>0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Sweet potatoes &amp; potatoes</v>
      </c>
      <c r="B103" s="60">
        <f t="shared" si="81"/>
        <v>2.0258785588537619E-3</v>
      </c>
      <c r="C103" s="60">
        <f t="shared" si="81"/>
        <v>-2.0258785588537619E-3</v>
      </c>
      <c r="D103" s="24">
        <f t="shared" si="86"/>
        <v>0</v>
      </c>
      <c r="H103" s="24">
        <f t="shared" si="87"/>
        <v>0.16969696969696968</v>
      </c>
      <c r="I103" s="22">
        <f t="shared" si="88"/>
        <v>0</v>
      </c>
      <c r="J103" s="24">
        <f t="shared" si="89"/>
        <v>0</v>
      </c>
      <c r="K103" s="22">
        <f t="shared" si="90"/>
        <v>2.0258785588537619E-3</v>
      </c>
      <c r="L103" s="22">
        <f t="shared" si="91"/>
        <v>3.4378545241154745E-4</v>
      </c>
      <c r="M103" s="226">
        <f t="shared" si="92"/>
        <v>0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Veg: spinach, carrots, beet root &amp; tomatoes</v>
      </c>
      <c r="B104" s="60">
        <f t="shared" si="81"/>
        <v>7.079064282358315E-3</v>
      </c>
      <c r="C104" s="60">
        <f t="shared" si="81"/>
        <v>-9.7265192172240264E-3</v>
      </c>
      <c r="D104" s="24">
        <f t="shared" si="86"/>
        <v>-2.6474549348657114E-3</v>
      </c>
      <c r="H104" s="24">
        <f t="shared" si="87"/>
        <v>0.16969696969696968</v>
      </c>
      <c r="I104" s="22">
        <f t="shared" si="88"/>
        <v>-4.4926507985599943E-4</v>
      </c>
      <c r="J104" s="24">
        <f t="shared" si="89"/>
        <v>-4.4926507985599943E-4</v>
      </c>
      <c r="K104" s="22">
        <f t="shared" si="90"/>
        <v>7.079064282358315E-3</v>
      </c>
      <c r="L104" s="22">
        <f t="shared" si="91"/>
        <v>1.2012957570062593E-3</v>
      </c>
      <c r="M104" s="226">
        <f t="shared" si="92"/>
        <v>-4.4926507985599943E-4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Other crop: pumpkin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0.16969696969696968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6">
        <f t="shared" si="92"/>
        <v>0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Onions: kg produced</v>
      </c>
      <c r="B106" s="60">
        <f t="shared" si="81"/>
        <v>1.4100575196567376E-2</v>
      </c>
      <c r="C106" s="60">
        <f t="shared" si="81"/>
        <v>-9.7840725853732824E-3</v>
      </c>
      <c r="D106" s="24">
        <f t="shared" si="86"/>
        <v>4.3165026111940934E-3</v>
      </c>
      <c r="H106" s="24">
        <f t="shared" si="87"/>
        <v>0.16969696969696968</v>
      </c>
      <c r="I106" s="22">
        <f t="shared" si="88"/>
        <v>7.3249741280869459E-4</v>
      </c>
      <c r="J106" s="24">
        <f t="shared" si="89"/>
        <v>7.3249741280869459E-4</v>
      </c>
      <c r="K106" s="22">
        <f t="shared" si="90"/>
        <v>1.4100575196567376E-2</v>
      </c>
      <c r="L106" s="22">
        <f t="shared" si="91"/>
        <v>2.3928248818417363E-3</v>
      </c>
      <c r="M106" s="226">
        <f t="shared" si="92"/>
        <v>7.3249741280869459E-4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Groundnuts (dry): no. local meas</v>
      </c>
      <c r="B107" s="60">
        <f t="shared" si="81"/>
        <v>1.8992611489254019E-2</v>
      </c>
      <c r="C107" s="60">
        <f t="shared" si="81"/>
        <v>-1.8992611489254019E-2</v>
      </c>
      <c r="D107" s="24">
        <f t="shared" si="86"/>
        <v>0</v>
      </c>
      <c r="H107" s="24">
        <f t="shared" si="87"/>
        <v>0.16969696969696968</v>
      </c>
      <c r="I107" s="22">
        <f t="shared" si="88"/>
        <v>0</v>
      </c>
      <c r="J107" s="24">
        <f t="shared" si="89"/>
        <v>0</v>
      </c>
      <c r="K107" s="22">
        <f t="shared" si="90"/>
        <v>1.8992611489254019E-2</v>
      </c>
      <c r="L107" s="22">
        <f t="shared" si="91"/>
        <v>3.2229886163582574E-3</v>
      </c>
      <c r="M107" s="226">
        <f t="shared" si="92"/>
        <v>0</v>
      </c>
      <c r="N107" s="228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WILD FOODS -- see worksheet Data 3</v>
      </c>
      <c r="B108" s="60">
        <f t="shared" si="81"/>
        <v>7.3668311231045889E-3</v>
      </c>
      <c r="C108" s="60">
        <f t="shared" si="81"/>
        <v>1.0474713003164337E-2</v>
      </c>
      <c r="D108" s="24">
        <f t="shared" si="86"/>
        <v>1.7841544126268927E-2</v>
      </c>
      <c r="H108" s="24">
        <f t="shared" si="87"/>
        <v>0.7151515151515152</v>
      </c>
      <c r="I108" s="22">
        <f t="shared" si="88"/>
        <v>1.2759407314543839E-2</v>
      </c>
      <c r="J108" s="24">
        <f t="shared" si="89"/>
        <v>1.2759407314543839E-2</v>
      </c>
      <c r="K108" s="22">
        <f t="shared" si="90"/>
        <v>7.3668311231045889E-3</v>
      </c>
      <c r="L108" s="22">
        <f t="shared" si="91"/>
        <v>5.2684004395535848E-3</v>
      </c>
      <c r="M108" s="226">
        <f t="shared" si="92"/>
        <v>1.2759407314543839E-2</v>
      </c>
      <c r="N108" s="228">
        <v>6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Agricultural cash income -- see Data2</v>
      </c>
      <c r="B109" s="60">
        <f t="shared" si="81"/>
        <v>0.30807166902933003</v>
      </c>
      <c r="C109" s="60">
        <f t="shared" si="81"/>
        <v>0</v>
      </c>
      <c r="D109" s="24">
        <f t="shared" si="86"/>
        <v>0.30807166902933003</v>
      </c>
      <c r="H109" s="24">
        <f t="shared" si="87"/>
        <v>0.33636363636363642</v>
      </c>
      <c r="I109" s="22">
        <f t="shared" si="88"/>
        <v>0.10362410685532011</v>
      </c>
      <c r="J109" s="24">
        <f t="shared" si="89"/>
        <v>0.10362410685532011</v>
      </c>
      <c r="K109" s="22">
        <f t="shared" si="90"/>
        <v>0.30807166902933003</v>
      </c>
      <c r="L109" s="22">
        <f t="shared" si="91"/>
        <v>0.10362410685532011</v>
      </c>
      <c r="M109" s="226">
        <f t="shared" si="92"/>
        <v>0.10362410685532011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Construction cash income -- see Data2</v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0.33636363636363642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6">
        <f t="shared" si="92"/>
        <v>0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Domestic work cash income -- see Data2</v>
      </c>
      <c r="B111" s="60">
        <f t="shared" si="81"/>
        <v>0.20995468700848077</v>
      </c>
      <c r="C111" s="60">
        <f t="shared" si="81"/>
        <v>0</v>
      </c>
      <c r="D111" s="24">
        <f t="shared" si="86"/>
        <v>0.20995468700848077</v>
      </c>
      <c r="H111" s="24">
        <f t="shared" si="87"/>
        <v>0.33636363636363642</v>
      </c>
      <c r="I111" s="22">
        <f t="shared" si="88"/>
        <v>7.0621121993761721E-2</v>
      </c>
      <c r="J111" s="24">
        <f t="shared" si="89"/>
        <v>7.0621121993761721E-2</v>
      </c>
      <c r="K111" s="22">
        <f t="shared" si="90"/>
        <v>0.20995468700848077</v>
      </c>
      <c r="L111" s="22">
        <f t="shared" si="91"/>
        <v>7.0621121993761721E-2</v>
      </c>
      <c r="M111" s="226">
        <f t="shared" si="92"/>
        <v>7.0621121993761721E-2</v>
      </c>
      <c r="N111" s="228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>Formal Employment (conservancies, etc.)</v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0.42909090909090908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>Self-employment -- see Data2</v>
      </c>
      <c r="B113" s="60">
        <f t="shared" si="81"/>
        <v>0.13559573535964384</v>
      </c>
      <c r="C113" s="60">
        <f t="shared" si="81"/>
        <v>2.7119147071928765E-2</v>
      </c>
      <c r="D113" s="24">
        <f t="shared" si="86"/>
        <v>0.16271488243157262</v>
      </c>
      <c r="H113" s="24">
        <f t="shared" si="87"/>
        <v>0.48484848484848486</v>
      </c>
      <c r="I113" s="22">
        <f t="shared" si="88"/>
        <v>7.8892064209247326E-2</v>
      </c>
      <c r="J113" s="24">
        <f t="shared" si="89"/>
        <v>7.8892064209247326E-2</v>
      </c>
      <c r="K113" s="22">
        <f t="shared" si="90"/>
        <v>0.13559573535964384</v>
      </c>
      <c r="L113" s="22">
        <f t="shared" si="91"/>
        <v>6.5743386841039433E-2</v>
      </c>
      <c r="M113" s="226">
        <f t="shared" si="92"/>
        <v>7.8892064209247326E-2</v>
      </c>
      <c r="N113" s="228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>Small business -- see Data2</v>
      </c>
      <c r="B114" s="60">
        <f t="shared" si="81"/>
        <v>0.16160985776310691</v>
      </c>
      <c r="C114" s="60">
        <f t="shared" si="81"/>
        <v>0</v>
      </c>
      <c r="D114" s="24">
        <f t="shared" si="86"/>
        <v>0.16160985776310691</v>
      </c>
      <c r="H114" s="24">
        <f t="shared" si="87"/>
        <v>0.57212121212121214</v>
      </c>
      <c r="I114" s="22">
        <f t="shared" si="88"/>
        <v>9.2460427714165405E-2</v>
      </c>
      <c r="J114" s="24">
        <f t="shared" si="89"/>
        <v>9.2460427714165405E-2</v>
      </c>
      <c r="K114" s="22">
        <f t="shared" si="90"/>
        <v>0.16160985776310691</v>
      </c>
      <c r="L114" s="22">
        <f t="shared" si="91"/>
        <v>9.2460427714165405E-2</v>
      </c>
      <c r="M114" s="226">
        <f t="shared" si="92"/>
        <v>9.2460427714165405E-2</v>
      </c>
      <c r="N114" s="228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>Social development -- see Data2</v>
      </c>
      <c r="B115" s="60">
        <f t="shared" si="81"/>
        <v>1.8058816052709714</v>
      </c>
      <c r="C115" s="60">
        <f t="shared" si="81"/>
        <v>0</v>
      </c>
      <c r="D115" s="24">
        <f t="shared" si="86"/>
        <v>1.8058816052709714</v>
      </c>
      <c r="H115" s="24">
        <f t="shared" si="87"/>
        <v>0</v>
      </c>
      <c r="I115" s="22">
        <f t="shared" si="88"/>
        <v>0</v>
      </c>
      <c r="J115" s="24">
        <f t="shared" si="89"/>
        <v>0</v>
      </c>
      <c r="K115" s="22">
        <f t="shared" si="90"/>
        <v>1.8058816052709714</v>
      </c>
      <c r="L115" s="22">
        <f t="shared" si="91"/>
        <v>0</v>
      </c>
      <c r="M115" s="226">
        <f t="shared" si="92"/>
        <v>0</v>
      </c>
      <c r="N115" s="228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>Public works -- see Data2</v>
      </c>
      <c r="B116" s="60">
        <f t="shared" si="81"/>
        <v>0.15908902023816957</v>
      </c>
      <c r="C116" s="60">
        <f t="shared" si="81"/>
        <v>0</v>
      </c>
      <c r="D116" s="24">
        <f t="shared" si="86"/>
        <v>0.15908902023816957</v>
      </c>
      <c r="H116" s="24">
        <f t="shared" si="87"/>
        <v>0.7151515151515152</v>
      </c>
      <c r="I116" s="22">
        <f t="shared" si="88"/>
        <v>0.11377275386729703</v>
      </c>
      <c r="J116" s="24">
        <f t="shared" si="89"/>
        <v>0.11377275386729703</v>
      </c>
      <c r="K116" s="22">
        <f t="shared" si="90"/>
        <v>0.15908902023816957</v>
      </c>
      <c r="L116" s="22">
        <f t="shared" si="91"/>
        <v>0.11377275386729703</v>
      </c>
      <c r="M116" s="226">
        <f t="shared" si="92"/>
        <v>0.11377275386729703</v>
      </c>
      <c r="N116" s="228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>Other income: e.g. Credit (cotton loans)</v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>Remittances: no. times per year</v>
      </c>
      <c r="B118" s="60">
        <f t="shared" si="81"/>
        <v>0.21524959687821221</v>
      </c>
      <c r="C118" s="60">
        <f t="shared" si="81"/>
        <v>0</v>
      </c>
      <c r="D118" s="24">
        <f t="shared" si="86"/>
        <v>0.21524959687821221</v>
      </c>
      <c r="H118" s="24">
        <f t="shared" si="87"/>
        <v>0.67272727272727284</v>
      </c>
      <c r="I118" s="22">
        <f t="shared" si="88"/>
        <v>0.1448042742635246</v>
      </c>
      <c r="J118" s="24">
        <f t="shared" si="89"/>
        <v>0.1448042742635246</v>
      </c>
      <c r="K118" s="22">
        <f t="shared" si="90"/>
        <v>0.21524959687821221</v>
      </c>
      <c r="L118" s="22">
        <f t="shared" si="91"/>
        <v>0.1448042742635246</v>
      </c>
      <c r="M118" s="226">
        <f t="shared" si="92"/>
        <v>0.1448042742635246</v>
      </c>
      <c r="N118" s="228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3.2949541440598207</v>
      </c>
      <c r="C119" s="29">
        <f>SUM(C91:C118)</f>
        <v>-2.1041511395367488E-2</v>
      </c>
      <c r="D119" s="24">
        <f>SUM(D91:D118)</f>
        <v>3.2739126326644534</v>
      </c>
      <c r="E119" s="22"/>
      <c r="F119" s="2"/>
      <c r="G119" s="2"/>
      <c r="H119" s="31"/>
      <c r="I119" s="22">
        <f>SUM(I91:I118)</f>
        <v>0.70198718640458291</v>
      </c>
      <c r="J119" s="24">
        <f>SUM(J91:J118)</f>
        <v>0.70198718640458291</v>
      </c>
      <c r="K119" s="22">
        <f>SUM(K91:K118)</f>
        <v>3.2949541440598207</v>
      </c>
      <c r="L119" s="22">
        <f>SUM(L91:L118)</f>
        <v>0.69415455668859039</v>
      </c>
      <c r="M119" s="57">
        <f t="shared" si="80"/>
        <v>0.70198718640458291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1.2592558019670554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0.70198718640458291</v>
      </c>
      <c r="J124" s="236">
        <f>IF(SUMPRODUCT($B$124:$B124,$H$124:$H124)&lt;J$119,($B124*$H124),J$119)</f>
        <v>0.70198718640458291</v>
      </c>
      <c r="K124" s="29">
        <f>(B124)</f>
        <v>1.2592558019670554</v>
      </c>
      <c r="L124" s="29">
        <f>IF(SUMPRODUCT($B$124:$B124,$H$124:$H124)&lt;L$119,($B124*$H124),L$119)</f>
        <v>0.69415455668859039</v>
      </c>
      <c r="M124" s="239">
        <f t="shared" si="93"/>
        <v>0.70198718640458291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1.2591229894943465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6">
        <f>IF(SUMPRODUCT($B$124:$B125,$H$124:$H125)&lt;J$119,($B125*$H125),IF(SUMPRODUCT($B$124:$B124,$H$124:$H124)&lt;J$119,J$119-SUMPRODUCT($B$124:$B124,$H$124:$H124),0))</f>
        <v>0</v>
      </c>
      <c r="K125" s="29">
        <f>(B125)</f>
        <v>1.2591229894943465</v>
      </c>
      <c r="L125" s="29">
        <f>IF(SUMPRODUCT($B$124:$B125,$H$124:$H125)&lt;L$119,($B125*$H125),IF(SUMPRODUCT($B$124:$B124,$H$124:$H124)&lt;L$119,L$119-SUMPRODUCT($B$124:$B124,$H$124:$H124),0))</f>
        <v>0</v>
      </c>
      <c r="M125" s="239">
        <f t="shared" si="93"/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2.3267083697879647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2.3267083697879647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0.16746879064070103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0.16746879064070103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0.61940969298167581</v>
      </c>
      <c r="C128" s="56"/>
      <c r="D128" s="31"/>
      <c r="E128" s="2"/>
      <c r="F128" s="2"/>
      <c r="G128" s="2"/>
      <c r="H128" s="24"/>
      <c r="I128" s="29">
        <f>(I30)</f>
        <v>0</v>
      </c>
      <c r="J128" s="227">
        <f>(J30)</f>
        <v>0</v>
      </c>
      <c r="K128" s="29">
        <f>(B128)</f>
        <v>0.61940969298167581</v>
      </c>
      <c r="L128" s="29">
        <f>IF(L124=L119,0,(L119-L124)/(B119-B124)*K128)</f>
        <v>0</v>
      </c>
      <c r="M128" s="239">
        <f t="shared" si="93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3.2949541440598207</v>
      </c>
      <c r="C130" s="56"/>
      <c r="D130" s="31"/>
      <c r="E130" s="2"/>
      <c r="F130" s="2"/>
      <c r="G130" s="2"/>
      <c r="H130" s="24"/>
      <c r="I130" s="29">
        <f>(I119)</f>
        <v>0.70198718640458291</v>
      </c>
      <c r="J130" s="227">
        <f>(J119)</f>
        <v>0.70198718640458291</v>
      </c>
      <c r="K130" s="29">
        <f>(B130)</f>
        <v>3.2949541440598207</v>
      </c>
      <c r="L130" s="29">
        <f>(L119)</f>
        <v>0.69415455668859039</v>
      </c>
      <c r="M130" s="239">
        <f t="shared" si="93"/>
        <v>0.70198718640458291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1.2669359956300879</v>
      </c>
      <c r="J131" s="236">
        <f>IF(SUMPRODUCT($B124:$B125,$H124:$H125)&gt;(J119-J128),SUMPRODUCT($B124:$B125,$H124:$H125)+J128-J119,0)</f>
        <v>1.2669359956300879</v>
      </c>
      <c r="K131" s="29"/>
      <c r="L131" s="29">
        <f>IF(I131&lt;SUM(L126:L127),0,I131-(SUM(L126:L127)))</f>
        <v>1.2669359956300879</v>
      </c>
      <c r="M131" s="236">
        <f>IF(I131&lt;SUM(M126:M127),0,I131-(SUM(M126:M127)))</f>
        <v>1.2669359956300879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60" priority="260" operator="equal">
      <formula>16</formula>
    </cfRule>
    <cfRule type="cellIs" dxfId="359" priority="261" operator="equal">
      <formula>15</formula>
    </cfRule>
    <cfRule type="cellIs" dxfId="358" priority="262" operator="equal">
      <formula>14</formula>
    </cfRule>
    <cfRule type="cellIs" dxfId="357" priority="263" operator="equal">
      <formula>13</formula>
    </cfRule>
    <cfRule type="cellIs" dxfId="356" priority="264" operator="equal">
      <formula>12</formula>
    </cfRule>
    <cfRule type="cellIs" dxfId="355" priority="265" operator="equal">
      <formula>11</formula>
    </cfRule>
    <cfRule type="cellIs" dxfId="354" priority="266" operator="equal">
      <formula>10</formula>
    </cfRule>
    <cfRule type="cellIs" dxfId="353" priority="267" operator="equal">
      <formula>9</formula>
    </cfRule>
    <cfRule type="cellIs" dxfId="352" priority="268" operator="equal">
      <formula>8</formula>
    </cfRule>
    <cfRule type="cellIs" dxfId="351" priority="269" operator="equal">
      <formula>7</formula>
    </cfRule>
    <cfRule type="cellIs" dxfId="350" priority="270" operator="equal">
      <formula>6</formula>
    </cfRule>
    <cfRule type="cellIs" dxfId="349" priority="271" operator="equal">
      <formula>5</formula>
    </cfRule>
    <cfRule type="cellIs" dxfId="348" priority="272" operator="equal">
      <formula>4</formula>
    </cfRule>
    <cfRule type="cellIs" dxfId="347" priority="273" operator="equal">
      <formula>3</formula>
    </cfRule>
    <cfRule type="cellIs" dxfId="346" priority="274" operator="equal">
      <formula>2</formula>
    </cfRule>
    <cfRule type="cellIs" dxfId="345" priority="275" operator="equal">
      <formula>1</formula>
    </cfRule>
  </conditionalFormatting>
  <conditionalFormatting sqref="N6:N26">
    <cfRule type="cellIs" dxfId="344" priority="132" operator="equal">
      <formula>16</formula>
    </cfRule>
    <cfRule type="cellIs" dxfId="343" priority="133" operator="equal">
      <formula>15</formula>
    </cfRule>
    <cfRule type="cellIs" dxfId="342" priority="134" operator="equal">
      <formula>14</formula>
    </cfRule>
    <cfRule type="cellIs" dxfId="341" priority="135" operator="equal">
      <formula>13</formula>
    </cfRule>
    <cfRule type="cellIs" dxfId="340" priority="136" operator="equal">
      <formula>12</formula>
    </cfRule>
    <cfRule type="cellIs" dxfId="339" priority="137" operator="equal">
      <formula>11</formula>
    </cfRule>
    <cfRule type="cellIs" dxfId="338" priority="138" operator="equal">
      <formula>10</formula>
    </cfRule>
    <cfRule type="cellIs" dxfId="337" priority="139" operator="equal">
      <formula>9</formula>
    </cfRule>
    <cfRule type="cellIs" dxfId="336" priority="140" operator="equal">
      <formula>8</formula>
    </cfRule>
    <cfRule type="cellIs" dxfId="335" priority="141" operator="equal">
      <formula>7</formula>
    </cfRule>
    <cfRule type="cellIs" dxfId="334" priority="142" operator="equal">
      <formula>6</formula>
    </cfRule>
    <cfRule type="cellIs" dxfId="333" priority="143" operator="equal">
      <formula>5</formula>
    </cfRule>
    <cfRule type="cellIs" dxfId="332" priority="144" operator="equal">
      <formula>4</formula>
    </cfRule>
    <cfRule type="cellIs" dxfId="331" priority="145" operator="equal">
      <formula>3</formula>
    </cfRule>
    <cfRule type="cellIs" dxfId="330" priority="146" operator="equal">
      <formula>2</formula>
    </cfRule>
    <cfRule type="cellIs" dxfId="329" priority="147" operator="equal">
      <formula>1</formula>
    </cfRule>
  </conditionalFormatting>
  <conditionalFormatting sqref="R31:T31">
    <cfRule type="cellIs" dxfId="328" priority="67" operator="greaterThan">
      <formula>0</formula>
    </cfRule>
  </conditionalFormatting>
  <conditionalFormatting sqref="R32:T32">
    <cfRule type="cellIs" dxfId="327" priority="66" operator="greaterThan">
      <formula>0</formula>
    </cfRule>
  </conditionalFormatting>
  <conditionalFormatting sqref="R30:T30">
    <cfRule type="cellIs" dxfId="326" priority="65" operator="greaterThan">
      <formula>0</formula>
    </cfRule>
  </conditionalFormatting>
  <conditionalFormatting sqref="N113:N118">
    <cfRule type="cellIs" dxfId="325" priority="49" operator="equal">
      <formula>16</formula>
    </cfRule>
    <cfRule type="cellIs" dxfId="324" priority="50" operator="equal">
      <formula>15</formula>
    </cfRule>
    <cfRule type="cellIs" dxfId="323" priority="51" operator="equal">
      <formula>14</formula>
    </cfRule>
    <cfRule type="cellIs" dxfId="322" priority="52" operator="equal">
      <formula>13</formula>
    </cfRule>
    <cfRule type="cellIs" dxfId="321" priority="53" operator="equal">
      <formula>12</formula>
    </cfRule>
    <cfRule type="cellIs" dxfId="320" priority="54" operator="equal">
      <formula>11</formula>
    </cfRule>
    <cfRule type="cellIs" dxfId="319" priority="55" operator="equal">
      <formula>10</formula>
    </cfRule>
    <cfRule type="cellIs" dxfId="318" priority="56" operator="equal">
      <formula>9</formula>
    </cfRule>
    <cfRule type="cellIs" dxfId="317" priority="57" operator="equal">
      <formula>8</formula>
    </cfRule>
    <cfRule type="cellIs" dxfId="316" priority="58" operator="equal">
      <formula>7</formula>
    </cfRule>
    <cfRule type="cellIs" dxfId="315" priority="59" operator="equal">
      <formula>6</formula>
    </cfRule>
    <cfRule type="cellIs" dxfId="314" priority="60" operator="equal">
      <formula>5</formula>
    </cfRule>
    <cfRule type="cellIs" dxfId="313" priority="61" operator="equal">
      <formula>4</formula>
    </cfRule>
    <cfRule type="cellIs" dxfId="312" priority="62" operator="equal">
      <formula>3</formula>
    </cfRule>
    <cfRule type="cellIs" dxfId="311" priority="63" operator="equal">
      <formula>2</formula>
    </cfRule>
    <cfRule type="cellIs" dxfId="310" priority="64" operator="equal">
      <formula>1</formula>
    </cfRule>
  </conditionalFormatting>
  <conditionalFormatting sqref="N112">
    <cfRule type="cellIs" dxfId="309" priority="33" operator="equal">
      <formula>16</formula>
    </cfRule>
    <cfRule type="cellIs" dxfId="308" priority="34" operator="equal">
      <formula>15</formula>
    </cfRule>
    <cfRule type="cellIs" dxfId="307" priority="35" operator="equal">
      <formula>14</formula>
    </cfRule>
    <cfRule type="cellIs" dxfId="306" priority="36" operator="equal">
      <formula>13</formula>
    </cfRule>
    <cfRule type="cellIs" dxfId="305" priority="37" operator="equal">
      <formula>12</formula>
    </cfRule>
    <cfRule type="cellIs" dxfId="304" priority="38" operator="equal">
      <formula>11</formula>
    </cfRule>
    <cfRule type="cellIs" dxfId="303" priority="39" operator="equal">
      <formula>10</formula>
    </cfRule>
    <cfRule type="cellIs" dxfId="302" priority="40" operator="equal">
      <formula>9</formula>
    </cfRule>
    <cfRule type="cellIs" dxfId="301" priority="41" operator="equal">
      <formula>8</formula>
    </cfRule>
    <cfRule type="cellIs" dxfId="300" priority="42" operator="equal">
      <formula>7</formula>
    </cfRule>
    <cfRule type="cellIs" dxfId="299" priority="43" operator="equal">
      <formula>6</formula>
    </cfRule>
    <cfRule type="cellIs" dxfId="298" priority="44" operator="equal">
      <formula>5</formula>
    </cfRule>
    <cfRule type="cellIs" dxfId="297" priority="45" operator="equal">
      <formula>4</formula>
    </cfRule>
    <cfRule type="cellIs" dxfId="296" priority="46" operator="equal">
      <formula>3</formula>
    </cfRule>
    <cfRule type="cellIs" dxfId="295" priority="47" operator="equal">
      <formula>2</formula>
    </cfRule>
    <cfRule type="cellIs" dxfId="294" priority="48" operator="equal">
      <formula>1</formula>
    </cfRule>
  </conditionalFormatting>
  <conditionalFormatting sqref="N91:N104">
    <cfRule type="cellIs" dxfId="293" priority="17" operator="equal">
      <formula>16</formula>
    </cfRule>
    <cfRule type="cellIs" dxfId="292" priority="18" operator="equal">
      <formula>15</formula>
    </cfRule>
    <cfRule type="cellIs" dxfId="291" priority="19" operator="equal">
      <formula>14</formula>
    </cfRule>
    <cfRule type="cellIs" dxfId="290" priority="20" operator="equal">
      <formula>13</formula>
    </cfRule>
    <cfRule type="cellIs" dxfId="289" priority="21" operator="equal">
      <formula>12</formula>
    </cfRule>
    <cfRule type="cellIs" dxfId="288" priority="22" operator="equal">
      <formula>11</formula>
    </cfRule>
    <cfRule type="cellIs" dxfId="287" priority="23" operator="equal">
      <formula>10</formula>
    </cfRule>
    <cfRule type="cellIs" dxfId="286" priority="24" operator="equal">
      <formula>9</formula>
    </cfRule>
    <cfRule type="cellIs" dxfId="285" priority="25" operator="equal">
      <formula>8</formula>
    </cfRule>
    <cfRule type="cellIs" dxfId="284" priority="26" operator="equal">
      <formula>7</formula>
    </cfRule>
    <cfRule type="cellIs" dxfId="283" priority="27" operator="equal">
      <formula>6</formula>
    </cfRule>
    <cfRule type="cellIs" dxfId="282" priority="28" operator="equal">
      <formula>5</formula>
    </cfRule>
    <cfRule type="cellIs" dxfId="281" priority="29" operator="equal">
      <formula>4</formula>
    </cfRule>
    <cfRule type="cellIs" dxfId="280" priority="30" operator="equal">
      <formula>3</formula>
    </cfRule>
    <cfRule type="cellIs" dxfId="279" priority="31" operator="equal">
      <formula>2</formula>
    </cfRule>
    <cfRule type="cellIs" dxfId="278" priority="32" operator="equal">
      <formula>1</formula>
    </cfRule>
  </conditionalFormatting>
  <conditionalFormatting sqref="N105:N111">
    <cfRule type="cellIs" dxfId="277" priority="1" operator="equal">
      <formula>16</formula>
    </cfRule>
    <cfRule type="cellIs" dxfId="276" priority="2" operator="equal">
      <formula>15</formula>
    </cfRule>
    <cfRule type="cellIs" dxfId="275" priority="3" operator="equal">
      <formula>14</formula>
    </cfRule>
    <cfRule type="cellIs" dxfId="274" priority="4" operator="equal">
      <formula>13</formula>
    </cfRule>
    <cfRule type="cellIs" dxfId="273" priority="5" operator="equal">
      <formula>12</formula>
    </cfRule>
    <cfRule type="cellIs" dxfId="272" priority="6" operator="equal">
      <formula>11</formula>
    </cfRule>
    <cfRule type="cellIs" dxfId="271" priority="7" operator="equal">
      <formula>10</formula>
    </cfRule>
    <cfRule type="cellIs" dxfId="270" priority="8" operator="equal">
      <formula>9</formula>
    </cfRule>
    <cfRule type="cellIs" dxfId="269" priority="9" operator="equal">
      <formula>8</formula>
    </cfRule>
    <cfRule type="cellIs" dxfId="268" priority="10" operator="equal">
      <formula>7</formula>
    </cfRule>
    <cfRule type="cellIs" dxfId="267" priority="11" operator="equal">
      <formula>6</formula>
    </cfRule>
    <cfRule type="cellIs" dxfId="266" priority="12" operator="equal">
      <formula>5</formula>
    </cfRule>
    <cfRule type="cellIs" dxfId="265" priority="13" operator="equal">
      <formula>4</formula>
    </cfRule>
    <cfRule type="cellIs" dxfId="264" priority="14" operator="equal">
      <formula>3</formula>
    </cfRule>
    <cfRule type="cellIs" dxfId="263" priority="15" operator="equal">
      <formula>2</formula>
    </cfRule>
    <cfRule type="cellIs" dxfId="262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0" activePane="bottomRight" state="frozen"/>
      <selection pane="topRight" activeCell="B1" sqref="B1"/>
      <selection pane="bottomLeft" activeCell="A3" sqref="A3"/>
      <selection pane="bottomRight" activeCell="B87" sqref="B87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ZA2XX: 59200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v>6.1429979017460022E-2</v>
      </c>
      <c r="C6" s="102">
        <v>-2.3835189468066173E-3</v>
      </c>
      <c r="D6" s="24">
        <f t="shared" ref="D6:D29" si="0">(B6+C6)</f>
        <v>5.9046460070653402E-2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1.1809292014130682E-2</v>
      </c>
      <c r="J6" s="24">
        <f t="shared" ref="J6:J13" si="3">IF(I$32&lt;=1+I$131,I6,B6*H6+J$33*(I6-B6*H6))</f>
        <v>1.1976049143291083E-2</v>
      </c>
      <c r="K6" s="22">
        <f t="shared" ref="K6:K31" si="4">B6</f>
        <v>6.1429979017460022E-2</v>
      </c>
      <c r="L6" s="22">
        <f t="shared" ref="L6:L29" si="5">IF(K6="","",K6*H6)</f>
        <v>1.2285995803492005E-2</v>
      </c>
      <c r="M6" s="223">
        <f t="shared" ref="M6:M31" si="6">J6</f>
        <v>1.1976049143291083E-2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4.7904196573164332E-2</v>
      </c>
      <c r="Z6" s="156">
        <f>Poor!Z6</f>
        <v>0.17</v>
      </c>
      <c r="AA6" s="121">
        <f>$M6*Z6*4</f>
        <v>8.143713417437937E-3</v>
      </c>
      <c r="AB6" s="156">
        <f>Poor!AB6</f>
        <v>0.17</v>
      </c>
      <c r="AC6" s="121">
        <f t="shared" ref="AC6:AC29" si="7">$M6*AB6*4</f>
        <v>8.143713417437937E-3</v>
      </c>
      <c r="AD6" s="156">
        <f>Poor!AD6</f>
        <v>0.33</v>
      </c>
      <c r="AE6" s="121">
        <f t="shared" ref="AE6:AE29" si="8">$M6*AD6*4</f>
        <v>1.5808384869144231E-2</v>
      </c>
      <c r="AF6" s="122">
        <f>1-SUM(Z6,AB6,AD6)</f>
        <v>0.32999999999999996</v>
      </c>
      <c r="AG6" s="121">
        <f>$M6*AF6*4</f>
        <v>1.5808384869144227E-2</v>
      </c>
      <c r="AH6" s="123">
        <f>SUM(Z6,AB6,AD6,AF6)</f>
        <v>1</v>
      </c>
      <c r="AI6" s="183">
        <f>SUM(AA6,AC6,AE6,AG6)/4</f>
        <v>1.1976049143291083E-2</v>
      </c>
      <c r="AJ6" s="120">
        <f>(AA6+AC6)/2</f>
        <v>8.143713417437937E-3</v>
      </c>
      <c r="AK6" s="119">
        <f>(AE6+AG6)/2</f>
        <v>1.5808384869144231E-2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v>1.8770211706102113E-2</v>
      </c>
      <c r="C7" s="102">
        <v>0</v>
      </c>
      <c r="D7" s="24">
        <f t="shared" si="0"/>
        <v>1.8770211706102113E-2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3.7540423412204225E-3</v>
      </c>
      <c r="J7" s="24">
        <f t="shared" si="3"/>
        <v>3.7540423412204225E-3</v>
      </c>
      <c r="K7" s="22">
        <f t="shared" si="4"/>
        <v>1.8770211706102113E-2</v>
      </c>
      <c r="L7" s="22">
        <f t="shared" si="5"/>
        <v>3.7540423412204225E-3</v>
      </c>
      <c r="M7" s="223">
        <f t="shared" si="6"/>
        <v>3.7540423412204225E-3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5835.0001358770542</v>
      </c>
      <c r="S7" s="221">
        <f>IF($B$81=0,0,(SUMIF($N$6:$N$28,$U7,L$6:L$28)+SUMIF($N$91:$N$118,$U7,L$91:L$118))*$I$83*Poor!$B$81/$B$81)</f>
        <v>1575.0248874446436</v>
      </c>
      <c r="T7" s="221">
        <f>IF($B$81=0,0,(SUMIF($N$6:$N$28,$U7,M$6:M$28)+SUMIF($N$91:$N$118,$U7,M$91:M$118))*$I$83*Poor!$B$81/$B$81)</f>
        <v>1891.0626361323025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1.501616936488169E-2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1.501616936488169E-2</v>
      </c>
      <c r="AH7" s="123">
        <f t="shared" ref="AH7:AH30" si="12">SUM(Z7,AB7,AD7,AF7)</f>
        <v>1</v>
      </c>
      <c r="AI7" s="183">
        <f t="shared" ref="AI7:AI30" si="13">SUM(AA7,AC7,AE7,AG7)/4</f>
        <v>3.7540423412204225E-3</v>
      </c>
      <c r="AJ7" s="120">
        <f t="shared" ref="AJ7:AJ31" si="14">(AA7+AC7)/2</f>
        <v>0</v>
      </c>
      <c r="AK7" s="119">
        <f t="shared" ref="AK7:AK31" si="15">(AE7+AG7)/2</f>
        <v>7.5080846824408451E-3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v>4.6427141205174487E-2</v>
      </c>
      <c r="C8" s="102">
        <v>0</v>
      </c>
      <c r="D8" s="24">
        <f t="shared" si="0"/>
        <v>4.6427141205174487E-2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9.285428241034897E-3</v>
      </c>
      <c r="J8" s="24">
        <f t="shared" si="3"/>
        <v>9.285428241034897E-3</v>
      </c>
      <c r="K8" s="22">
        <f t="shared" si="4"/>
        <v>4.6427141205174487E-2</v>
      </c>
      <c r="L8" s="22">
        <f t="shared" si="5"/>
        <v>9.285428241034897E-3</v>
      </c>
      <c r="M8" s="223">
        <f t="shared" si="6"/>
        <v>9.285428241034897E-3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6532.5498876119191</v>
      </c>
      <c r="S8" s="221">
        <f>IF($B$81=0,0,(SUMIF($N$6:$N$28,$U8,L$6:L$28)+SUMIF($N$91:$N$118,$U8,L$91:L$118))*$I$83*Poor!$B$81/$B$81)</f>
        <v>1436.32</v>
      </c>
      <c r="T8" s="221">
        <f>IF($B$81=0,0,(SUMIF($N$6:$N$28,$U8,M$6:M$28)+SUMIF($N$91:$N$118,$U8,M$91:M$118))*$I$83*Poor!$B$81/$B$81)</f>
        <v>705.07870466546478</v>
      </c>
      <c r="U8" s="222">
        <v>2</v>
      </c>
      <c r="V8" s="56"/>
      <c r="W8" s="115"/>
      <c r="X8" s="118">
        <f>Poor!X8</f>
        <v>1</v>
      </c>
      <c r="Y8" s="183">
        <f t="shared" si="9"/>
        <v>3.7141712964139588E-2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3.7141712964139588E-2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9.285428241034897E-3</v>
      </c>
      <c r="AJ8" s="120">
        <f t="shared" si="14"/>
        <v>1.8570856482069794E-2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101">
        <v>2.3928571428571431E-2</v>
      </c>
      <c r="C9" s="102">
        <v>0</v>
      </c>
      <c r="D9" s="24">
        <f t="shared" si="0"/>
        <v>2.3928571428571431E-2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4.7857142857142864E-3</v>
      </c>
      <c r="J9" s="24">
        <f t="shared" si="3"/>
        <v>4.7857142857142864E-3</v>
      </c>
      <c r="K9" s="22">
        <f t="shared" si="4"/>
        <v>2.3928571428571431E-2</v>
      </c>
      <c r="L9" s="22">
        <f t="shared" si="5"/>
        <v>4.7857142857142864E-3</v>
      </c>
      <c r="M9" s="223">
        <f t="shared" si="6"/>
        <v>4.7857142857142864E-3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2349.8904945833574</v>
      </c>
      <c r="S9" s="221">
        <f>IF($B$81=0,0,(SUMIF($N$6:$N$28,$U9,L$6:L$28)+SUMIF($N$91:$N$118,$U9,L$91:L$118))*$I$83*Poor!$B$81/$B$81)</f>
        <v>518.61206489397262</v>
      </c>
      <c r="T9" s="221">
        <f>IF($B$81=0,0,(SUMIF($N$6:$N$28,$U9,M$6:M$28)+SUMIF($N$91:$N$118,$U9,M$91:M$118))*$I$83*Poor!$B$81/$B$81)</f>
        <v>512.26501189185069</v>
      </c>
      <c r="U9" s="222">
        <v>3</v>
      </c>
      <c r="V9" s="56"/>
      <c r="W9" s="115"/>
      <c r="X9" s="118">
        <f>Poor!X9</f>
        <v>1</v>
      </c>
      <c r="Y9" s="183">
        <f t="shared" si="9"/>
        <v>1.9142857142857145E-2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1.9142857142857145E-2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4.7857142857142864E-3</v>
      </c>
      <c r="AJ9" s="120">
        <f t="shared" si="14"/>
        <v>9.5714285714285727E-3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v>0.13115033464495388</v>
      </c>
      <c r="C10" s="102">
        <v>3.3254378844003347E-2</v>
      </c>
      <c r="D10" s="24">
        <f t="shared" si="0"/>
        <v>0.16440471348895722</v>
      </c>
      <c r="E10" s="75">
        <f>Poor!E10</f>
        <v>0.3</v>
      </c>
      <c r="H10" s="24">
        <f t="shared" si="1"/>
        <v>0.3</v>
      </c>
      <c r="I10" s="22">
        <f t="shared" si="2"/>
        <v>4.9321414046687162E-2</v>
      </c>
      <c r="J10" s="24">
        <f t="shared" si="3"/>
        <v>4.5831570958507824E-2</v>
      </c>
      <c r="K10" s="22">
        <f t="shared" si="4"/>
        <v>0.13115033464495388</v>
      </c>
      <c r="L10" s="22">
        <f t="shared" si="5"/>
        <v>3.9345100393486161E-2</v>
      </c>
      <c r="M10" s="223">
        <f t="shared" si="6"/>
        <v>4.5831570958507824E-2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1353.6749925934489</v>
      </c>
      <c r="S10" s="221">
        <f>IF($B$81=0,0,(SUMIF($N$6:$N$28,$U10,L$6:L$28)+SUMIF($N$91:$N$118,$U10,L$91:L$118))*$I$83*Poor!$B$81/$B$81)</f>
        <v>213.65224489795921</v>
      </c>
      <c r="T10" s="221">
        <f>IF($B$81=0,0,(SUMIF($N$6:$N$28,$U10,M$6:M$28)+SUMIF($N$91:$N$118,$U10,M$91:M$118))*$I$83*Poor!$B$81/$B$81)</f>
        <v>263.75645991501648</v>
      </c>
      <c r="U10" s="222">
        <v>4</v>
      </c>
      <c r="V10" s="56"/>
      <c r="W10" s="115"/>
      <c r="X10" s="118">
        <f>Poor!X10</f>
        <v>1</v>
      </c>
      <c r="Y10" s="183">
        <f t="shared" si="9"/>
        <v>0.1833262838340313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0.1833262838340313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4.5831570958507824E-2</v>
      </c>
      <c r="AJ10" s="120">
        <f t="shared" si="14"/>
        <v>9.1663141917015648E-2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Sorghum: kg produced</v>
      </c>
      <c r="B11" s="101">
        <v>9.1288420972374003E-3</v>
      </c>
      <c r="C11" s="102">
        <v>9.443629755762831E-3</v>
      </c>
      <c r="D11" s="24">
        <f t="shared" si="0"/>
        <v>1.8572471853000233E-2</v>
      </c>
      <c r="E11" s="75">
        <f>Poor!E11</f>
        <v>0.3</v>
      </c>
      <c r="H11" s="24">
        <f t="shared" si="1"/>
        <v>0.3</v>
      </c>
      <c r="I11" s="22">
        <f t="shared" si="2"/>
        <v>5.5717415559000697E-3</v>
      </c>
      <c r="J11" s="24">
        <f t="shared" si="3"/>
        <v>4.5806905371733545E-3</v>
      </c>
      <c r="K11" s="22">
        <f t="shared" si="4"/>
        <v>9.1288420972374003E-3</v>
      </c>
      <c r="L11" s="22">
        <f t="shared" si="5"/>
        <v>2.7386526291712202E-3</v>
      </c>
      <c r="M11" s="223">
        <f t="shared" si="6"/>
        <v>4.5806905371733545E-3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18818.889838422219</v>
      </c>
      <c r="S11" s="221">
        <f>IF($B$81=0,0,(SUMIF($N$6:$N$28,$U11,L$6:L$28)+SUMIF($N$91:$N$118,$U11,L$91:L$118))*$I$83*Poor!$B$81/$B$81)</f>
        <v>7489.7730612244895</v>
      </c>
      <c r="T11" s="221">
        <f>IF($B$81=0,0,(SUMIF($N$6:$N$28,$U11,M$6:M$28)+SUMIF($N$91:$N$118,$U11,M$91:M$118))*$I$83*Poor!$B$81/$B$81)</f>
        <v>6456.0604751538258</v>
      </c>
      <c r="U11" s="222">
        <v>5</v>
      </c>
      <c r="V11" s="56"/>
      <c r="W11" s="115"/>
      <c r="X11" s="118">
        <f>Poor!X11</f>
        <v>1</v>
      </c>
      <c r="Y11" s="183">
        <f t="shared" si="9"/>
        <v>1.8322762148693418E-2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1.8322762148693418E-2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4.5806905371733545E-3</v>
      </c>
      <c r="AJ11" s="120">
        <f t="shared" si="14"/>
        <v>9.161381074346709E-3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101">
        <v>4.7699104168678681E-2</v>
      </c>
      <c r="C12" s="102">
        <v>-6.8885896392990578E-3</v>
      </c>
      <c r="D12" s="24">
        <f t="shared" si="0"/>
        <v>4.0810514529379623E-2</v>
      </c>
      <c r="E12" s="75">
        <f>Poor!E12</f>
        <v>0.2</v>
      </c>
      <c r="H12" s="24">
        <f t="shared" si="1"/>
        <v>0.2</v>
      </c>
      <c r="I12" s="22">
        <f t="shared" si="2"/>
        <v>8.1621029058759256E-3</v>
      </c>
      <c r="J12" s="24">
        <f t="shared" si="3"/>
        <v>8.6440463927328782E-3</v>
      </c>
      <c r="K12" s="22">
        <f t="shared" si="4"/>
        <v>4.7699104168678681E-2</v>
      </c>
      <c r="L12" s="22">
        <f t="shared" si="5"/>
        <v>9.5398208337357376E-3</v>
      </c>
      <c r="M12" s="223">
        <f t="shared" si="6"/>
        <v>8.6440463927328782E-3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39.394324544774676</v>
      </c>
      <c r="S12" s="221">
        <f>IF($B$81=0,0,(SUMIF($N$6:$N$28,$U12,L$6:L$28)+SUMIF($N$91:$N$118,$U12,L$91:L$118))*$I$83*Poor!$B$81/$B$81)</f>
        <v>43.470902249194516</v>
      </c>
      <c r="T12" s="221">
        <f>IF($B$81=0,0,(SUMIF($N$6:$N$28,$U12,M$6:M$28)+SUMIF($N$91:$N$118,$U12,M$91:M$118))*$I$83*Poor!$B$81/$B$81)</f>
        <v>50.536957349212862</v>
      </c>
      <c r="U12" s="222">
        <v>6</v>
      </c>
      <c r="V12" s="56"/>
      <c r="W12" s="117"/>
      <c r="X12" s="118"/>
      <c r="Y12" s="183">
        <f t="shared" si="9"/>
        <v>3.4576185570931513E-2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2.3166044332524116E-2</v>
      </c>
      <c r="AF12" s="122">
        <f>1-SUM(Z12,AB12,AD12)</f>
        <v>0.32999999999999996</v>
      </c>
      <c r="AG12" s="121">
        <f>$M12*AF12*4</f>
        <v>1.1410141238407398E-2</v>
      </c>
      <c r="AH12" s="123">
        <f t="shared" si="12"/>
        <v>1</v>
      </c>
      <c r="AI12" s="183">
        <f t="shared" si="13"/>
        <v>8.6440463927328782E-3</v>
      </c>
      <c r="AJ12" s="120">
        <f t="shared" si="14"/>
        <v>0</v>
      </c>
      <c r="AK12" s="119">
        <f t="shared" si="15"/>
        <v>1.7288092785465756E-2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Cassava: no. local meas.</v>
      </c>
      <c r="B13" s="101">
        <v>0</v>
      </c>
      <c r="C13" s="102">
        <v>0</v>
      </c>
      <c r="D13" s="24">
        <f t="shared" si="0"/>
        <v>0</v>
      </c>
      <c r="E13" s="75">
        <f>Poor!E13</f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8485.6669962713222</v>
      </c>
      <c r="S13" s="221">
        <f>IF($B$81=0,0,(SUMIF($N$6:$N$28,$U13,L$6:L$28)+SUMIF($N$91:$N$118,$U13,L$91:L$118))*$I$83*Poor!$B$81/$B$81)</f>
        <v>3276.4770045216587</v>
      </c>
      <c r="T13" s="221">
        <f>IF($B$81=0,0,(SUMIF($N$6:$N$28,$U13,M$6:M$28)+SUMIF($N$91:$N$118,$U13,M$91:M$118))*$I$83*Poor!$B$81/$B$81)</f>
        <v>3190.8479022955721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Sweetpotatoes: no. local meas.</v>
      </c>
      <c r="B14" s="101">
        <v>1.96458435204717E-2</v>
      </c>
      <c r="C14" s="102">
        <v>6.8755864487762717E-3</v>
      </c>
      <c r="D14" s="24">
        <f t="shared" si="0"/>
        <v>2.6521429969247973E-2</v>
      </c>
      <c r="E14" s="75">
        <f>Poor!E14</f>
        <v>0.2</v>
      </c>
      <c r="F14" s="22"/>
      <c r="H14" s="24">
        <f t="shared" si="1"/>
        <v>0.2</v>
      </c>
      <c r="I14" s="22">
        <f t="shared" si="2"/>
        <v>5.3042859938495952E-3</v>
      </c>
      <c r="J14" s="24">
        <f>IF(I$32&lt;=1+I131,I14,B14*H14+J$33*(I14-B14*H14))</f>
        <v>4.8232522437180033E-3</v>
      </c>
      <c r="K14" s="22">
        <f t="shared" si="4"/>
        <v>1.96458435204717E-2</v>
      </c>
      <c r="L14" s="22">
        <f t="shared" si="5"/>
        <v>3.9291687040943404E-3</v>
      </c>
      <c r="M14" s="224">
        <f t="shared" si="6"/>
        <v>4.8232522437180033E-3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53170.498356510943</v>
      </c>
      <c r="S14" s="221">
        <f>IF($B$81=0,0,(SUMIF($N$6:$N$28,$U14,L$6:L$28)+SUMIF($N$91:$N$118,$U14,L$91:L$118))*$I$83*Poor!$B$81/$B$81)</f>
        <v>25175.902040816323</v>
      </c>
      <c r="T14" s="221">
        <f>IF($B$81=0,0,(SUMIF($N$6:$N$28,$U14,M$6:M$28)+SUMIF($N$91:$N$118,$U14,M$91:M$118))*$I$83*Poor!$B$81/$B$81)</f>
        <v>25175.902040816323</v>
      </c>
      <c r="U14" s="222">
        <v>8</v>
      </c>
      <c r="V14" s="56"/>
      <c r="W14" s="110"/>
      <c r="X14" s="118"/>
      <c r="Y14" s="183">
        <f>M14*4</f>
        <v>1.9293008974872013E-2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1.9293008974872013E-2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4.8232522437180033E-3</v>
      </c>
      <c r="AJ14" s="120">
        <f t="shared" si="14"/>
        <v>9.6465044874360067E-3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Cabbage: no. local meas</v>
      </c>
      <c r="B15" s="101">
        <v>8.2593852237781758E-3</v>
      </c>
      <c r="C15" s="102">
        <v>1.8432421785650748E-3</v>
      </c>
      <c r="D15" s="24">
        <f t="shared" si="0"/>
        <v>1.010262740234325E-2</v>
      </c>
      <c r="E15" s="75">
        <f>Poor!E15</f>
        <v>0.2</v>
      </c>
      <c r="F15" s="22"/>
      <c r="H15" s="24">
        <f t="shared" si="1"/>
        <v>0.2</v>
      </c>
      <c r="I15" s="22">
        <f t="shared" si="2"/>
        <v>2.0205254804686501E-3</v>
      </c>
      <c r="J15" s="24">
        <f>IF(I$32&lt;=1+I131,I15,B15*H15+J$33*(I15-B15*H15))</f>
        <v>1.8915675066053892E-3</v>
      </c>
      <c r="K15" s="22">
        <f t="shared" si="4"/>
        <v>8.2593852237781758E-3</v>
      </c>
      <c r="L15" s="22">
        <f t="shared" si="5"/>
        <v>1.6518770447556353E-3</v>
      </c>
      <c r="M15" s="225">
        <f t="shared" si="6"/>
        <v>1.8915675066053892E-3</v>
      </c>
      <c r="N15" s="228">
        <v>1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5422.2678558148045</v>
      </c>
      <c r="S15" s="221">
        <f>IF($B$81=0,0,(SUMIF($N$6:$N$28,$U15,L$6:L$28)+SUMIF($N$91:$N$118,$U15,L$91:L$118))*$I$83*Poor!$B$81/$B$81)</f>
        <v>4279.017142857143</v>
      </c>
      <c r="T15" s="221">
        <f>IF($B$81=0,0,(SUMIF($N$6:$N$28,$U15,M$6:M$28)+SUMIF($N$91:$N$118,$U15,M$91:M$118))*$I$83*Poor!$B$81/$B$81)</f>
        <v>4279.017142857143</v>
      </c>
      <c r="U15" s="222">
        <v>9</v>
      </c>
      <c r="V15" s="56"/>
      <c r="W15" s="110"/>
      <c r="X15" s="118"/>
      <c r="Y15" s="183">
        <f t="shared" si="9"/>
        <v>7.5662700264215567E-3</v>
      </c>
      <c r="Z15" s="156">
        <f>Poor!Z15</f>
        <v>0.25</v>
      </c>
      <c r="AA15" s="121">
        <f t="shared" si="16"/>
        <v>1.8915675066053892E-3</v>
      </c>
      <c r="AB15" s="156">
        <f>Poor!AB15</f>
        <v>0.25</v>
      </c>
      <c r="AC15" s="121">
        <f t="shared" si="7"/>
        <v>1.8915675066053892E-3</v>
      </c>
      <c r="AD15" s="156">
        <f>Poor!AD15</f>
        <v>0.25</v>
      </c>
      <c r="AE15" s="121">
        <f t="shared" si="8"/>
        <v>1.8915675066053892E-3</v>
      </c>
      <c r="AF15" s="122">
        <f t="shared" si="10"/>
        <v>0.25</v>
      </c>
      <c r="AG15" s="121">
        <f t="shared" si="11"/>
        <v>1.8915675066053892E-3</v>
      </c>
      <c r="AH15" s="123">
        <f t="shared" si="12"/>
        <v>1</v>
      </c>
      <c r="AI15" s="183">
        <f t="shared" si="13"/>
        <v>1.8915675066053892E-3</v>
      </c>
      <c r="AJ15" s="120">
        <f t="shared" si="14"/>
        <v>1.8915675066053892E-3</v>
      </c>
      <c r="AK15" s="119">
        <f t="shared" si="15"/>
        <v>1.8915675066053892E-3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 xml:space="preserve">Potatoes: no. local meas </v>
      </c>
      <c r="B16" s="101">
        <v>1.500343498501933E-2</v>
      </c>
      <c r="C16" s="102">
        <v>4.9279328792538185E-3</v>
      </c>
      <c r="D16" s="24">
        <f t="shared" si="0"/>
        <v>1.9931367864273148E-2</v>
      </c>
      <c r="E16" s="75">
        <f>Poor!E16</f>
        <v>0.2</v>
      </c>
      <c r="F16" s="22"/>
      <c r="H16" s="24">
        <f t="shared" si="1"/>
        <v>0.2</v>
      </c>
      <c r="I16" s="22">
        <f t="shared" si="2"/>
        <v>3.9862735728546294E-3</v>
      </c>
      <c r="J16" s="24">
        <f>IF(I$32&lt;=1+I131,I16,B16*H16+J$33*(I16-B16*H16))</f>
        <v>3.6415026866233697E-3</v>
      </c>
      <c r="K16" s="22">
        <f t="shared" si="4"/>
        <v>1.500343498501933E-2</v>
      </c>
      <c r="L16" s="22">
        <f t="shared" si="5"/>
        <v>3.000686997003866E-3</v>
      </c>
      <c r="M16" s="223">
        <f t="shared" si="6"/>
        <v>3.6415026866233697E-3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13414.443132194307</v>
      </c>
      <c r="S16" s="221">
        <f>IF($B$81=0,0,(SUMIF($N$6:$N$28,$U16,L$6:L$28)+SUMIF($N$91:$N$118,$U16,L$91:L$118))*$I$83*Poor!$B$81/$B$81)</f>
        <v>7177.0122448979591</v>
      </c>
      <c r="T16" s="221">
        <f>IF($B$81=0,0,(SUMIF($N$6:$N$28,$U16,M$6:M$28)+SUMIF($N$91:$N$118,$U16,M$91:M$118))*$I$83*Poor!$B$81/$B$81)</f>
        <v>8110.2924181089029</v>
      </c>
      <c r="U16" s="222">
        <v>10</v>
      </c>
      <c r="V16" s="56"/>
      <c r="W16" s="110"/>
      <c r="X16" s="118"/>
      <c r="Y16" s="183">
        <f t="shared" si="9"/>
        <v>1.4566010746493479E-2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1.4566010746493479E-2</v>
      </c>
      <c r="AH16" s="123">
        <f t="shared" si="12"/>
        <v>1</v>
      </c>
      <c r="AI16" s="183">
        <f t="shared" si="13"/>
        <v>3.6415026866233697E-3</v>
      </c>
      <c r="AJ16" s="120">
        <f t="shared" si="14"/>
        <v>0</v>
      </c>
      <c r="AK16" s="119">
        <f t="shared" si="15"/>
        <v>7.2830053732467395E-3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 xml:space="preserve">Pumpkin / butternut </v>
      </c>
      <c r="B17" s="101">
        <v>5.4328845909472137E-3</v>
      </c>
      <c r="C17" s="102">
        <v>1.1971220677561181E-3</v>
      </c>
      <c r="D17" s="24">
        <f t="shared" si="0"/>
        <v>6.6300066587033323E-3</v>
      </c>
      <c r="E17" s="75">
        <f>Poor!E17</f>
        <v>0.2</v>
      </c>
      <c r="F17" s="22"/>
      <c r="H17" s="24">
        <f t="shared" si="1"/>
        <v>0.2</v>
      </c>
      <c r="I17" s="22">
        <f t="shared" si="2"/>
        <v>1.3260013317406665E-3</v>
      </c>
      <c r="J17" s="24">
        <f t="shared" ref="J17:J25" si="17">IF(I$32&lt;=1+I131,I17,B17*H17+J$33*(I17-B17*H17))</f>
        <v>1.2422475862371824E-3</v>
      </c>
      <c r="K17" s="22">
        <f t="shared" si="4"/>
        <v>5.4328845909472137E-3</v>
      </c>
      <c r="L17" s="22">
        <f t="shared" si="5"/>
        <v>1.0865769181894428E-3</v>
      </c>
      <c r="M17" s="224">
        <f t="shared" si="6"/>
        <v>1.2422475862371824E-3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19891.332443014286</v>
      </c>
      <c r="S17" s="221">
        <f>IF($B$81=0,0,(SUMIF($N$6:$N$28,$U17,L$6:L$28)+SUMIF($N$91:$N$118,$U17,L$91:L$118))*$I$83*Poor!$B$81/$B$81)</f>
        <v>12557.89714285714</v>
      </c>
      <c r="T17" s="221">
        <f>IF($B$81=0,0,(SUMIF($N$6:$N$28,$U17,M$6:M$28)+SUMIF($N$91:$N$118,$U17,M$91:M$118))*$I$83*Poor!$B$81/$B$81)</f>
        <v>12557.89714285714</v>
      </c>
      <c r="U17" s="222">
        <v>11</v>
      </c>
      <c r="V17" s="56"/>
      <c r="W17" s="110"/>
      <c r="X17" s="118"/>
      <c r="Y17" s="183">
        <f t="shared" si="9"/>
        <v>4.9689903449487297E-3</v>
      </c>
      <c r="Z17" s="156">
        <f>Poor!Z17</f>
        <v>0.29409999999999997</v>
      </c>
      <c r="AA17" s="121">
        <f t="shared" si="16"/>
        <v>1.4613800604494213E-3</v>
      </c>
      <c r="AB17" s="156">
        <f>Poor!AB17</f>
        <v>0.17649999999999999</v>
      </c>
      <c r="AC17" s="121">
        <f t="shared" si="7"/>
        <v>8.7702679588345077E-4</v>
      </c>
      <c r="AD17" s="156">
        <f>Poor!AD17</f>
        <v>0.23530000000000001</v>
      </c>
      <c r="AE17" s="121">
        <f t="shared" si="8"/>
        <v>1.1692034281664361E-3</v>
      </c>
      <c r="AF17" s="122">
        <f t="shared" si="10"/>
        <v>0.29410000000000003</v>
      </c>
      <c r="AG17" s="121">
        <f t="shared" si="11"/>
        <v>1.4613800604494215E-3</v>
      </c>
      <c r="AH17" s="123">
        <f t="shared" si="12"/>
        <v>1</v>
      </c>
      <c r="AI17" s="183">
        <f t="shared" si="13"/>
        <v>1.2422475862371824E-3</v>
      </c>
      <c r="AJ17" s="120">
        <f t="shared" si="14"/>
        <v>1.1692034281664361E-3</v>
      </c>
      <c r="AK17" s="119">
        <f t="shared" si="15"/>
        <v>1.3152917443079288E-3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Tomatoes</v>
      </c>
      <c r="B18" s="101">
        <v>4.4372125956235551E-3</v>
      </c>
      <c r="C18" s="102">
        <v>1.1155297989681558E-3</v>
      </c>
      <c r="D18" s="24">
        <f t="shared" ref="D18:D25" si="18">(B18+C18)</f>
        <v>5.5527423945917111E-3</v>
      </c>
      <c r="E18" s="75">
        <f>Poor!E18</f>
        <v>0.2</v>
      </c>
      <c r="F18" s="22"/>
      <c r="H18" s="24">
        <f t="shared" ref="H18:H25" si="19">(E18*F$7/F$9)</f>
        <v>0.2</v>
      </c>
      <c r="I18" s="22">
        <f t="shared" ref="I18:I25" si="20">(D18*H18)</f>
        <v>1.1105484789183423E-3</v>
      </c>
      <c r="J18" s="24">
        <f t="shared" si="17"/>
        <v>1.032503138847504E-3</v>
      </c>
      <c r="K18" s="22">
        <f t="shared" ref="K18:K25" si="21">B18</f>
        <v>4.4372125956235551E-3</v>
      </c>
      <c r="L18" s="22">
        <f t="shared" ref="L18:L25" si="22">IF(K18="","",K18*H18)</f>
        <v>8.8744251912471111E-4</v>
      </c>
      <c r="M18" s="224">
        <f t="shared" ref="M18:M25" si="23">J18</f>
        <v>1.032503138847504E-3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1750.3511868212177</v>
      </c>
      <c r="S18" s="221">
        <f>IF($B$81=0,0,(SUMIF($N$6:$N$28,$U18,L$6:L$28)+SUMIF($N$91:$N$118,$U18,L$91:L$118))*$I$83*Poor!$B$81/$B$81)</f>
        <v>1931.4798825294079</v>
      </c>
      <c r="T18" s="221">
        <f>IF($B$81=0,0,(SUMIF($N$6:$N$28,$U18,M$6:M$28)+SUMIF($N$91:$N$118,$U18,M$91:M$118))*$I$83*Poor!$B$81/$B$81)</f>
        <v>1931.4798825294079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Groundnuts (dry): no. local meas</v>
      </c>
      <c r="B19" s="101">
        <v>2.9922066574325872E-2</v>
      </c>
      <c r="C19" s="102">
        <v>4.5546444296896839E-2</v>
      </c>
      <c r="D19" s="24">
        <f t="shared" si="18"/>
        <v>7.5468510871222708E-2</v>
      </c>
      <c r="E19" s="75">
        <f>Poor!E19</f>
        <v>0.2</v>
      </c>
      <c r="F19" s="22"/>
      <c r="H19" s="24">
        <f t="shared" si="19"/>
        <v>0.2</v>
      </c>
      <c r="I19" s="22">
        <f t="shared" si="20"/>
        <v>1.5093702174244543E-2</v>
      </c>
      <c r="J19" s="24">
        <f t="shared" si="17"/>
        <v>1.1907155532947437E-2</v>
      </c>
      <c r="K19" s="22">
        <f t="shared" si="21"/>
        <v>2.9922066574325872E-2</v>
      </c>
      <c r="L19" s="22">
        <f t="shared" si="22"/>
        <v>5.9844133148651748E-3</v>
      </c>
      <c r="M19" s="224">
        <f t="shared" si="23"/>
        <v>1.1907155532947437E-2</v>
      </c>
      <c r="N19" s="228">
        <v>1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46.910346990817217</v>
      </c>
      <c r="S19" s="221">
        <f>IF($B$81=0,0,(SUMIF($N$6:$N$28,$U19,L$6:L$28)+SUMIF($N$91:$N$118,$U19,L$91:L$118))*$I$83*Poor!$B$81/$B$81)</f>
        <v>51.764692809896111</v>
      </c>
      <c r="T19" s="221">
        <f>IF($B$81=0,0,(SUMIF($N$6:$N$28,$U19,M$6:M$28)+SUMIF($N$91:$N$118,$U19,M$91:M$118))*$I$83*Poor!$B$81/$B$81)</f>
        <v>51.764692809896111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Cowpeas: kg produced</v>
      </c>
      <c r="B20" s="101">
        <v>1.9837829567692582E-2</v>
      </c>
      <c r="C20" s="102">
        <v>0</v>
      </c>
      <c r="D20" s="24">
        <f t="shared" si="18"/>
        <v>1.9837829567692582E-2</v>
      </c>
      <c r="E20" s="75">
        <f>Poor!E20</f>
        <v>0.2</v>
      </c>
      <c r="F20" s="22"/>
      <c r="H20" s="24">
        <f t="shared" si="19"/>
        <v>0.2</v>
      </c>
      <c r="I20" s="22">
        <f t="shared" si="20"/>
        <v>3.9675659135385167E-3</v>
      </c>
      <c r="J20" s="24">
        <f t="shared" si="17"/>
        <v>3.9675659135385167E-3</v>
      </c>
      <c r="K20" s="22">
        <f t="shared" si="21"/>
        <v>1.9837829567692582E-2</v>
      </c>
      <c r="L20" s="22">
        <f t="shared" si="22"/>
        <v>3.9675659135385167E-3</v>
      </c>
      <c r="M20" s="224">
        <f t="shared" si="23"/>
        <v>3.9675659135385167E-3</v>
      </c>
      <c r="N20" s="228">
        <v>1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23805.10767650275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Onions: kg produced</v>
      </c>
      <c r="B21" s="101">
        <v>-1.7879380893079521E-5</v>
      </c>
      <c r="C21" s="102">
        <v>1.7879380893079521E-5</v>
      </c>
      <c r="D21" s="24">
        <f t="shared" si="18"/>
        <v>0</v>
      </c>
      <c r="E21" s="75">
        <f>Poor!E21</f>
        <v>0.2</v>
      </c>
      <c r="F21" s="22"/>
      <c r="H21" s="24">
        <f t="shared" si="19"/>
        <v>0.2</v>
      </c>
      <c r="I21" s="22">
        <f t="shared" si="20"/>
        <v>0</v>
      </c>
      <c r="J21" s="24">
        <f t="shared" si="17"/>
        <v>-1.250887572297184E-6</v>
      </c>
      <c r="K21" s="22">
        <f t="shared" si="21"/>
        <v>-1.7879380893079521E-5</v>
      </c>
      <c r="L21" s="22">
        <f t="shared" si="22"/>
        <v>-3.5758761786159045E-6</v>
      </c>
      <c r="M21" s="224">
        <f t="shared" si="23"/>
        <v>-1.250887572297184E-6</v>
      </c>
      <c r="N21" s="228">
        <v>1</v>
      </c>
      <c r="O21" s="2"/>
      <c r="P21" s="22"/>
      <c r="Q21" s="59" t="s">
        <v>82</v>
      </c>
      <c r="R21" s="221">
        <f>IF($B$81=0,0,(SUMIF($N$6:$N$28,$U21,K$6:K$28)+SUMIF($N$91:$N$118,$U21,K$91:K$118))*$B$83*$H$84*Poor!$B$81/$B$81)</f>
        <v>6591.3840937823479</v>
      </c>
      <c r="S21" s="221">
        <f>IF($B$81=0,0,(SUMIF($N$6:$N$28,$U21,L$6:L$28)+SUMIF($N$91:$N$118,$U21,L$91:L$118))*$I$83*Poor!$B$81/$B$81)</f>
        <v>4893.0612244897957</v>
      </c>
      <c r="T21" s="221">
        <f>IF($B$81=0,0,(SUMIF($N$6:$N$28,$U21,M$6:M$28)+SUMIF($N$91:$N$118,$U21,M$91:M$118))*$I$83*Poor!$B$81/$B$81)</f>
        <v>4893.0612244897957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FISHING -- see worksheet Data 3</v>
      </c>
      <c r="B22" s="101">
        <v>2.1228215619996439E-3</v>
      </c>
      <c r="C22" s="102">
        <v>5.3070539049991129E-4</v>
      </c>
      <c r="D22" s="24">
        <f t="shared" si="18"/>
        <v>2.6535269524995552E-3</v>
      </c>
      <c r="E22" s="75">
        <f>Poor!E22</f>
        <v>1</v>
      </c>
      <c r="F22" s="22"/>
      <c r="H22" s="24">
        <f t="shared" si="19"/>
        <v>1</v>
      </c>
      <c r="I22" s="22">
        <f t="shared" si="20"/>
        <v>2.6535269524995552E-3</v>
      </c>
      <c r="J22" s="24">
        <f t="shared" si="17"/>
        <v>2.4678793673014524E-3</v>
      </c>
      <c r="K22" s="22">
        <f t="shared" si="21"/>
        <v>2.1228215619996439E-3</v>
      </c>
      <c r="L22" s="22">
        <f t="shared" si="22"/>
        <v>2.1228215619996439E-3</v>
      </c>
      <c r="M22" s="224">
        <f t="shared" si="23"/>
        <v>2.4678793673014524E-3</v>
      </c>
      <c r="N22" s="228">
        <v>6</v>
      </c>
      <c r="O22" s="2"/>
      <c r="P22" s="22"/>
      <c r="Q22" s="59" t="s">
        <v>83</v>
      </c>
      <c r="R22" s="221">
        <f>IF($B$81=0,0,(SUMIF($N$6:$N$28,$U22,K$6:K$28)+SUMIF($N$91:$N$118,$U22,K$91:K$118))*$B$83*$H$84*Poor!$B$81/$B$81)</f>
        <v>390.60053889080581</v>
      </c>
      <c r="S22" s="221">
        <f>IF($B$81=0,0,(SUMIF($N$6:$N$28,$U22,L$6:L$28)+SUMIF($N$91:$N$118,$U22,L$91:L$118))*$I$83*Poor!$B$81/$B$81)</f>
        <v>261.22448979591837</v>
      </c>
      <c r="T22" s="221">
        <f>IF($B$81=0,0,(SUMIF($N$6:$N$28,$U22,M$6:M$28)+SUMIF($N$91:$N$118,$U22,M$91:M$118))*$I$83*Poor!$B$81/$B$81)</f>
        <v>261.22448979591837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Labour: Land prep &amp; weeding, slaughtering</v>
      </c>
      <c r="B23" s="101">
        <v>1.0815217221135029E-2</v>
      </c>
      <c r="C23" s="102">
        <v>0</v>
      </c>
      <c r="D23" s="24">
        <f t="shared" si="18"/>
        <v>1.0815217221135029E-2</v>
      </c>
      <c r="E23" s="75">
        <f>Poor!E23</f>
        <v>0.5</v>
      </c>
      <c r="F23" s="22"/>
      <c r="H23" s="24">
        <f t="shared" si="19"/>
        <v>0.5</v>
      </c>
      <c r="I23" s="22">
        <f t="shared" si="20"/>
        <v>5.4076086105675145E-3</v>
      </c>
      <c r="J23" s="24">
        <f t="shared" si="17"/>
        <v>5.4076086105675145E-3</v>
      </c>
      <c r="K23" s="22">
        <f t="shared" si="21"/>
        <v>1.0815217221135029E-2</v>
      </c>
      <c r="L23" s="22">
        <f t="shared" si="22"/>
        <v>5.4076086105675145E-3</v>
      </c>
      <c r="M23" s="224">
        <f t="shared" si="23"/>
        <v>5.4076086105675145E-3</v>
      </c>
      <c r="N23" s="228">
        <v>7</v>
      </c>
      <c r="O23" s="2"/>
      <c r="P23" s="22"/>
      <c r="Q23" s="171" t="s">
        <v>100</v>
      </c>
      <c r="R23" s="179">
        <f>SUM(R7:R22)</f>
        <v>167897.96230042638</v>
      </c>
      <c r="S23" s="179">
        <f>SUM(S7:S22)</f>
        <v>70880.689026285501</v>
      </c>
      <c r="T23" s="179">
        <f>SUM(T7:T22)</f>
        <v>70330.247181667772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Labour: Harvesting</v>
      </c>
      <c r="B24" s="101">
        <v>2.7038043052837576E-2</v>
      </c>
      <c r="C24" s="102">
        <v>-1.2862573385518593E-2</v>
      </c>
      <c r="D24" s="24">
        <f t="shared" si="18"/>
        <v>1.4175469667318983E-2</v>
      </c>
      <c r="E24" s="75">
        <f>Poor!E24</f>
        <v>0.5</v>
      </c>
      <c r="F24" s="22"/>
      <c r="H24" s="24">
        <f t="shared" si="19"/>
        <v>0.5</v>
      </c>
      <c r="I24" s="22">
        <f t="shared" si="20"/>
        <v>7.0877348336594913E-3</v>
      </c>
      <c r="J24" s="24">
        <f t="shared" si="17"/>
        <v>9.3374818036361558E-3</v>
      </c>
      <c r="K24" s="22">
        <f t="shared" si="21"/>
        <v>2.7038043052837576E-2</v>
      </c>
      <c r="L24" s="22">
        <f t="shared" si="22"/>
        <v>1.3519021526418788E-2</v>
      </c>
      <c r="M24" s="224">
        <f t="shared" si="23"/>
        <v>9.3374818036361558E-3</v>
      </c>
      <c r="N24" s="228">
        <v>7</v>
      </c>
      <c r="O24" s="2"/>
      <c r="P24" s="22"/>
      <c r="Q24" s="59" t="s">
        <v>137</v>
      </c>
      <c r="R24" s="41">
        <f>IF($B$81=0,0,(SUM(($B$70*$H$70))+((1-$D$29)*$I$83))*Poor!$B$81/$B$81)</f>
        <v>37756.621173113177</v>
      </c>
      <c r="S24" s="41">
        <f>IF($B$81=0,0,(SUM(($B$70*$H$70))+((1-$D$29)*$I$83))*Poor!$B$81/$B$81)</f>
        <v>37756.621173113177</v>
      </c>
      <c r="T24" s="41">
        <f>IF($B$81=0,0,(SUM(($B$70*$H$70))+((1-$D$29)*$I$83))*Poor!$B$81/$B$81)</f>
        <v>37756.621173113177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>Gifts/remittances: Events(Funerals, weddings)</v>
      </c>
      <c r="B25" s="101">
        <v>2.5278335705390502E-3</v>
      </c>
      <c r="C25" s="102">
        <v>0</v>
      </c>
      <c r="D25" s="24">
        <f t="shared" si="18"/>
        <v>2.5278335705390502E-3</v>
      </c>
      <c r="E25" s="75">
        <f>Poor!E25</f>
        <v>1</v>
      </c>
      <c r="F25" s="22"/>
      <c r="H25" s="24">
        <f t="shared" si="19"/>
        <v>1</v>
      </c>
      <c r="I25" s="22">
        <f t="shared" si="20"/>
        <v>2.5278335705390502E-3</v>
      </c>
      <c r="J25" s="24">
        <f t="shared" si="17"/>
        <v>2.5278335705390502E-3</v>
      </c>
      <c r="K25" s="22">
        <f t="shared" si="21"/>
        <v>2.5278335705390502E-3</v>
      </c>
      <c r="L25" s="22">
        <f t="shared" si="22"/>
        <v>2.5278335705390502E-3</v>
      </c>
      <c r="M25" s="224">
        <f t="shared" si="23"/>
        <v>2.5278335705390502E-3</v>
      </c>
      <c r="N25" s="228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56196.216275153995</v>
      </c>
      <c r="S25" s="41">
        <f>IF($B$81=0,0,(SUM(($B$70*$H$70),($B$71*$H$71))+((1-$D$29)*$I$83))*Poor!$B$81/$B$81)</f>
        <v>56196.216275153995</v>
      </c>
      <c r="T25" s="41">
        <f>IF($B$81=0,0,(SUM(($B$70*$H$70),($B$71*$H$71))+((1-$D$29)*$I$83))*Poor!$B$81/$B$81)</f>
        <v>56196.216275153995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v>9.4320267789655549E-2</v>
      </c>
      <c r="C26" s="102">
        <v>0</v>
      </c>
      <c r="D26" s="24">
        <f t="shared" si="0"/>
        <v>9.4320267789655549E-2</v>
      </c>
      <c r="E26" s="75">
        <f>Poor!E26</f>
        <v>1</v>
      </c>
      <c r="F26" s="22"/>
      <c r="H26" s="24">
        <f t="shared" si="1"/>
        <v>1</v>
      </c>
      <c r="I26" s="22">
        <f t="shared" si="2"/>
        <v>9.4320267789655549E-2</v>
      </c>
      <c r="J26" s="24">
        <f>IF(I$32&lt;=1+I131,I26,B26*H26+J$33*(I26-B26*H26))</f>
        <v>9.4320267789655549E-2</v>
      </c>
      <c r="K26" s="22">
        <f t="shared" si="4"/>
        <v>9.4320267789655549E-2</v>
      </c>
      <c r="L26" s="22">
        <f t="shared" si="5"/>
        <v>9.4320267789655549E-2</v>
      </c>
      <c r="M26" s="223">
        <f t="shared" si="6"/>
        <v>9.4320267789655549E-2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90270.377907807037</v>
      </c>
      <c r="S26" s="41">
        <f>IF($B$81=0,0,(SUM(($B$70*$H$70),($B$71*$H$71),($B$72*$H$72))+((1-$D$29)*$I$83))*Poor!$B$81/$B$81)</f>
        <v>90270.377907807037</v>
      </c>
      <c r="T26" s="41">
        <f>IF($B$81=0,0,(SUM(($B$70*$H$70),($B$71*$H$71),($B$72*$H$72))+((1-$D$29)*$I$83))*Poor!$B$81/$B$81)</f>
        <v>90270.377907807037</v>
      </c>
      <c r="U26" s="56"/>
      <c r="V26" s="56"/>
      <c r="W26" s="110"/>
      <c r="X26" s="118"/>
      <c r="Y26" s="183">
        <f t="shared" si="9"/>
        <v>0.37728107115862219</v>
      </c>
      <c r="Z26" s="156">
        <f>Poor!Z26</f>
        <v>0.25</v>
      </c>
      <c r="AA26" s="121">
        <f t="shared" si="16"/>
        <v>9.4320267789655549E-2</v>
      </c>
      <c r="AB26" s="156">
        <f>Poor!AB26</f>
        <v>0.25</v>
      </c>
      <c r="AC26" s="121">
        <f t="shared" si="7"/>
        <v>9.4320267789655549E-2</v>
      </c>
      <c r="AD26" s="156">
        <f>Poor!AD26</f>
        <v>0.25</v>
      </c>
      <c r="AE26" s="121">
        <f t="shared" si="8"/>
        <v>9.4320267789655549E-2</v>
      </c>
      <c r="AF26" s="122">
        <f t="shared" si="10"/>
        <v>0.25</v>
      </c>
      <c r="AG26" s="121">
        <f t="shared" si="11"/>
        <v>9.4320267789655549E-2</v>
      </c>
      <c r="AH26" s="123">
        <f t="shared" si="12"/>
        <v>1</v>
      </c>
      <c r="AI26" s="183">
        <f t="shared" si="13"/>
        <v>9.4320267789655549E-2</v>
      </c>
      <c r="AJ26" s="120">
        <f t="shared" si="14"/>
        <v>9.4320267789655549E-2</v>
      </c>
      <c r="AK26" s="119">
        <f t="shared" si="15"/>
        <v>9.4320267789655549E-2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v>2.091354320532696E-2</v>
      </c>
      <c r="C27" s="102">
        <v>-2.091354320532696E-2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7.3158269418516358E-3</v>
      </c>
      <c r="K27" s="22">
        <f t="shared" si="4"/>
        <v>2.091354320532696E-2</v>
      </c>
      <c r="L27" s="22">
        <f t="shared" si="5"/>
        <v>2.091354320532696E-2</v>
      </c>
      <c r="M27" s="225">
        <f t="shared" si="6"/>
        <v>7.3158269418516358E-3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2.9263307767406543E-2</v>
      </c>
      <c r="Z27" s="156">
        <f>Poor!Z27</f>
        <v>0.25</v>
      </c>
      <c r="AA27" s="121">
        <f t="shared" si="16"/>
        <v>7.3158269418516358E-3</v>
      </c>
      <c r="AB27" s="156">
        <f>Poor!AB27</f>
        <v>0.25</v>
      </c>
      <c r="AC27" s="121">
        <f t="shared" si="7"/>
        <v>7.3158269418516358E-3</v>
      </c>
      <c r="AD27" s="156">
        <f>Poor!AD27</f>
        <v>0.25</v>
      </c>
      <c r="AE27" s="121">
        <f t="shared" si="8"/>
        <v>7.3158269418516358E-3</v>
      </c>
      <c r="AF27" s="122">
        <f t="shared" si="10"/>
        <v>0.25</v>
      </c>
      <c r="AG27" s="121">
        <f t="shared" si="11"/>
        <v>7.3158269418516358E-3</v>
      </c>
      <c r="AH27" s="123">
        <f t="shared" si="12"/>
        <v>1</v>
      </c>
      <c r="AI27" s="183">
        <f t="shared" si="13"/>
        <v>7.3158269418516358E-3</v>
      </c>
      <c r="AJ27" s="120">
        <f t="shared" si="14"/>
        <v>7.3158269418516358E-3</v>
      </c>
      <c r="AK27" s="119">
        <f t="shared" si="15"/>
        <v>7.3158269418516358E-3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v>1.8750230818105569E-2</v>
      </c>
      <c r="C28" s="102">
        <v>-1.8750230818105569E-2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6.5590723885608077E-3</v>
      </c>
      <c r="K28" s="22">
        <f t="shared" si="4"/>
        <v>1.8750230818105569E-2</v>
      </c>
      <c r="L28" s="22">
        <f t="shared" si="5"/>
        <v>1.8750230818105569E-2</v>
      </c>
      <c r="M28" s="223">
        <f t="shared" si="6"/>
        <v>6.5590723885608077E-3</v>
      </c>
      <c r="N28" s="228"/>
      <c r="O28" s="2"/>
      <c r="P28" s="22"/>
      <c r="V28" s="56"/>
      <c r="W28" s="110"/>
      <c r="X28" s="118"/>
      <c r="Y28" s="183">
        <f t="shared" si="9"/>
        <v>2.6236289554243231E-2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1.3118144777121615E-2</v>
      </c>
      <c r="AF28" s="122">
        <f t="shared" si="10"/>
        <v>0.5</v>
      </c>
      <c r="AG28" s="121">
        <f t="shared" si="11"/>
        <v>1.3118144777121615E-2</v>
      </c>
      <c r="AH28" s="123">
        <f t="shared" si="12"/>
        <v>1</v>
      </c>
      <c r="AI28" s="183">
        <f t="shared" si="13"/>
        <v>6.5590723885608077E-3</v>
      </c>
      <c r="AJ28" s="120">
        <f t="shared" si="14"/>
        <v>0</v>
      </c>
      <c r="AK28" s="119">
        <f t="shared" si="15"/>
        <v>1.3118144777121615E-2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v>0.23190602179162326</v>
      </c>
      <c r="C29" s="102">
        <v>-7.2217085028323707E-3</v>
      </c>
      <c r="D29" s="24">
        <f t="shared" si="0"/>
        <v>0.22468431328879088</v>
      </c>
      <c r="E29" s="75">
        <f>Poor!E29</f>
        <v>1</v>
      </c>
      <c r="F29" s="22"/>
      <c r="H29" s="24">
        <f t="shared" si="1"/>
        <v>1</v>
      </c>
      <c r="I29" s="22">
        <f t="shared" si="2"/>
        <v>0.22468431328879088</v>
      </c>
      <c r="J29" s="24">
        <f>IF(I$32&lt;=1+I131,I29,B29*H29+J$33*(I29-B29*H29))</f>
        <v>0.22721055999469403</v>
      </c>
      <c r="K29" s="22">
        <f t="shared" si="4"/>
        <v>0.23190602179162326</v>
      </c>
      <c r="L29" s="22">
        <f t="shared" si="5"/>
        <v>0.23190602179162326</v>
      </c>
      <c r="M29" s="223">
        <f t="shared" si="6"/>
        <v>0.22721055999469403</v>
      </c>
      <c r="N29" s="228"/>
      <c r="P29" s="22"/>
      <c r="V29" s="56"/>
      <c r="W29" s="110"/>
      <c r="X29" s="118"/>
      <c r="Y29" s="183">
        <f t="shared" si="9"/>
        <v>0.90884223997877611</v>
      </c>
      <c r="Z29" s="156">
        <f>Poor!Z29</f>
        <v>0.25</v>
      </c>
      <c r="AA29" s="121">
        <f t="shared" si="16"/>
        <v>0.22721055999469403</v>
      </c>
      <c r="AB29" s="156">
        <f>Poor!AB29</f>
        <v>0.25</v>
      </c>
      <c r="AC29" s="121">
        <f t="shared" si="7"/>
        <v>0.22721055999469403</v>
      </c>
      <c r="AD29" s="156">
        <f>Poor!AD29</f>
        <v>0.25</v>
      </c>
      <c r="AE29" s="121">
        <f t="shared" si="8"/>
        <v>0.22721055999469403</v>
      </c>
      <c r="AF29" s="122">
        <f t="shared" si="10"/>
        <v>0.25</v>
      </c>
      <c r="AG29" s="121">
        <f t="shared" si="11"/>
        <v>0.22721055999469403</v>
      </c>
      <c r="AH29" s="123">
        <f t="shared" si="12"/>
        <v>1</v>
      </c>
      <c r="AI29" s="183">
        <f t="shared" si="13"/>
        <v>0.22721055999469403</v>
      </c>
      <c r="AJ29" s="120">
        <f t="shared" si="14"/>
        <v>0.22721055999469403</v>
      </c>
      <c r="AK29" s="119">
        <f t="shared" si="15"/>
        <v>0.22721055999469403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v>0.59584818167738329</v>
      </c>
      <c r="C30" s="103"/>
      <c r="D30" s="24">
        <f>(D119-B124)</f>
        <v>6.9017213905368422</v>
      </c>
      <c r="E30" s="75">
        <f>Poor!E30</f>
        <v>1</v>
      </c>
      <c r="H30" s="96">
        <f>(E30*F$7/F$9)</f>
        <v>1</v>
      </c>
      <c r="I30" s="29">
        <f>IF(E30&gt;=1,I119-I124,MIN(I119-I124,B30*H30))</f>
        <v>2.1140313492926683</v>
      </c>
      <c r="J30" s="230">
        <f>IF(I$32&lt;=1,I30,1-SUM(J6:J29))</f>
        <v>0.52749138391257389</v>
      </c>
      <c r="K30" s="22">
        <f t="shared" si="4"/>
        <v>0.59584818167738329</v>
      </c>
      <c r="L30" s="22">
        <f>IF(L124=L119,0,IF(K30="",0,(L119-L124)/(B119-B124)*K30))</f>
        <v>0.17955137765045079</v>
      </c>
      <c r="M30" s="175">
        <f t="shared" si="6"/>
        <v>0.52749138391257389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2.1099655356502955</v>
      </c>
      <c r="Z30" s="122">
        <f>IF($Y30=0,0,AA30/($Y$30))</f>
        <v>0.19039318956258336</v>
      </c>
      <c r="AA30" s="187">
        <f>IF(AA79*4/$I$84+SUM(AA6:AA29)&lt;1,AA79*4/$I$84,1-SUM(AA6:AA29))</f>
        <v>0.40172306819958448</v>
      </c>
      <c r="AB30" s="122">
        <f>IF($Y30=0,0,AC30/($Y$30))</f>
        <v>0.30377179994148984</v>
      </c>
      <c r="AC30" s="187">
        <f>IF(AC79*4/$I$84+SUM(AC6:AC29)&lt;1,AC79*4/$I$84,1-SUM(AC6:AC29))</f>
        <v>0.64094802857900002</v>
      </c>
      <c r="AD30" s="122">
        <f>IF($Y30=0,0,AE30/($Y$30))</f>
        <v>0.29194789675575655</v>
      </c>
      <c r="AE30" s="187">
        <f>IF(AE79*4/$I$84+SUM(AE6:AE29)&lt;1,AE79*4/$I$84,1-SUM(AE6:AE29))</f>
        <v>0.61600000036023705</v>
      </c>
      <c r="AF30" s="122">
        <f>IF($Y30=0,0,AG30/($Y$30))</f>
        <v>0.28336081163829407</v>
      </c>
      <c r="AG30" s="187">
        <f>IF(AG79*4/$I$84+SUM(AG6:AG29)&lt;1,AG79*4/$I$84,1-SUM(AG6:AG29))</f>
        <v>0.5978815467106956</v>
      </c>
      <c r="AH30" s="123">
        <f t="shared" si="12"/>
        <v>1.0694736978981236</v>
      </c>
      <c r="AI30" s="183">
        <f t="shared" si="13"/>
        <v>0.56413816096237934</v>
      </c>
      <c r="AJ30" s="120">
        <f t="shared" si="14"/>
        <v>0.5213355483892923</v>
      </c>
      <c r="AK30" s="119">
        <f t="shared" si="15"/>
        <v>0.60694077353546638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0.32874236341206509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1.4452971226337494</v>
      </c>
      <c r="C32" s="77">
        <f>SUM(C6:C31)</f>
        <v>3.5732286543486272E-2</v>
      </c>
      <c r="D32" s="24">
        <f>SUM(D6:D30)</f>
        <v>7.7869026180366943</v>
      </c>
      <c r="E32" s="2"/>
      <c r="F32" s="2"/>
      <c r="H32" s="17"/>
      <c r="I32" s="22">
        <f>SUM(I6:I30)</f>
        <v>2.5762112726745587</v>
      </c>
      <c r="J32" s="17"/>
      <c r="L32" s="22">
        <f>SUM(L6:L30)</f>
        <v>0.67125763658793491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19389.688881521535</v>
      </c>
      <c r="T32" s="233">
        <f t="shared" si="24"/>
        <v>19940.130726139265</v>
      </c>
      <c r="V32" s="56"/>
      <c r="W32" s="110"/>
      <c r="X32" s="118"/>
      <c r="Y32" s="115">
        <f>SUM(Y6:Y31)</f>
        <v>3.8534128918007786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0.6501871122446532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Cows' milk sales - season 1</v>
      </c>
      <c r="B37" s="104">
        <v>571.42857142857144</v>
      </c>
      <c r="C37" s="104">
        <v>285.71428571428572</v>
      </c>
      <c r="D37" s="38">
        <f t="shared" ref="D37:D64" si="25">B37+C37</f>
        <v>857.14285714285711</v>
      </c>
      <c r="E37" s="75">
        <f>Poor!E37</f>
        <v>0.2</v>
      </c>
      <c r="F37" s="75">
        <f>Poor!F37</f>
        <v>1.18</v>
      </c>
      <c r="G37" s="75">
        <f>Poor!G37</f>
        <v>1.65</v>
      </c>
      <c r="H37" s="24">
        <f t="shared" ref="H37" si="26">(E37*F37)</f>
        <v>0.23599999999999999</v>
      </c>
      <c r="I37" s="39">
        <f t="shared" ref="I37" si="27">D37*H37</f>
        <v>202.28571428571428</v>
      </c>
      <c r="J37" s="38">
        <f>J91*I$83</f>
        <v>178.69833099706801</v>
      </c>
      <c r="K37" s="40">
        <f>(B37/B$65)</f>
        <v>6.212870070452437E-3</v>
      </c>
      <c r="L37" s="22">
        <f t="shared" ref="L37" si="28">(K37*H37)</f>
        <v>1.4662373366267751E-3</v>
      </c>
      <c r="M37" s="24">
        <f>J37/B$65</f>
        <v>1.9429016465101021E-3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178.69833099706801</v>
      </c>
      <c r="AH37" s="123">
        <f>SUM(Z37,AB37,AD37,AF37)</f>
        <v>1</v>
      </c>
      <c r="AI37" s="112">
        <f>SUM(AA37,AC37,AE37,AG37)</f>
        <v>178.69833099706801</v>
      </c>
      <c r="AJ37" s="148">
        <f>(AA37+AC37)</f>
        <v>0</v>
      </c>
      <c r="AK37" s="147">
        <f>(AE37+AG37)</f>
        <v>178.69833099706801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Other:  hides</v>
      </c>
      <c r="B38" s="104">
        <v>220.71428571428572</v>
      </c>
      <c r="C38" s="104">
        <v>0</v>
      </c>
      <c r="D38" s="38">
        <f t="shared" si="25"/>
        <v>220.71428571428572</v>
      </c>
      <c r="E38" s="75">
        <f>Poor!E38</f>
        <v>0.2</v>
      </c>
      <c r="F38" s="75">
        <f>Poor!F38</f>
        <v>1.18</v>
      </c>
      <c r="G38" s="75">
        <f>Poor!G38</f>
        <v>1.65</v>
      </c>
      <c r="H38" s="24">
        <f t="shared" ref="H38:H64" si="30">(E38*F38)</f>
        <v>0.23599999999999999</v>
      </c>
      <c r="I38" s="39">
        <f t="shared" ref="I38:I64" si="31">D38*H38</f>
        <v>52.088571428571427</v>
      </c>
      <c r="J38" s="38">
        <f t="shared" ref="J38:J64" si="32">J92*I$83</f>
        <v>52.088571428571427</v>
      </c>
      <c r="K38" s="40">
        <f t="shared" ref="K38:K64" si="33">(B38/B$65)</f>
        <v>2.3997210647122538E-3</v>
      </c>
      <c r="L38" s="22">
        <f t="shared" ref="L38:L64" si="34">(K38*H38)</f>
        <v>5.6633417127209193E-4</v>
      </c>
      <c r="M38" s="24">
        <f t="shared" ref="M38:M64" si="35">J38/B$65</f>
        <v>5.6633417127209193E-4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52.088571428571427</v>
      </c>
      <c r="AH38" s="123">
        <f t="shared" ref="AH38:AI58" si="37">SUM(Z38,AB38,AD38,AF38)</f>
        <v>1</v>
      </c>
      <c r="AI38" s="112">
        <f t="shared" si="37"/>
        <v>52.088571428571427</v>
      </c>
      <c r="AJ38" s="148">
        <f t="shared" ref="AJ38:AJ64" si="38">(AA38+AC38)</f>
        <v>0</v>
      </c>
      <c r="AK38" s="147">
        <f t="shared" ref="AK38:AK64" si="39">(AE38+AG38)</f>
        <v>52.088571428571427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Cattle sales - local: no. sold</v>
      </c>
      <c r="B39" s="104">
        <v>8428.5714285714294</v>
      </c>
      <c r="C39" s="104">
        <v>-2214.2857142857142</v>
      </c>
      <c r="D39" s="38">
        <f t="shared" si="25"/>
        <v>6214.2857142857156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3666.428571428572</v>
      </c>
      <c r="J39" s="38">
        <f t="shared" si="32"/>
        <v>4123.4341226460929</v>
      </c>
      <c r="K39" s="40">
        <f t="shared" si="33"/>
        <v>9.163983353917346E-2</v>
      </c>
      <c r="L39" s="22">
        <f t="shared" si="34"/>
        <v>5.4067501788112336E-2</v>
      </c>
      <c r="M39" s="24">
        <f t="shared" si="35"/>
        <v>4.4832130784122876E-2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4123.4341226460929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4123.4341226460929</v>
      </c>
      <c r="AJ39" s="148">
        <f t="shared" si="38"/>
        <v>4123.4341226460929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Sheep sales - local: no. sold</v>
      </c>
      <c r="B40" s="104">
        <v>250</v>
      </c>
      <c r="C40" s="104">
        <v>107.14285714285714</v>
      </c>
      <c r="D40" s="38">
        <f t="shared" si="25"/>
        <v>357.14285714285711</v>
      </c>
      <c r="E40" s="75">
        <f>Poor!E40</f>
        <v>0.5</v>
      </c>
      <c r="F40" s="75">
        <f>Poor!F40</f>
        <v>1.18</v>
      </c>
      <c r="G40" s="75">
        <f>Poor!G40</f>
        <v>1.65</v>
      </c>
      <c r="H40" s="24">
        <f t="shared" si="30"/>
        <v>0.59</v>
      </c>
      <c r="I40" s="39">
        <f t="shared" si="31"/>
        <v>210.71428571428569</v>
      </c>
      <c r="J40" s="38">
        <f t="shared" si="32"/>
        <v>188.60111388117986</v>
      </c>
      <c r="K40" s="40">
        <f t="shared" si="33"/>
        <v>2.7181306558229411E-3</v>
      </c>
      <c r="L40" s="22">
        <f t="shared" si="34"/>
        <v>1.6036970869355352E-3</v>
      </c>
      <c r="M40" s="24">
        <f t="shared" si="35"/>
        <v>2.0505698774511546E-3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188.60111388117986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188.60111388117986</v>
      </c>
      <c r="AJ40" s="148">
        <f t="shared" si="38"/>
        <v>188.60111388117986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Goat sales - local: no. sold</v>
      </c>
      <c r="B41" s="104">
        <v>2010</v>
      </c>
      <c r="C41" s="104">
        <v>-250.71428571428572</v>
      </c>
      <c r="D41" s="38">
        <f t="shared" si="25"/>
        <v>1759.2857142857142</v>
      </c>
      <c r="E41" s="75">
        <f>Poor!E41</f>
        <v>0.5</v>
      </c>
      <c r="F41" s="75">
        <f>Poor!F41</f>
        <v>1.18</v>
      </c>
      <c r="G41" s="75">
        <f>Poor!G41</f>
        <v>1.65</v>
      </c>
      <c r="H41" s="24">
        <f t="shared" si="30"/>
        <v>0.59</v>
      </c>
      <c r="I41" s="39">
        <f t="shared" si="31"/>
        <v>1037.9785714285713</v>
      </c>
      <c r="J41" s="38">
        <f t="shared" si="32"/>
        <v>1089.7233935180393</v>
      </c>
      <c r="K41" s="40">
        <f t="shared" si="33"/>
        <v>2.1853770472816447E-2</v>
      </c>
      <c r="L41" s="22">
        <f t="shared" si="34"/>
        <v>1.2893724578961704E-2</v>
      </c>
      <c r="M41" s="24">
        <f t="shared" si="35"/>
        <v>1.1848042249155156E-2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1</v>
      </c>
      <c r="AA41" s="147">
        <f t="shared" si="40"/>
        <v>1089.7233935180393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1089.7233935180393</v>
      </c>
      <c r="AJ41" s="148">
        <f t="shared" si="38"/>
        <v>1089.7233935180393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Pig sales: no sold</v>
      </c>
      <c r="B42" s="104">
        <v>228.57142857142858</v>
      </c>
      <c r="C42" s="104">
        <v>0</v>
      </c>
      <c r="D42" s="38">
        <f t="shared" si="25"/>
        <v>228.57142857142858</v>
      </c>
      <c r="E42" s="75">
        <f>Poor!E42</f>
        <v>0.5</v>
      </c>
      <c r="F42" s="75">
        <f>Poor!F42</f>
        <v>1.18</v>
      </c>
      <c r="G42" s="75">
        <f>Poor!G42</f>
        <v>1.65</v>
      </c>
      <c r="H42" s="24">
        <f t="shared" si="30"/>
        <v>0.59</v>
      </c>
      <c r="I42" s="39">
        <f t="shared" si="31"/>
        <v>134.85714285714286</v>
      </c>
      <c r="J42" s="38">
        <f t="shared" si="32"/>
        <v>134.85714285714286</v>
      </c>
      <c r="K42" s="40">
        <f t="shared" si="33"/>
        <v>2.4851480281809749E-3</v>
      </c>
      <c r="L42" s="22">
        <f t="shared" si="34"/>
        <v>1.4662373366267751E-3</v>
      </c>
      <c r="M42" s="24">
        <f t="shared" si="35"/>
        <v>1.4662373366267751E-3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33.714285714285715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67.428571428571431</v>
      </c>
      <c r="AF42" s="122">
        <f t="shared" si="29"/>
        <v>0.25</v>
      </c>
      <c r="AG42" s="147">
        <f t="shared" si="36"/>
        <v>33.714285714285715</v>
      </c>
      <c r="AH42" s="123">
        <f t="shared" si="37"/>
        <v>1</v>
      </c>
      <c r="AI42" s="112">
        <f t="shared" si="37"/>
        <v>134.85714285714286</v>
      </c>
      <c r="AJ42" s="148">
        <f t="shared" si="38"/>
        <v>33.714285714285715</v>
      </c>
      <c r="AK42" s="147">
        <f t="shared" si="39"/>
        <v>101.14285714285714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Chicken sales: no. sold</v>
      </c>
      <c r="B43" s="104">
        <v>95.285714285714292</v>
      </c>
      <c r="C43" s="104">
        <v>0</v>
      </c>
      <c r="D43" s="38">
        <f t="shared" si="25"/>
        <v>95.285714285714292</v>
      </c>
      <c r="E43" s="75">
        <f>Poor!E43</f>
        <v>1</v>
      </c>
      <c r="F43" s="75">
        <f>Poor!F43</f>
        <v>1.18</v>
      </c>
      <c r="G43" s="75">
        <f>Poor!G43</f>
        <v>1.65</v>
      </c>
      <c r="H43" s="24">
        <f t="shared" si="30"/>
        <v>1.18</v>
      </c>
      <c r="I43" s="39">
        <f t="shared" si="31"/>
        <v>112.43714285714286</v>
      </c>
      <c r="J43" s="38">
        <f t="shared" si="32"/>
        <v>112.43714285714286</v>
      </c>
      <c r="K43" s="40">
        <f t="shared" si="33"/>
        <v>1.0359960842479439E-3</v>
      </c>
      <c r="L43" s="22">
        <f t="shared" si="34"/>
        <v>1.2224753794125736E-3</v>
      </c>
      <c r="M43" s="24">
        <f t="shared" si="35"/>
        <v>1.2224753794125738E-3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28.109285714285715</v>
      </c>
      <c r="AB43" s="156">
        <f>Poor!AB43</f>
        <v>0.25</v>
      </c>
      <c r="AC43" s="147">
        <f t="shared" si="41"/>
        <v>28.109285714285715</v>
      </c>
      <c r="AD43" s="156">
        <f>Poor!AD43</f>
        <v>0.25</v>
      </c>
      <c r="AE43" s="147">
        <f t="shared" si="42"/>
        <v>28.109285714285715</v>
      </c>
      <c r="AF43" s="122">
        <f t="shared" si="29"/>
        <v>0.25</v>
      </c>
      <c r="AG43" s="147">
        <f t="shared" si="36"/>
        <v>28.109285714285715</v>
      </c>
      <c r="AH43" s="123">
        <f t="shared" si="37"/>
        <v>1</v>
      </c>
      <c r="AI43" s="112">
        <f t="shared" si="37"/>
        <v>112.43714285714286</v>
      </c>
      <c r="AJ43" s="148">
        <f t="shared" si="38"/>
        <v>56.21857142857143</v>
      </c>
      <c r="AK43" s="147">
        <f t="shared" si="39"/>
        <v>56.21857142857143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Maize: kg produced</v>
      </c>
      <c r="B44" s="104">
        <v>1260.2857142857142</v>
      </c>
      <c r="C44" s="104">
        <v>-1260.2857142857142</v>
      </c>
      <c r="D44" s="38">
        <f t="shared" si="25"/>
        <v>0</v>
      </c>
      <c r="E44" s="75">
        <f>Poor!E44</f>
        <v>0.3</v>
      </c>
      <c r="F44" s="75">
        <f>Poor!F44</f>
        <v>1.4</v>
      </c>
      <c r="G44" s="75">
        <f>Poor!G44</f>
        <v>1.65</v>
      </c>
      <c r="H44" s="24">
        <f t="shared" si="30"/>
        <v>0.42</v>
      </c>
      <c r="I44" s="39">
        <f t="shared" si="31"/>
        <v>0</v>
      </c>
      <c r="J44" s="38">
        <f t="shared" si="32"/>
        <v>185.16295774666014</v>
      </c>
      <c r="K44" s="40">
        <f t="shared" si="33"/>
        <v>1.3702484940382849E-2</v>
      </c>
      <c r="L44" s="22">
        <f t="shared" si="34"/>
        <v>5.7550436749607961E-3</v>
      </c>
      <c r="M44" s="24">
        <f t="shared" si="35"/>
        <v>2.0131884470961795E-3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46.290739436665035</v>
      </c>
      <c r="AB44" s="156">
        <f>Poor!AB44</f>
        <v>0.25</v>
      </c>
      <c r="AC44" s="147">
        <f t="shared" si="41"/>
        <v>46.290739436665035</v>
      </c>
      <c r="AD44" s="156">
        <f>Poor!AD44</f>
        <v>0.25</v>
      </c>
      <c r="AE44" s="147">
        <f t="shared" si="42"/>
        <v>46.290739436665035</v>
      </c>
      <c r="AF44" s="122">
        <f t="shared" si="29"/>
        <v>0.25</v>
      </c>
      <c r="AG44" s="147">
        <f t="shared" si="36"/>
        <v>46.290739436665035</v>
      </c>
      <c r="AH44" s="123">
        <f t="shared" si="37"/>
        <v>1</v>
      </c>
      <c r="AI44" s="112">
        <f t="shared" si="37"/>
        <v>185.16295774666014</v>
      </c>
      <c r="AJ44" s="148">
        <f t="shared" si="38"/>
        <v>92.58147887333007</v>
      </c>
      <c r="AK44" s="147">
        <f t="shared" si="39"/>
        <v>92.58147887333007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Sorghum: kg produced</v>
      </c>
      <c r="B45" s="104">
        <v>71.285714285714292</v>
      </c>
      <c r="C45" s="104">
        <v>-71.285714285714292</v>
      </c>
      <c r="D45" s="38">
        <f t="shared" si="25"/>
        <v>0</v>
      </c>
      <c r="E45" s="75">
        <f>Poor!E45</f>
        <v>0.3</v>
      </c>
      <c r="F45" s="75">
        <f>Poor!F45</f>
        <v>1.4</v>
      </c>
      <c r="G45" s="75">
        <f>Poor!G45</f>
        <v>1.65</v>
      </c>
      <c r="H45" s="24">
        <f t="shared" si="30"/>
        <v>0.42</v>
      </c>
      <c r="I45" s="39">
        <f t="shared" si="31"/>
        <v>0</v>
      </c>
      <c r="J45" s="38">
        <f t="shared" si="32"/>
        <v>10.473397859395085</v>
      </c>
      <c r="K45" s="40">
        <f t="shared" si="33"/>
        <v>7.7505554128894159E-4</v>
      </c>
      <c r="L45" s="22">
        <f t="shared" si="34"/>
        <v>3.2552332734135544E-4</v>
      </c>
      <c r="M45" s="24">
        <f t="shared" si="35"/>
        <v>1.138722551690086E-4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2.6183494648487713</v>
      </c>
      <c r="AB45" s="156">
        <f>Poor!AB45</f>
        <v>0.25</v>
      </c>
      <c r="AC45" s="147">
        <f t="shared" si="41"/>
        <v>2.6183494648487713</v>
      </c>
      <c r="AD45" s="156">
        <f>Poor!AD45</f>
        <v>0.25</v>
      </c>
      <c r="AE45" s="147">
        <f t="shared" si="42"/>
        <v>2.6183494648487713</v>
      </c>
      <c r="AF45" s="122">
        <f t="shared" si="29"/>
        <v>0.25</v>
      </c>
      <c r="AG45" s="147">
        <f t="shared" si="36"/>
        <v>2.6183494648487713</v>
      </c>
      <c r="AH45" s="123">
        <f t="shared" si="37"/>
        <v>1</v>
      </c>
      <c r="AI45" s="112">
        <f t="shared" si="37"/>
        <v>10.473397859395085</v>
      </c>
      <c r="AJ45" s="148">
        <f t="shared" si="38"/>
        <v>5.2366989296975426</v>
      </c>
      <c r="AK45" s="147">
        <f t="shared" si="39"/>
        <v>5.2366989296975426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Beans: kg produced</v>
      </c>
      <c r="B46" s="104">
        <v>382.85714285714283</v>
      </c>
      <c r="C46" s="104">
        <v>276.78571428571428</v>
      </c>
      <c r="D46" s="38">
        <f t="shared" si="25"/>
        <v>659.64285714285711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184.69999999999996</v>
      </c>
      <c r="J46" s="38">
        <f t="shared" si="32"/>
        <v>157.58950119896059</v>
      </c>
      <c r="K46" s="40">
        <f t="shared" si="33"/>
        <v>4.1626229472031323E-3</v>
      </c>
      <c r="L46" s="22">
        <f t="shared" si="34"/>
        <v>1.1655344252168769E-3</v>
      </c>
      <c r="M46" s="24">
        <f t="shared" si="35"/>
        <v>1.7133954169789637E-3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39.397375299740148</v>
      </c>
      <c r="AB46" s="156">
        <f>Poor!AB46</f>
        <v>0.25</v>
      </c>
      <c r="AC46" s="147">
        <f t="shared" si="41"/>
        <v>39.397375299740148</v>
      </c>
      <c r="AD46" s="156">
        <f>Poor!AD46</f>
        <v>0.25</v>
      </c>
      <c r="AE46" s="147">
        <f t="shared" si="42"/>
        <v>39.397375299740148</v>
      </c>
      <c r="AF46" s="122">
        <f t="shared" si="29"/>
        <v>0.25</v>
      </c>
      <c r="AG46" s="147">
        <f t="shared" si="36"/>
        <v>39.397375299740148</v>
      </c>
      <c r="AH46" s="123">
        <f t="shared" si="37"/>
        <v>1</v>
      </c>
      <c r="AI46" s="112">
        <f t="shared" si="37"/>
        <v>157.58950119896059</v>
      </c>
      <c r="AJ46" s="148">
        <f t="shared" si="38"/>
        <v>78.794750599480295</v>
      </c>
      <c r="AK46" s="147">
        <f t="shared" si="39"/>
        <v>78.794750599480295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Cowpeas, yams, amadumbe, chillies &amp; sugarcane</v>
      </c>
      <c r="B47" s="104">
        <v>57.142857142857146</v>
      </c>
      <c r="C47" s="104">
        <v>0</v>
      </c>
      <c r="D47" s="38">
        <f t="shared" si="25"/>
        <v>57.142857142857146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16</v>
      </c>
      <c r="J47" s="38">
        <f t="shared" si="32"/>
        <v>15.999999999999996</v>
      </c>
      <c r="K47" s="40">
        <f t="shared" si="33"/>
        <v>6.2128700704524372E-4</v>
      </c>
      <c r="L47" s="22">
        <f t="shared" si="34"/>
        <v>1.7396036197266822E-4</v>
      </c>
      <c r="M47" s="24">
        <f t="shared" si="35"/>
        <v>1.739603619726682E-4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3.9999999999999991</v>
      </c>
      <c r="AB47" s="156">
        <f>Poor!AB47</f>
        <v>0.25</v>
      </c>
      <c r="AC47" s="147">
        <f t="shared" si="41"/>
        <v>3.9999999999999991</v>
      </c>
      <c r="AD47" s="156">
        <f>Poor!AD47</f>
        <v>0.25</v>
      </c>
      <c r="AE47" s="147">
        <f t="shared" si="42"/>
        <v>3.9999999999999991</v>
      </c>
      <c r="AF47" s="122">
        <f t="shared" si="29"/>
        <v>0.25</v>
      </c>
      <c r="AG47" s="147">
        <f t="shared" si="36"/>
        <v>3.9999999999999991</v>
      </c>
      <c r="AH47" s="123">
        <f t="shared" si="37"/>
        <v>1</v>
      </c>
      <c r="AI47" s="112">
        <f t="shared" si="37"/>
        <v>15.999999999999996</v>
      </c>
      <c r="AJ47" s="148">
        <f t="shared" si="38"/>
        <v>7.9999999999999982</v>
      </c>
      <c r="AK47" s="147">
        <f t="shared" si="39"/>
        <v>7.9999999999999982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Cabbage: no. local meas</v>
      </c>
      <c r="B48" s="104">
        <v>87.142857142857139</v>
      </c>
      <c r="C48" s="104">
        <v>-65.714285714285708</v>
      </c>
      <c r="D48" s="38">
        <f t="shared" si="25"/>
        <v>21.428571428571431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6</v>
      </c>
      <c r="J48" s="38">
        <f t="shared" si="32"/>
        <v>12.436557134698377</v>
      </c>
      <c r="K48" s="40">
        <f t="shared" si="33"/>
        <v>9.4746268574399657E-4</v>
      </c>
      <c r="L48" s="22">
        <f t="shared" si="34"/>
        <v>2.6528955200831903E-4</v>
      </c>
      <c r="M48" s="24">
        <f t="shared" si="35"/>
        <v>1.3521674880286871E-4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3.1091392836745944</v>
      </c>
      <c r="AB48" s="156">
        <f>Poor!AB48</f>
        <v>0.25</v>
      </c>
      <c r="AC48" s="147">
        <f t="shared" si="41"/>
        <v>3.1091392836745944</v>
      </c>
      <c r="AD48" s="156">
        <f>Poor!AD48</f>
        <v>0.25</v>
      </c>
      <c r="AE48" s="147">
        <f t="shared" si="42"/>
        <v>3.1091392836745944</v>
      </c>
      <c r="AF48" s="122">
        <f t="shared" si="29"/>
        <v>0.25</v>
      </c>
      <c r="AG48" s="147">
        <f t="shared" si="36"/>
        <v>3.1091392836745944</v>
      </c>
      <c r="AH48" s="123">
        <f t="shared" si="37"/>
        <v>1</v>
      </c>
      <c r="AI48" s="112">
        <f t="shared" si="37"/>
        <v>12.436557134698377</v>
      </c>
      <c r="AJ48" s="148">
        <f t="shared" si="38"/>
        <v>6.2182785673491887</v>
      </c>
      <c r="AK48" s="147">
        <f t="shared" si="39"/>
        <v>6.2182785673491887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Sweet potatoes &amp; potatoes</v>
      </c>
      <c r="B49" s="104">
        <v>1128.8571428571429</v>
      </c>
      <c r="C49" s="104">
        <v>-1128.8571428571429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0</v>
      </c>
      <c r="J49" s="38">
        <f t="shared" si="32"/>
        <v>110.56885756171002</v>
      </c>
      <c r="K49" s="40">
        <f t="shared" si="33"/>
        <v>1.227352482417879E-2</v>
      </c>
      <c r="L49" s="22">
        <f t="shared" si="34"/>
        <v>3.4365869507700609E-3</v>
      </c>
      <c r="M49" s="24">
        <f t="shared" si="35"/>
        <v>1.2021624052712169E-3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27.642214390427505</v>
      </c>
      <c r="AB49" s="156">
        <f>Poor!AB49</f>
        <v>0.25</v>
      </c>
      <c r="AC49" s="147">
        <f t="shared" si="41"/>
        <v>27.642214390427505</v>
      </c>
      <c r="AD49" s="156">
        <f>Poor!AD49</f>
        <v>0.25</v>
      </c>
      <c r="AE49" s="147">
        <f t="shared" si="42"/>
        <v>27.642214390427505</v>
      </c>
      <c r="AF49" s="122">
        <f t="shared" si="29"/>
        <v>0.25</v>
      </c>
      <c r="AG49" s="147">
        <f t="shared" si="36"/>
        <v>27.642214390427505</v>
      </c>
      <c r="AH49" s="123">
        <f t="shared" si="37"/>
        <v>1</v>
      </c>
      <c r="AI49" s="112">
        <f t="shared" si="37"/>
        <v>110.56885756171002</v>
      </c>
      <c r="AJ49" s="148">
        <f t="shared" si="38"/>
        <v>55.284428780855009</v>
      </c>
      <c r="AK49" s="147">
        <f t="shared" si="39"/>
        <v>55.284428780855009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Veg: spinach, carrots, beet root &amp; tomatoes</v>
      </c>
      <c r="B50" s="104">
        <v>201.57142857142856</v>
      </c>
      <c r="C50" s="104">
        <v>-86.142857142857139</v>
      </c>
      <c r="D50" s="38">
        <f t="shared" si="25"/>
        <v>115.42857142857142</v>
      </c>
      <c r="E50" s="75">
        <f>Poor!E50</f>
        <v>0.2</v>
      </c>
      <c r="F50" s="75">
        <f>Poor!F50</f>
        <v>1.4</v>
      </c>
      <c r="G50" s="75">
        <f>Poor!G50</f>
        <v>1.65</v>
      </c>
      <c r="H50" s="24">
        <f t="shared" si="30"/>
        <v>0.27999999999999997</v>
      </c>
      <c r="I50" s="39">
        <f t="shared" si="31"/>
        <v>32.319999999999993</v>
      </c>
      <c r="J50" s="38">
        <f t="shared" si="32"/>
        <v>40.757486852658957</v>
      </c>
      <c r="K50" s="40">
        <f t="shared" si="33"/>
        <v>2.1915899173520969E-3</v>
      </c>
      <c r="L50" s="22">
        <f t="shared" si="34"/>
        <v>6.1364517685858703E-4</v>
      </c>
      <c r="M50" s="24">
        <f t="shared" si="35"/>
        <v>4.431366978740512E-4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10.189371713164739</v>
      </c>
      <c r="AB50" s="156">
        <f>Poor!AB55</f>
        <v>0.25</v>
      </c>
      <c r="AC50" s="147">
        <f t="shared" si="41"/>
        <v>10.189371713164739</v>
      </c>
      <c r="AD50" s="156">
        <f>Poor!AD55</f>
        <v>0.25</v>
      </c>
      <c r="AE50" s="147">
        <f t="shared" si="42"/>
        <v>10.189371713164739</v>
      </c>
      <c r="AF50" s="122">
        <f t="shared" si="29"/>
        <v>0.25</v>
      </c>
      <c r="AG50" s="147">
        <f t="shared" si="36"/>
        <v>10.189371713164739</v>
      </c>
      <c r="AH50" s="123">
        <f t="shared" si="37"/>
        <v>1</v>
      </c>
      <c r="AI50" s="112">
        <f t="shared" si="37"/>
        <v>40.757486852658957</v>
      </c>
      <c r="AJ50" s="148">
        <f t="shared" si="38"/>
        <v>20.378743426329478</v>
      </c>
      <c r="AK50" s="147">
        <f t="shared" si="39"/>
        <v>20.378743426329478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Other crop: pumpkin</v>
      </c>
      <c r="B51" s="104">
        <v>216.42857142857142</v>
      </c>
      <c r="C51" s="104">
        <v>-216.42857142857142</v>
      </c>
      <c r="D51" s="38">
        <f t="shared" si="25"/>
        <v>0</v>
      </c>
      <c r="E51" s="75">
        <f>Poor!E51</f>
        <v>0.2</v>
      </c>
      <c r="F51" s="75">
        <f>Poor!F51</f>
        <v>1.4</v>
      </c>
      <c r="G51" s="75">
        <f>Poor!G51</f>
        <v>1.65</v>
      </c>
      <c r="H51" s="24">
        <f t="shared" si="30"/>
        <v>0.27999999999999997</v>
      </c>
      <c r="I51" s="39">
        <f t="shared" si="31"/>
        <v>0</v>
      </c>
      <c r="J51" s="38">
        <f t="shared" si="32"/>
        <v>21.198660997974013</v>
      </c>
      <c r="K51" s="40">
        <f t="shared" si="33"/>
        <v>2.3531245391838606E-3</v>
      </c>
      <c r="L51" s="22">
        <f t="shared" si="34"/>
        <v>6.5887487097148086E-4</v>
      </c>
      <c r="M51" s="24">
        <f t="shared" si="35"/>
        <v>2.3048292128396525E-4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5.2996652494935033</v>
      </c>
      <c r="AB51" s="156">
        <f>Poor!AB56</f>
        <v>0.25</v>
      </c>
      <c r="AC51" s="147">
        <f t="shared" si="41"/>
        <v>5.2996652494935033</v>
      </c>
      <c r="AD51" s="156">
        <f>Poor!AD56</f>
        <v>0.25</v>
      </c>
      <c r="AE51" s="147">
        <f t="shared" si="42"/>
        <v>5.2996652494935033</v>
      </c>
      <c r="AF51" s="122">
        <f t="shared" si="29"/>
        <v>0.25</v>
      </c>
      <c r="AG51" s="147">
        <f t="shared" si="36"/>
        <v>5.2996652494935033</v>
      </c>
      <c r="AH51" s="123">
        <f t="shared" si="37"/>
        <v>1</v>
      </c>
      <c r="AI51" s="112">
        <f t="shared" si="37"/>
        <v>21.198660997974013</v>
      </c>
      <c r="AJ51" s="148">
        <f t="shared" si="38"/>
        <v>10.599330498987007</v>
      </c>
      <c r="AK51" s="147">
        <f t="shared" si="39"/>
        <v>10.599330498987007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Onions: kg produced</v>
      </c>
      <c r="B52" s="104">
        <v>131.42857142857142</v>
      </c>
      <c r="C52" s="104">
        <v>-11.142857142857142</v>
      </c>
      <c r="D52" s="38">
        <f t="shared" si="25"/>
        <v>120.28571428571428</v>
      </c>
      <c r="E52" s="75">
        <f>Poor!E52</f>
        <v>0.2</v>
      </c>
      <c r="F52" s="75">
        <f>Poor!F52</f>
        <v>1.4</v>
      </c>
      <c r="G52" s="75">
        <f>Poor!G52</f>
        <v>1.65</v>
      </c>
      <c r="H52" s="24">
        <f t="shared" si="30"/>
        <v>0.27999999999999997</v>
      </c>
      <c r="I52" s="39">
        <f t="shared" si="31"/>
        <v>33.679999999999993</v>
      </c>
      <c r="J52" s="38">
        <f t="shared" si="32"/>
        <v>34.771416209796669</v>
      </c>
      <c r="K52" s="40">
        <f t="shared" si="33"/>
        <v>1.4289601162040604E-3</v>
      </c>
      <c r="L52" s="22">
        <f t="shared" si="34"/>
        <v>4.0010883253713687E-4</v>
      </c>
      <c r="M52" s="24">
        <f t="shared" si="35"/>
        <v>3.7805300938490826E-4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8.6928540524491673</v>
      </c>
      <c r="AB52" s="156">
        <f>Poor!AB57</f>
        <v>0.25</v>
      </c>
      <c r="AC52" s="147">
        <f t="shared" si="41"/>
        <v>8.6928540524491673</v>
      </c>
      <c r="AD52" s="156">
        <f>Poor!AD57</f>
        <v>0.25</v>
      </c>
      <c r="AE52" s="147">
        <f t="shared" si="42"/>
        <v>8.6928540524491673</v>
      </c>
      <c r="AF52" s="122">
        <f t="shared" si="29"/>
        <v>0.25</v>
      </c>
      <c r="AG52" s="147">
        <f t="shared" si="36"/>
        <v>8.6928540524491673</v>
      </c>
      <c r="AH52" s="123">
        <f t="shared" si="37"/>
        <v>1</v>
      </c>
      <c r="AI52" s="112">
        <f t="shared" si="37"/>
        <v>34.771416209796669</v>
      </c>
      <c r="AJ52" s="148">
        <f t="shared" si="38"/>
        <v>17.385708104898335</v>
      </c>
      <c r="AK52" s="147">
        <f t="shared" si="39"/>
        <v>17.385708104898335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Groundnuts (dry): no. local meas</v>
      </c>
      <c r="B53" s="104">
        <v>285.71428571428572</v>
      </c>
      <c r="C53" s="104">
        <v>-285.71428571428572</v>
      </c>
      <c r="D53" s="38">
        <f t="shared" si="25"/>
        <v>0</v>
      </c>
      <c r="E53" s="75">
        <f>Poor!E53</f>
        <v>0.2</v>
      </c>
      <c r="F53" s="75">
        <f>Poor!F53</f>
        <v>1.4</v>
      </c>
      <c r="G53" s="75">
        <f>Poor!G53</f>
        <v>1.65</v>
      </c>
      <c r="H53" s="24">
        <f t="shared" si="30"/>
        <v>0.27999999999999997</v>
      </c>
      <c r="I53" s="39">
        <f t="shared" si="31"/>
        <v>0</v>
      </c>
      <c r="J53" s="38">
        <f t="shared" si="32"/>
        <v>27.985031020427737</v>
      </c>
      <c r="K53" s="40">
        <f t="shared" si="33"/>
        <v>3.1064350352262185E-3</v>
      </c>
      <c r="L53" s="22">
        <f t="shared" si="34"/>
        <v>8.6980180986334112E-4</v>
      </c>
      <c r="M53" s="24">
        <f t="shared" si="35"/>
        <v>3.042678828831224E-4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WILD FOODS -- see worksheet Data 3</v>
      </c>
      <c r="B54" s="104">
        <v>0</v>
      </c>
      <c r="C54" s="104">
        <v>0</v>
      </c>
      <c r="D54" s="38">
        <f t="shared" si="25"/>
        <v>0</v>
      </c>
      <c r="E54" s="75">
        <f>Poor!E54</f>
        <v>1</v>
      </c>
      <c r="F54" s="75">
        <f>Poor!F54</f>
        <v>1.18</v>
      </c>
      <c r="G54" s="75">
        <f>Poor!G54</f>
        <v>1.65</v>
      </c>
      <c r="H54" s="24">
        <f t="shared" si="30"/>
        <v>1.18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Agricultural cash income -- see Data2</v>
      </c>
      <c r="B55" s="104">
        <v>354.57142857142856</v>
      </c>
      <c r="C55" s="104">
        <v>0</v>
      </c>
      <c r="D55" s="38">
        <f t="shared" si="25"/>
        <v>354.57142857142856</v>
      </c>
      <c r="E55" s="75">
        <f>Poor!E55</f>
        <v>0.5</v>
      </c>
      <c r="F55" s="75">
        <f>Poor!F55</f>
        <v>1.1100000000000001</v>
      </c>
      <c r="G55" s="75">
        <f>Poor!G55</f>
        <v>1.65</v>
      </c>
      <c r="H55" s="24">
        <f t="shared" si="30"/>
        <v>0.55500000000000005</v>
      </c>
      <c r="I55" s="39">
        <f t="shared" si="31"/>
        <v>196.78714285714287</v>
      </c>
      <c r="J55" s="38">
        <f t="shared" si="32"/>
        <v>196.78714285714287</v>
      </c>
      <c r="K55" s="40">
        <f t="shared" si="33"/>
        <v>3.8550858787157372E-3</v>
      </c>
      <c r="L55" s="22">
        <f t="shared" si="34"/>
        <v>2.1395726626872343E-3</v>
      </c>
      <c r="M55" s="24">
        <f t="shared" si="35"/>
        <v>2.1395726626872343E-3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Construction cash income -- see Data2</v>
      </c>
      <c r="B56" s="104">
        <v>342.85714285714283</v>
      </c>
      <c r="C56" s="104">
        <v>0</v>
      </c>
      <c r="D56" s="38">
        <f t="shared" si="25"/>
        <v>342.85714285714283</v>
      </c>
      <c r="E56" s="75">
        <f>Poor!E56</f>
        <v>0.5</v>
      </c>
      <c r="F56" s="75">
        <f>Poor!F56</f>
        <v>1.1100000000000001</v>
      </c>
      <c r="G56" s="75">
        <f>Poor!G56</f>
        <v>1.65</v>
      </c>
      <c r="H56" s="24">
        <f t="shared" si="30"/>
        <v>0.55500000000000005</v>
      </c>
      <c r="I56" s="39">
        <f t="shared" si="31"/>
        <v>190.28571428571428</v>
      </c>
      <c r="J56" s="38">
        <f t="shared" si="32"/>
        <v>190.28571428571428</v>
      </c>
      <c r="K56" s="40">
        <f t="shared" si="33"/>
        <v>3.7277220422714621E-3</v>
      </c>
      <c r="L56" s="22">
        <f t="shared" si="34"/>
        <v>2.0688857334606615E-3</v>
      </c>
      <c r="M56" s="24">
        <f t="shared" si="35"/>
        <v>2.0688857334606615E-3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Domestic work cash income -- see Data2</v>
      </c>
      <c r="B57" s="104">
        <v>3857.1428571428573</v>
      </c>
      <c r="C57" s="104">
        <v>0</v>
      </c>
      <c r="D57" s="38">
        <f t="shared" si="25"/>
        <v>3857.1428571428573</v>
      </c>
      <c r="E57" s="75">
        <f>Poor!E57</f>
        <v>0.5</v>
      </c>
      <c r="F57" s="75">
        <f>Poor!F57</f>
        <v>1.1100000000000001</v>
      </c>
      <c r="G57" s="75">
        <f>Poor!G57</f>
        <v>1.65</v>
      </c>
      <c r="H57" s="24">
        <f t="shared" si="30"/>
        <v>0.55500000000000005</v>
      </c>
      <c r="I57" s="39">
        <f t="shared" si="31"/>
        <v>2140.7142857142862</v>
      </c>
      <c r="J57" s="38">
        <f t="shared" si="32"/>
        <v>2140.7142857142858</v>
      </c>
      <c r="K57" s="40">
        <f t="shared" si="33"/>
        <v>4.193687297555395E-2</v>
      </c>
      <c r="L57" s="22">
        <f t="shared" si="34"/>
        <v>2.3274964501432443E-2</v>
      </c>
      <c r="M57" s="24">
        <f t="shared" si="35"/>
        <v>2.3274964501432443E-2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Formal Employment (conservancies, etc.)</v>
      </c>
      <c r="B58" s="104">
        <v>31114.285714285714</v>
      </c>
      <c r="C58" s="104">
        <v>0</v>
      </c>
      <c r="D58" s="38">
        <f t="shared" si="25"/>
        <v>31114.285714285714</v>
      </c>
      <c r="E58" s="75">
        <f>Poor!E58</f>
        <v>0.6</v>
      </c>
      <c r="F58" s="75">
        <f>Poor!F58</f>
        <v>1.18</v>
      </c>
      <c r="G58" s="75">
        <f>Poor!G58</f>
        <v>1.65</v>
      </c>
      <c r="H58" s="24">
        <f t="shared" si="30"/>
        <v>0.70799999999999996</v>
      </c>
      <c r="I58" s="39">
        <f t="shared" si="31"/>
        <v>22028.914285714283</v>
      </c>
      <c r="J58" s="38">
        <f t="shared" si="32"/>
        <v>22028.914285714283</v>
      </c>
      <c r="K58" s="40">
        <f t="shared" si="33"/>
        <v>0.33829077533613516</v>
      </c>
      <c r="L58" s="22">
        <f t="shared" si="34"/>
        <v>0.23950986893798368</v>
      </c>
      <c r="M58" s="24">
        <f t="shared" si="35"/>
        <v>0.23950986893798371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5507.2285714285708</v>
      </c>
      <c r="AB58" s="156">
        <f>Poor!AB58</f>
        <v>0.25</v>
      </c>
      <c r="AC58" s="147">
        <f t="shared" si="41"/>
        <v>5507.2285714285708</v>
      </c>
      <c r="AD58" s="156">
        <f>Poor!AD58</f>
        <v>0.25</v>
      </c>
      <c r="AE58" s="147">
        <f t="shared" si="42"/>
        <v>5507.2285714285708</v>
      </c>
      <c r="AF58" s="122">
        <f t="shared" si="29"/>
        <v>0.25</v>
      </c>
      <c r="AG58" s="147">
        <f t="shared" si="36"/>
        <v>5507.2285714285708</v>
      </c>
      <c r="AH58" s="123">
        <f t="shared" si="37"/>
        <v>1</v>
      </c>
      <c r="AI58" s="112">
        <f t="shared" si="37"/>
        <v>22028.914285714283</v>
      </c>
      <c r="AJ58" s="148">
        <f t="shared" si="38"/>
        <v>11014.457142857142</v>
      </c>
      <c r="AK58" s="147">
        <f t="shared" si="39"/>
        <v>11014.457142857142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Self-employment -- see Data2</v>
      </c>
      <c r="B59" s="104">
        <v>7849.8571428571431</v>
      </c>
      <c r="C59" s="104">
        <v>1569.9714285714285</v>
      </c>
      <c r="D59" s="38">
        <f t="shared" si="25"/>
        <v>9419.8285714285721</v>
      </c>
      <c r="E59" s="75">
        <f>Poor!E59</f>
        <v>0.8</v>
      </c>
      <c r="F59" s="75">
        <f>Poor!F59</f>
        <v>1</v>
      </c>
      <c r="G59" s="75">
        <f>Poor!G59</f>
        <v>1.65</v>
      </c>
      <c r="H59" s="24">
        <f t="shared" si="30"/>
        <v>0.8</v>
      </c>
      <c r="I59" s="39">
        <f t="shared" si="31"/>
        <v>7535.862857142858</v>
      </c>
      <c r="J59" s="38">
        <f t="shared" si="32"/>
        <v>7096.5058658452899</v>
      </c>
      <c r="K59" s="40">
        <f t="shared" si="33"/>
        <v>8.5347749375322746E-2</v>
      </c>
      <c r="L59" s="22">
        <f t="shared" si="34"/>
        <v>6.8278199500258194E-2</v>
      </c>
      <c r="M59" s="24">
        <f t="shared" si="35"/>
        <v>7.7156920572725635E-2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1774.1264664613225</v>
      </c>
      <c r="AB59" s="156">
        <f>Poor!AB59</f>
        <v>0.25</v>
      </c>
      <c r="AC59" s="147">
        <f t="shared" si="41"/>
        <v>1774.1264664613225</v>
      </c>
      <c r="AD59" s="156">
        <f>Poor!AD59</f>
        <v>0.25</v>
      </c>
      <c r="AE59" s="147">
        <f t="shared" si="42"/>
        <v>1774.1264664613225</v>
      </c>
      <c r="AF59" s="122">
        <f t="shared" si="29"/>
        <v>0.25</v>
      </c>
      <c r="AG59" s="147">
        <f t="shared" si="36"/>
        <v>1774.1264664613225</v>
      </c>
      <c r="AH59" s="123">
        <f t="shared" ref="AH59:AI64" si="43">SUM(Z59,AB59,AD59,AF59)</f>
        <v>1</v>
      </c>
      <c r="AI59" s="112">
        <f t="shared" si="43"/>
        <v>7096.5058658452899</v>
      </c>
      <c r="AJ59" s="148">
        <f t="shared" si="38"/>
        <v>3548.252932922645</v>
      </c>
      <c r="AK59" s="147">
        <f t="shared" si="39"/>
        <v>3548.252932922645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>Small business -- see Data2</v>
      </c>
      <c r="B60" s="104">
        <v>11640</v>
      </c>
      <c r="C60" s="104">
        <v>0</v>
      </c>
      <c r="D60" s="38">
        <f t="shared" si="25"/>
        <v>11640</v>
      </c>
      <c r="E60" s="75">
        <f>Poor!E60</f>
        <v>0.8</v>
      </c>
      <c r="F60" s="75">
        <f>Poor!F60</f>
        <v>1.18</v>
      </c>
      <c r="G60" s="75">
        <f>Poor!G60</f>
        <v>1.65</v>
      </c>
      <c r="H60" s="24">
        <f t="shared" si="30"/>
        <v>0.94399999999999995</v>
      </c>
      <c r="I60" s="39">
        <f t="shared" si="31"/>
        <v>10988.16</v>
      </c>
      <c r="J60" s="38">
        <f t="shared" si="32"/>
        <v>10988.159999999998</v>
      </c>
      <c r="K60" s="40">
        <f t="shared" si="33"/>
        <v>0.12655616333511613</v>
      </c>
      <c r="L60" s="22">
        <f t="shared" si="34"/>
        <v>0.11946901818834962</v>
      </c>
      <c r="M60" s="24">
        <f t="shared" si="35"/>
        <v>0.11946901818834961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2747.0399999999995</v>
      </c>
      <c r="AB60" s="156">
        <f>Poor!AB60</f>
        <v>0.25</v>
      </c>
      <c r="AC60" s="147">
        <f t="shared" si="41"/>
        <v>2747.0399999999995</v>
      </c>
      <c r="AD60" s="156">
        <f>Poor!AD60</f>
        <v>0.25</v>
      </c>
      <c r="AE60" s="147">
        <f t="shared" si="42"/>
        <v>2747.0399999999995</v>
      </c>
      <c r="AF60" s="122">
        <f t="shared" si="29"/>
        <v>0.25</v>
      </c>
      <c r="AG60" s="147">
        <f t="shared" si="36"/>
        <v>2747.0399999999995</v>
      </c>
      <c r="AH60" s="123">
        <f t="shared" si="43"/>
        <v>1</v>
      </c>
      <c r="AI60" s="112">
        <f t="shared" si="43"/>
        <v>10988.159999999998</v>
      </c>
      <c r="AJ60" s="148">
        <f t="shared" si="38"/>
        <v>5494.079999999999</v>
      </c>
      <c r="AK60" s="147">
        <f t="shared" si="39"/>
        <v>5494.079999999999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>Social development -- see Data2</v>
      </c>
      <c r="B61" s="104">
        <v>13930.261039491339</v>
      </c>
      <c r="C61" s="104">
        <v>0</v>
      </c>
      <c r="D61" s="38">
        <f t="shared" si="25"/>
        <v>13930.261039491339</v>
      </c>
      <c r="E61" s="75">
        <f>Poor!E61</f>
        <v>0</v>
      </c>
      <c r="F61" s="75">
        <f>Poor!F61</f>
        <v>1.18</v>
      </c>
      <c r="G61" s="75">
        <f>Poor!G61</f>
        <v>1.65</v>
      </c>
      <c r="H61" s="24">
        <f t="shared" si="30"/>
        <v>0</v>
      </c>
      <c r="I61" s="39">
        <f t="shared" si="31"/>
        <v>0</v>
      </c>
      <c r="J61" s="38">
        <f t="shared" si="32"/>
        <v>0</v>
      </c>
      <c r="K61" s="40">
        <f t="shared" si="33"/>
        <v>0.15145707830022945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>Public works -- see Data2</v>
      </c>
      <c r="B62" s="104">
        <v>3173</v>
      </c>
      <c r="C62" s="104">
        <v>0</v>
      </c>
      <c r="D62" s="38">
        <f t="shared" si="25"/>
        <v>3173</v>
      </c>
      <c r="E62" s="75">
        <f>Poor!E62</f>
        <v>1</v>
      </c>
      <c r="F62" s="75">
        <f>Poor!F62</f>
        <v>1.18</v>
      </c>
      <c r="G62" s="75">
        <f>Poor!G62</f>
        <v>1.65</v>
      </c>
      <c r="H62" s="24">
        <f t="shared" si="30"/>
        <v>1.18</v>
      </c>
      <c r="I62" s="39">
        <f t="shared" si="31"/>
        <v>3744.14</v>
      </c>
      <c r="J62" s="38">
        <f t="shared" si="32"/>
        <v>3744.1400000000003</v>
      </c>
      <c r="K62" s="40">
        <f t="shared" si="33"/>
        <v>3.4498514283704769E-2</v>
      </c>
      <c r="L62" s="22">
        <f t="shared" si="34"/>
        <v>4.0708246854771625E-2</v>
      </c>
      <c r="M62" s="24">
        <f t="shared" si="35"/>
        <v>4.0708246854771632E-2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936.03500000000008</v>
      </c>
      <c r="AB62" s="156">
        <f>Poor!AB62</f>
        <v>0.25</v>
      </c>
      <c r="AC62" s="147">
        <f t="shared" si="41"/>
        <v>936.03500000000008</v>
      </c>
      <c r="AD62" s="156">
        <f>Poor!AD62</f>
        <v>0.25</v>
      </c>
      <c r="AE62" s="147">
        <f t="shared" si="42"/>
        <v>936.03500000000008</v>
      </c>
      <c r="AF62" s="122">
        <f t="shared" si="29"/>
        <v>0.25</v>
      </c>
      <c r="AG62" s="147">
        <f t="shared" si="36"/>
        <v>936.03500000000008</v>
      </c>
      <c r="AH62" s="123">
        <f t="shared" si="43"/>
        <v>1</v>
      </c>
      <c r="AI62" s="112">
        <f t="shared" si="43"/>
        <v>3744.1400000000003</v>
      </c>
      <c r="AJ62" s="148">
        <f t="shared" si="38"/>
        <v>1872.0700000000002</v>
      </c>
      <c r="AK62" s="147">
        <f t="shared" si="39"/>
        <v>1872.0700000000002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>Other income: e.g. Credit (cotton loans)</v>
      </c>
      <c r="B63" s="104">
        <v>228.57142857142858</v>
      </c>
      <c r="C63" s="104">
        <v>0</v>
      </c>
      <c r="D63" s="38">
        <f t="shared" si="25"/>
        <v>228.57142857142858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228.57142857142858</v>
      </c>
      <c r="J63" s="38">
        <f t="shared" si="32"/>
        <v>228.57142857142858</v>
      </c>
      <c r="K63" s="40">
        <f t="shared" si="33"/>
        <v>2.4851480281809749E-3</v>
      </c>
      <c r="L63" s="22">
        <f t="shared" si="34"/>
        <v>2.4851480281809749E-3</v>
      </c>
      <c r="M63" s="24">
        <f t="shared" si="35"/>
        <v>2.4851480281809749E-3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57.142857142857146</v>
      </c>
      <c r="AB63" s="156">
        <f>Poor!AB63</f>
        <v>0.25</v>
      </c>
      <c r="AC63" s="147">
        <f t="shared" si="41"/>
        <v>57.142857142857146</v>
      </c>
      <c r="AD63" s="156">
        <f>Poor!AD63</f>
        <v>0.25</v>
      </c>
      <c r="AE63" s="147">
        <f t="shared" si="42"/>
        <v>57.142857142857146</v>
      </c>
      <c r="AF63" s="122">
        <f t="shared" si="29"/>
        <v>0.25</v>
      </c>
      <c r="AG63" s="147">
        <f t="shared" si="36"/>
        <v>57.142857142857146</v>
      </c>
      <c r="AH63" s="123">
        <f t="shared" si="43"/>
        <v>1</v>
      </c>
      <c r="AI63" s="112">
        <f t="shared" si="43"/>
        <v>228.57142857142858</v>
      </c>
      <c r="AJ63" s="148">
        <f t="shared" si="38"/>
        <v>114.28571428571429</v>
      </c>
      <c r="AK63" s="147">
        <f t="shared" si="39"/>
        <v>114.28571428571429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>Remittances: no. times per year</v>
      </c>
      <c r="B64" s="104">
        <v>3857.1428571428573</v>
      </c>
      <c r="C64" s="104">
        <v>0</v>
      </c>
      <c r="D64" s="38">
        <f t="shared" si="25"/>
        <v>3857.1428571428573</v>
      </c>
      <c r="E64" s="75">
        <f>Poor!E64</f>
        <v>1</v>
      </c>
      <c r="F64" s="75">
        <f>Poor!F64</f>
        <v>1.1100000000000001</v>
      </c>
      <c r="G64" s="75">
        <f>Poor!G64</f>
        <v>1.65</v>
      </c>
      <c r="H64" s="24">
        <f t="shared" si="30"/>
        <v>1.1100000000000001</v>
      </c>
      <c r="I64" s="39">
        <f t="shared" si="31"/>
        <v>4281.4285714285725</v>
      </c>
      <c r="J64" s="38">
        <f t="shared" si="32"/>
        <v>4281.4285714285716</v>
      </c>
      <c r="K64" s="40">
        <f t="shared" si="33"/>
        <v>4.193687297555395E-2</v>
      </c>
      <c r="L64" s="22">
        <f t="shared" si="34"/>
        <v>4.6549929002864886E-2</v>
      </c>
      <c r="M64" s="24">
        <f t="shared" si="35"/>
        <v>4.6549929002864886E-2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1070.3571428571429</v>
      </c>
      <c r="AB64" s="156">
        <f>Poor!AB64</f>
        <v>0.25</v>
      </c>
      <c r="AC64" s="149">
        <f t="shared" si="41"/>
        <v>1070.3571428571429</v>
      </c>
      <c r="AD64" s="156">
        <f>Poor!AD64</f>
        <v>0.25</v>
      </c>
      <c r="AE64" s="149">
        <f t="shared" si="42"/>
        <v>1070.3571428571429</v>
      </c>
      <c r="AF64" s="150">
        <f t="shared" si="29"/>
        <v>0.25</v>
      </c>
      <c r="AG64" s="149">
        <f t="shared" si="36"/>
        <v>1070.3571428571429</v>
      </c>
      <c r="AH64" s="123">
        <f t="shared" si="43"/>
        <v>1</v>
      </c>
      <c r="AI64" s="112">
        <f t="shared" si="43"/>
        <v>4281.4285714285716</v>
      </c>
      <c r="AJ64" s="151">
        <f t="shared" si="38"/>
        <v>2140.7142857142858</v>
      </c>
      <c r="AK64" s="149">
        <f t="shared" si="39"/>
        <v>2140.7142857142858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91974.975325205625</v>
      </c>
      <c r="C65" s="39">
        <f>SUM(C37:C64)</f>
        <v>-3350.9571428571421</v>
      </c>
      <c r="D65" s="42">
        <f>SUM(D37:D64)</f>
        <v>88624.018182348489</v>
      </c>
      <c r="E65" s="32"/>
      <c r="F65" s="32"/>
      <c r="G65" s="32"/>
      <c r="H65" s="31"/>
      <c r="I65" s="39">
        <f>SUM(I37:I64)</f>
        <v>57024.354285714289</v>
      </c>
      <c r="J65" s="39">
        <f>SUM(J37:J64)</f>
        <v>57392.290979184232</v>
      </c>
      <c r="K65" s="40">
        <f>SUM(K37:K64)</f>
        <v>1</v>
      </c>
      <c r="L65" s="22">
        <f>SUM(L37:L64)</f>
        <v>0.63143441007043777</v>
      </c>
      <c r="M65" s="24">
        <f>SUM(M37:M64)</f>
        <v>0.62399898207372451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17702.751948254241</v>
      </c>
      <c r="AB65" s="137"/>
      <c r="AC65" s="153">
        <f>SUM(AC37:AC64)</f>
        <v>12267.279032494642</v>
      </c>
      <c r="AD65" s="137"/>
      <c r="AE65" s="153">
        <f>SUM(AE37:AE64)</f>
        <v>12334.707603923214</v>
      </c>
      <c r="AF65" s="137"/>
      <c r="AG65" s="153">
        <f>SUM(AG37:AG64)</f>
        <v>12531.780220634568</v>
      </c>
      <c r="AH65" s="137"/>
      <c r="AI65" s="153">
        <f>SUM(AI37:AI64)</f>
        <v>54836.518805306659</v>
      </c>
      <c r="AJ65" s="153">
        <f>SUM(AJ37:AJ64)</f>
        <v>29970.030980748881</v>
      </c>
      <c r="AK65" s="153">
        <f>SUM(AK37:AK64)</f>
        <v>24866.487824557782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13674.870846626607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19144.819185277251</v>
      </c>
      <c r="J70" s="51">
        <f t="shared" ref="J70:J77" si="44">J124*I$83</f>
        <v>19144.819185277251</v>
      </c>
      <c r="K70" s="40">
        <f>B70/B$76</f>
        <v>0.14868034265054078</v>
      </c>
      <c r="L70" s="22">
        <f t="shared" ref="L70:L75" si="45">(L124*G$37*F$9/F$7)/B$130</f>
        <v>0.20815247971075715</v>
      </c>
      <c r="M70" s="24">
        <f>J70/B$76</f>
        <v>0.20815247971075712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4786.2047963193127</v>
      </c>
      <c r="AB70" s="156">
        <f>Poor!AB70</f>
        <v>0.25</v>
      </c>
      <c r="AC70" s="147">
        <f>$J70*AB70</f>
        <v>4786.2047963193127</v>
      </c>
      <c r="AD70" s="156">
        <f>Poor!AD70</f>
        <v>0.25</v>
      </c>
      <c r="AE70" s="147">
        <f>$J70*AD70</f>
        <v>4786.2047963193127</v>
      </c>
      <c r="AF70" s="156">
        <f>Poor!AF70</f>
        <v>0.25</v>
      </c>
      <c r="AG70" s="147">
        <f>$J70*AF70</f>
        <v>4786.2047963193127</v>
      </c>
      <c r="AH70" s="155">
        <f>SUM(Z70,AB70,AD70,AF70)</f>
        <v>1</v>
      </c>
      <c r="AI70" s="147">
        <f>SUM(AA70,AC70,AE70,AG70)</f>
        <v>19144.819185277251</v>
      </c>
      <c r="AJ70" s="148">
        <f>(AA70+AC70)</f>
        <v>9572.4095926386253</v>
      </c>
      <c r="AK70" s="147">
        <f>(AE70+AG70)</f>
        <v>9572.4095926386253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13673.428571428574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16134.645714285718</v>
      </c>
      <c r="J71" s="51">
        <f t="shared" si="44"/>
        <v>16134.645714285718</v>
      </c>
      <c r="K71" s="40">
        <f t="shared" ref="K71:K72" si="47">B71/B$76</f>
        <v>0.14866466148082116</v>
      </c>
      <c r="L71" s="22">
        <f t="shared" si="45"/>
        <v>0.17542430054736899</v>
      </c>
      <c r="M71" s="24">
        <f t="shared" ref="M71:M72" si="48">J71/B$76</f>
        <v>0.17542430054736899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25266.857142857141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12661.155271248468</v>
      </c>
      <c r="K72" s="40">
        <f t="shared" si="47"/>
        <v>0.27471447590519538</v>
      </c>
      <c r="L72" s="22">
        <f t="shared" si="45"/>
        <v>0.21287823602057443</v>
      </c>
      <c r="M72" s="24">
        <f t="shared" si="48"/>
        <v>0.13765869712365875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13815.714285714286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0.15021166612836381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1467.2288571428571</v>
      </c>
      <c r="AB73" s="156">
        <f>Poor!AB73</f>
        <v>0.09</v>
      </c>
      <c r="AC73" s="147">
        <f>$H$73*$B$73*AB73</f>
        <v>1467.2288571428571</v>
      </c>
      <c r="AD73" s="156">
        <f>Poor!AD73</f>
        <v>0.23</v>
      </c>
      <c r="AE73" s="147">
        <f>$H$73*$B$73*AD73</f>
        <v>3749.5848571428573</v>
      </c>
      <c r="AF73" s="156">
        <f>Poor!AF73</f>
        <v>0.59</v>
      </c>
      <c r="AG73" s="147">
        <f>$H$73*$B$73*AF73</f>
        <v>9618.5002857142845</v>
      </c>
      <c r="AH73" s="155">
        <f>SUM(Z73,AB73,AD73,AF73)</f>
        <v>1</v>
      </c>
      <c r="AI73" s="147">
        <f>SUM(AA73,AC73,AE73,AG73)</f>
        <v>16302.542857142857</v>
      </c>
      <c r="AJ73" s="148">
        <f>(AA73+AC73)</f>
        <v>2934.4577142857142</v>
      </c>
      <c r="AK73" s="147">
        <f>(AE73+AG73)</f>
        <v>13368.085142857142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6470.6050318827047</v>
      </c>
      <c r="C74" s="39"/>
      <c r="D74" s="38"/>
      <c r="E74" s="32"/>
      <c r="F74" s="32"/>
      <c r="G74" s="32"/>
      <c r="H74" s="31"/>
      <c r="I74" s="39">
        <f>I128*I$83</f>
        <v>37879.535100437031</v>
      </c>
      <c r="J74" s="51">
        <f t="shared" si="44"/>
        <v>9451.6708083727863</v>
      </c>
      <c r="K74" s="40">
        <f>B74/B$76</f>
        <v>7.0351799595530243E-2</v>
      </c>
      <c r="L74" s="22">
        <f t="shared" si="45"/>
        <v>3.4979393791737104E-2</v>
      </c>
      <c r="M74" s="24">
        <f>J74/B$76</f>
        <v>0.10276350469193948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3317.9356224245921</v>
      </c>
      <c r="AB74" s="156"/>
      <c r="AC74" s="147">
        <f>AC30*$I$84/4</f>
        <v>5293.7569795930358</v>
      </c>
      <c r="AD74" s="156"/>
      <c r="AE74" s="147">
        <f>AE30*$I$84/4</f>
        <v>5087.7047060522927</v>
      </c>
      <c r="AF74" s="156"/>
      <c r="AG74" s="147">
        <f>AG30*$I$84/4</f>
        <v>4938.0596705892167</v>
      </c>
      <c r="AH74" s="155"/>
      <c r="AI74" s="147">
        <f>SUM(AA74,AC74,AE74,AG74)</f>
        <v>18637.456978659138</v>
      </c>
      <c r="AJ74" s="148">
        <f>(AA74+AC74)</f>
        <v>8611.6926020176288</v>
      </c>
      <c r="AK74" s="147">
        <f>(AE74+AG74)</f>
        <v>10025.764376641509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19073.499446696314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0.20737705423954864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14665.953842227107</v>
      </c>
      <c r="AB75" s="158"/>
      <c r="AC75" s="149">
        <f>AA75+AC65-SUM(AC70,AC74)</f>
        <v>16853.271098809397</v>
      </c>
      <c r="AD75" s="158"/>
      <c r="AE75" s="149">
        <f>AC75+AE65-SUM(AE70,AE74)</f>
        <v>19314.069200361002</v>
      </c>
      <c r="AF75" s="158"/>
      <c r="AG75" s="149">
        <f>IF(SUM(AG6:AG29)+((AG65-AG70-$J$75)*4/I$83)&lt;1,0,AG65-AG70-$J$75-(1-SUM(AG6:AG29))*I$83/4)</f>
        <v>5067.3423127167716</v>
      </c>
      <c r="AH75" s="134"/>
      <c r="AI75" s="149">
        <f>AI76-SUM(AI70,AI74)</f>
        <v>17054.242641370271</v>
      </c>
      <c r="AJ75" s="151">
        <f>AJ76-SUM(AJ70,AJ74)</f>
        <v>11785.928786092627</v>
      </c>
      <c r="AK75" s="149">
        <f>AJ75+AK76-SUM(AK70,AK74)</f>
        <v>17054.242641370278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91974.975325205625</v>
      </c>
      <c r="C76" s="39"/>
      <c r="D76" s="38"/>
      <c r="E76" s="32"/>
      <c r="F76" s="32"/>
      <c r="G76" s="32"/>
      <c r="H76" s="31"/>
      <c r="I76" s="39">
        <f>I130*I$83</f>
        <v>57024.354285714275</v>
      </c>
      <c r="J76" s="51">
        <f t="shared" si="44"/>
        <v>57392.290979184232</v>
      </c>
      <c r="K76" s="40">
        <f>SUM(K70:K75)</f>
        <v>1</v>
      </c>
      <c r="L76" s="22">
        <f>SUM(L70:L75)</f>
        <v>0.63143441007043766</v>
      </c>
      <c r="M76" s="24">
        <f>SUM(M70:M75)</f>
        <v>0.6239989820737244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17702.751948254241</v>
      </c>
      <c r="AB76" s="137"/>
      <c r="AC76" s="153">
        <f>AC65</f>
        <v>12267.279032494642</v>
      </c>
      <c r="AD76" s="137"/>
      <c r="AE76" s="153">
        <f>AE65</f>
        <v>12334.707603923214</v>
      </c>
      <c r="AF76" s="137"/>
      <c r="AG76" s="153">
        <f>AG65</f>
        <v>12531.780220634568</v>
      </c>
      <c r="AH76" s="137"/>
      <c r="AI76" s="153">
        <f>SUM(AA76,AC76,AE76,AG76)</f>
        <v>54836.518805306659</v>
      </c>
      <c r="AJ76" s="154">
        <f>SUM(AA76,AC76)</f>
        <v>29970.030980748881</v>
      </c>
      <c r="AK76" s="154">
        <f>SUM(AE76,AG76)</f>
        <v>24866.487824557782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16134.645714285731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5067.3423127167716</v>
      </c>
      <c r="AB78" s="112"/>
      <c r="AC78" s="112">
        <f>IF(AA75&lt;0,0,AA75)</f>
        <v>14665.953842227107</v>
      </c>
      <c r="AD78" s="112"/>
      <c r="AE78" s="112">
        <f>AC75</f>
        <v>16853.271098809397</v>
      </c>
      <c r="AF78" s="112"/>
      <c r="AG78" s="112">
        <f>AE75</f>
        <v>19314.069200361002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">
        <v>193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17983.8894646517</v>
      </c>
      <c r="AB79" s="112"/>
      <c r="AC79" s="112">
        <f>AA79-AA74+AC65-AC70</f>
        <v>22147.028078402436</v>
      </c>
      <c r="AD79" s="112"/>
      <c r="AE79" s="112">
        <f>AC79-AC74+AE65-AE70</f>
        <v>24401.773906413306</v>
      </c>
      <c r="AF79" s="112"/>
      <c r="AG79" s="112">
        <f>AE79-AE74+AG65-AG70</f>
        <v>27059.644624676272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0.65354715486260606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6.5034145745214618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10859.486075240146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17918.152024146239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8259.2608816185075</v>
      </c>
      <c r="AB83" s="112"/>
      <c r="AC83" s="165">
        <f>$I$84*AB82/4</f>
        <v>8259.2608816185075</v>
      </c>
      <c r="AD83" s="112"/>
      <c r="AE83" s="165">
        <f>$I$84*AD82/4</f>
        <v>8259.2608816185075</v>
      </c>
      <c r="AF83" s="112"/>
      <c r="AG83" s="165">
        <f>$I$84*AF82/4</f>
        <v>8259.2608816185075</v>
      </c>
      <c r="AH83" s="165">
        <f>SUM(AA83,AC83,AE83,AG83)</f>
        <v>33037.04352647403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22094.400750382236</v>
      </c>
      <c r="C84" s="46"/>
      <c r="D84" s="234"/>
      <c r="E84" s="64"/>
      <c r="F84" s="64"/>
      <c r="G84" s="64"/>
      <c r="H84" s="235">
        <f>IF(B84=0,0,I84/B84)</f>
        <v>1.495267687941366</v>
      </c>
      <c r="I84" s="233">
        <f>(B70*H70)+((1-(D29*H29))*I83)</f>
        <v>33037.04352647403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Cows' milk sales - season 1</v>
      </c>
      <c r="B91" s="75">
        <f t="shared" ref="B91:C118" si="50">(B37/$B$83)</f>
        <v>5.2620222307889916E-2</v>
      </c>
      <c r="C91" s="75">
        <f t="shared" si="50"/>
        <v>2.6310111153944958E-2</v>
      </c>
      <c r="D91" s="24">
        <f t="shared" ref="D91" si="51">(B91+C91)</f>
        <v>7.8930333461834867E-2</v>
      </c>
      <c r="H91" s="24">
        <f>(E37*F37/G37*F$7/F$9)</f>
        <v>0.14303030303030304</v>
      </c>
      <c r="I91" s="22">
        <f t="shared" ref="I91" si="52">(D91*H91)</f>
        <v>1.1289429513329109E-2</v>
      </c>
      <c r="J91" s="24">
        <f>IF(I$32&lt;=1+I$131,I91,L91+J$33*(I91-L91))</f>
        <v>9.97303353360641E-3</v>
      </c>
      <c r="K91" s="22">
        <f t="shared" ref="K91" si="53">(B91)</f>
        <v>5.2620222307889916E-2</v>
      </c>
      <c r="L91" s="22">
        <f t="shared" ref="L91" si="54">(K91*H91)</f>
        <v>7.5262863422194065E-3</v>
      </c>
      <c r="M91" s="226">
        <f t="shared" si="49"/>
        <v>9.97303353360641E-3</v>
      </c>
      <c r="N91" s="228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Other:  hides</v>
      </c>
      <c r="B92" s="75">
        <f t="shared" si="50"/>
        <v>2.0324560866422481E-2</v>
      </c>
      <c r="C92" s="75">
        <f t="shared" si="50"/>
        <v>0</v>
      </c>
      <c r="D92" s="24">
        <f t="shared" ref="D92:D118" si="56">(B92+C92)</f>
        <v>2.0324560866422481E-2</v>
      </c>
      <c r="H92" s="24">
        <f t="shared" ref="H92:H118" si="57">(E38*F38/G38*F$7/F$9)</f>
        <v>0.14303030303030304</v>
      </c>
      <c r="I92" s="22">
        <f t="shared" ref="I92:I118" si="58">(D92*H92)</f>
        <v>2.9070280996822458E-3</v>
      </c>
      <c r="J92" s="24">
        <f t="shared" ref="J92:J118" si="59">IF(I$32&lt;=1+I$131,I92,L92+J$33*(I92-L92))</f>
        <v>2.9070280996822458E-3</v>
      </c>
      <c r="K92" s="22">
        <f t="shared" ref="K92:K118" si="60">(B92)</f>
        <v>2.0324560866422481E-2</v>
      </c>
      <c r="L92" s="22">
        <f t="shared" ref="L92:L118" si="61">(K92*H92)</f>
        <v>2.9070280996822458E-3</v>
      </c>
      <c r="M92" s="226">
        <f t="shared" ref="M92:M118" si="62">(J92)</f>
        <v>2.9070280996822458E-3</v>
      </c>
      <c r="N92" s="228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si="50"/>
        <v>0.7761482790413764</v>
      </c>
      <c r="C93" s="75">
        <f t="shared" si="50"/>
        <v>-0.20390336144307342</v>
      </c>
      <c r="D93" s="24">
        <f t="shared" si="56"/>
        <v>0.57224491759830298</v>
      </c>
      <c r="H93" s="24">
        <f t="shared" si="57"/>
        <v>0.3575757575757576</v>
      </c>
      <c r="I93" s="22">
        <f t="shared" si="58"/>
        <v>0.20462090992909018</v>
      </c>
      <c r="J93" s="24">
        <f t="shared" si="59"/>
        <v>0.23012608203621746</v>
      </c>
      <c r="K93" s="22">
        <f t="shared" si="60"/>
        <v>0.7761482790413764</v>
      </c>
      <c r="L93" s="22">
        <f t="shared" si="61"/>
        <v>0.27753180886934065</v>
      </c>
      <c r="M93" s="226">
        <f t="shared" si="62"/>
        <v>0.23012608203621746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si="50"/>
        <v>2.3021347259701837E-2</v>
      </c>
      <c r="C94" s="75">
        <f t="shared" si="50"/>
        <v>9.8662916827293584E-3</v>
      </c>
      <c r="D94" s="24">
        <f t="shared" si="56"/>
        <v>3.2887638942431199E-2</v>
      </c>
      <c r="H94" s="24">
        <f t="shared" si="57"/>
        <v>0.3575757575757576</v>
      </c>
      <c r="I94" s="22">
        <f t="shared" si="58"/>
        <v>1.1759822409717824E-2</v>
      </c>
      <c r="J94" s="24">
        <f t="shared" si="59"/>
        <v>1.0525701178727793E-2</v>
      </c>
      <c r="K94" s="22">
        <f t="shared" si="60"/>
        <v>2.3021347259701837E-2</v>
      </c>
      <c r="L94" s="22">
        <f t="shared" si="61"/>
        <v>8.2318756868024756E-3</v>
      </c>
      <c r="M94" s="226">
        <f t="shared" si="62"/>
        <v>1.0525701178727793E-2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Goat sales - local: no. sold</v>
      </c>
      <c r="B95" s="75">
        <f t="shared" si="50"/>
        <v>0.1850916319680028</v>
      </c>
      <c r="C95" s="75">
        <f t="shared" si="50"/>
        <v>-2.3087122537586702E-2</v>
      </c>
      <c r="D95" s="24">
        <f t="shared" si="56"/>
        <v>0.16200450943041608</v>
      </c>
      <c r="H95" s="24">
        <f t="shared" si="57"/>
        <v>0.3575757575757576</v>
      </c>
      <c r="I95" s="22">
        <f t="shared" si="58"/>
        <v>5.7928885190270001E-2</v>
      </c>
      <c r="J95" s="24">
        <f t="shared" si="59"/>
        <v>6.0816728870786672E-2</v>
      </c>
      <c r="K95" s="22">
        <f t="shared" si="60"/>
        <v>0.1850916319680028</v>
      </c>
      <c r="L95" s="22">
        <f t="shared" si="61"/>
        <v>6.6184280521891917E-2</v>
      </c>
      <c r="M95" s="226">
        <f t="shared" si="62"/>
        <v>6.0816728870786672E-2</v>
      </c>
      <c r="N95" s="228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Pig sales: no sold</v>
      </c>
      <c r="B96" s="75">
        <f t="shared" si="50"/>
        <v>2.1048088923155968E-2</v>
      </c>
      <c r="C96" s="75">
        <f t="shared" si="50"/>
        <v>0</v>
      </c>
      <c r="D96" s="24">
        <f t="shared" si="56"/>
        <v>2.1048088923155968E-2</v>
      </c>
      <c r="H96" s="24">
        <f t="shared" si="57"/>
        <v>0.3575757575757576</v>
      </c>
      <c r="I96" s="22">
        <f t="shared" si="58"/>
        <v>7.5262863422194074E-3</v>
      </c>
      <c r="J96" s="24">
        <f t="shared" si="59"/>
        <v>7.5262863422194074E-3</v>
      </c>
      <c r="K96" s="22">
        <f t="shared" si="60"/>
        <v>2.1048088923155968E-2</v>
      </c>
      <c r="L96" s="22">
        <f t="shared" si="61"/>
        <v>7.5262863422194074E-3</v>
      </c>
      <c r="M96" s="226">
        <f t="shared" si="62"/>
        <v>7.5262863422194074E-3</v>
      </c>
      <c r="N96" s="228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Chicken sales: no. sold</v>
      </c>
      <c r="B97" s="75">
        <f t="shared" si="50"/>
        <v>8.7744220698406442E-3</v>
      </c>
      <c r="C97" s="75">
        <f t="shared" si="50"/>
        <v>0</v>
      </c>
      <c r="D97" s="24">
        <f t="shared" si="56"/>
        <v>8.7744220698406442E-3</v>
      </c>
      <c r="H97" s="24">
        <f t="shared" si="57"/>
        <v>0.7151515151515152</v>
      </c>
      <c r="I97" s="22">
        <f t="shared" si="58"/>
        <v>6.2750412378254307E-3</v>
      </c>
      <c r="J97" s="24">
        <f t="shared" si="59"/>
        <v>6.2750412378254307E-3</v>
      </c>
      <c r="K97" s="22">
        <f t="shared" si="60"/>
        <v>8.7744220698406442E-3</v>
      </c>
      <c r="L97" s="22">
        <f t="shared" si="61"/>
        <v>6.2750412378254307E-3</v>
      </c>
      <c r="M97" s="226">
        <f t="shared" si="62"/>
        <v>6.2750412378254307E-3</v>
      </c>
      <c r="N97" s="228">
        <v>5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Maize: kg produced</v>
      </c>
      <c r="B98" s="75">
        <f t="shared" si="50"/>
        <v>0.11605390030005121</v>
      </c>
      <c r="C98" s="75">
        <f t="shared" si="50"/>
        <v>-0.11605390030005121</v>
      </c>
      <c r="D98" s="24">
        <f t="shared" si="56"/>
        <v>0</v>
      </c>
      <c r="H98" s="24">
        <f t="shared" si="57"/>
        <v>0.25454545454545457</v>
      </c>
      <c r="I98" s="22">
        <f t="shared" si="58"/>
        <v>0</v>
      </c>
      <c r="J98" s="24">
        <f t="shared" si="59"/>
        <v>1.0333819999804515E-2</v>
      </c>
      <c r="K98" s="22">
        <f t="shared" si="60"/>
        <v>0.11605390030005121</v>
      </c>
      <c r="L98" s="22">
        <f t="shared" si="61"/>
        <v>2.9540992803649403E-2</v>
      </c>
      <c r="M98" s="226">
        <f t="shared" si="62"/>
        <v>1.0333819999804515E-2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Sorghum: kg produced</v>
      </c>
      <c r="B99" s="75">
        <f t="shared" si="50"/>
        <v>6.5643727329092677E-3</v>
      </c>
      <c r="C99" s="75">
        <f t="shared" si="50"/>
        <v>-6.5643727329092677E-3</v>
      </c>
      <c r="D99" s="24">
        <f t="shared" si="56"/>
        <v>0</v>
      </c>
      <c r="H99" s="24">
        <f t="shared" si="57"/>
        <v>0.25454545454545457</v>
      </c>
      <c r="I99" s="22">
        <f t="shared" si="58"/>
        <v>0</v>
      </c>
      <c r="J99" s="24">
        <f t="shared" si="59"/>
        <v>5.8451328269127798E-4</v>
      </c>
      <c r="K99" s="22">
        <f t="shared" si="60"/>
        <v>6.5643727329092677E-3</v>
      </c>
      <c r="L99" s="22">
        <f t="shared" si="61"/>
        <v>1.6709312411041775E-3</v>
      </c>
      <c r="M99" s="226">
        <f t="shared" si="62"/>
        <v>5.8451328269127798E-4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Beans: kg produced</v>
      </c>
      <c r="B100" s="75">
        <f t="shared" si="50"/>
        <v>3.5255548946286241E-2</v>
      </c>
      <c r="C100" s="75">
        <f t="shared" si="50"/>
        <v>2.5487920180384177E-2</v>
      </c>
      <c r="D100" s="24">
        <f t="shared" si="56"/>
        <v>6.0743469126670419E-2</v>
      </c>
      <c r="H100" s="24">
        <f t="shared" si="57"/>
        <v>0.16969696969696968</v>
      </c>
      <c r="I100" s="22">
        <f t="shared" si="58"/>
        <v>1.0307982639677403E-2</v>
      </c>
      <c r="J100" s="24">
        <f t="shared" si="59"/>
        <v>8.7949639553562935E-3</v>
      </c>
      <c r="K100" s="22">
        <f t="shared" si="60"/>
        <v>3.5255548946286241E-2</v>
      </c>
      <c r="L100" s="22">
        <f t="shared" si="61"/>
        <v>5.9827598211879673E-3</v>
      </c>
      <c r="M100" s="226">
        <f t="shared" si="62"/>
        <v>8.7949639553562935E-3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Cowpeas, yams, amadumbe, chillies &amp; sugarcane</v>
      </c>
      <c r="B101" s="75">
        <f t="shared" si="50"/>
        <v>5.262022230788992E-3</v>
      </c>
      <c r="C101" s="75">
        <f t="shared" si="50"/>
        <v>0</v>
      </c>
      <c r="D101" s="24">
        <f t="shared" si="56"/>
        <v>5.262022230788992E-3</v>
      </c>
      <c r="H101" s="24">
        <f t="shared" si="57"/>
        <v>0.16969696969696968</v>
      </c>
      <c r="I101" s="22">
        <f t="shared" si="58"/>
        <v>8.9294922704298031E-4</v>
      </c>
      <c r="J101" s="24">
        <f t="shared" si="59"/>
        <v>8.9294922704298031E-4</v>
      </c>
      <c r="K101" s="22">
        <f t="shared" si="60"/>
        <v>5.262022230788992E-3</v>
      </c>
      <c r="L101" s="22">
        <f t="shared" si="61"/>
        <v>8.9294922704298031E-4</v>
      </c>
      <c r="M101" s="226">
        <f t="shared" si="62"/>
        <v>8.9294922704298031E-4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Cabbage: no. local meas</v>
      </c>
      <c r="B102" s="75">
        <f t="shared" si="50"/>
        <v>8.0245839019532118E-3</v>
      </c>
      <c r="C102" s="75">
        <f t="shared" si="50"/>
        <v>-6.0513255654073396E-3</v>
      </c>
      <c r="D102" s="24">
        <f t="shared" si="56"/>
        <v>1.9732583365458722E-3</v>
      </c>
      <c r="H102" s="24">
        <f t="shared" si="57"/>
        <v>0.16969696969696968</v>
      </c>
      <c r="I102" s="22">
        <f t="shared" si="58"/>
        <v>3.3485596014111766E-4</v>
      </c>
      <c r="J102" s="24">
        <f t="shared" si="59"/>
        <v>6.9407588003154877E-4</v>
      </c>
      <c r="K102" s="22">
        <f t="shared" si="60"/>
        <v>8.0245839019532118E-3</v>
      </c>
      <c r="L102" s="22">
        <f t="shared" si="61"/>
        <v>1.3617475712405448E-3</v>
      </c>
      <c r="M102" s="226">
        <f t="shared" si="62"/>
        <v>6.9407588003154877E-4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Sweet potatoes &amp; potatoes</v>
      </c>
      <c r="B103" s="75">
        <f t="shared" si="50"/>
        <v>0.10395124916923654</v>
      </c>
      <c r="C103" s="75">
        <f t="shared" si="50"/>
        <v>-0.10395124916923654</v>
      </c>
      <c r="D103" s="24">
        <f t="shared" si="56"/>
        <v>0</v>
      </c>
      <c r="H103" s="24">
        <f t="shared" si="57"/>
        <v>0.16969696969696968</v>
      </c>
      <c r="I103" s="22">
        <f t="shared" si="58"/>
        <v>0</v>
      </c>
      <c r="J103" s="24">
        <f t="shared" si="59"/>
        <v>6.1707734934221478E-3</v>
      </c>
      <c r="K103" s="22">
        <f t="shared" si="60"/>
        <v>0.10395124916923654</v>
      </c>
      <c r="L103" s="22">
        <f t="shared" si="61"/>
        <v>1.7640211980234077E-2</v>
      </c>
      <c r="M103" s="226">
        <f t="shared" si="62"/>
        <v>6.1707734934221478E-3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Veg: spinach, carrots, beet root &amp; tomatoes</v>
      </c>
      <c r="B104" s="75">
        <f t="shared" si="50"/>
        <v>1.8561783419108167E-2</v>
      </c>
      <c r="C104" s="75">
        <f t="shared" si="50"/>
        <v>-7.932498512914405E-3</v>
      </c>
      <c r="D104" s="24">
        <f t="shared" si="56"/>
        <v>1.0629284906193762E-2</v>
      </c>
      <c r="H104" s="24">
        <f t="shared" si="57"/>
        <v>0.16969696969696968</v>
      </c>
      <c r="I104" s="22">
        <f t="shared" si="58"/>
        <v>1.80375743862682E-3</v>
      </c>
      <c r="J104" s="24">
        <f t="shared" si="59"/>
        <v>2.274647898831016E-3</v>
      </c>
      <c r="K104" s="22">
        <f t="shared" si="60"/>
        <v>1.8561783419108167E-2</v>
      </c>
      <c r="L104" s="22">
        <f t="shared" si="61"/>
        <v>3.1498783983941129E-3</v>
      </c>
      <c r="M104" s="226">
        <f t="shared" si="62"/>
        <v>2.274647898831016E-3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Other crop: pumpkin</v>
      </c>
      <c r="B105" s="75">
        <f t="shared" si="50"/>
        <v>1.9929909199113305E-2</v>
      </c>
      <c r="C105" s="75">
        <f t="shared" si="50"/>
        <v>-1.9929909199113305E-2</v>
      </c>
      <c r="D105" s="24">
        <f t="shared" si="56"/>
        <v>0</v>
      </c>
      <c r="H105" s="24">
        <f t="shared" si="57"/>
        <v>0.16969696969696968</v>
      </c>
      <c r="I105" s="22">
        <f t="shared" si="58"/>
        <v>0</v>
      </c>
      <c r="J105" s="24">
        <f t="shared" si="59"/>
        <v>1.1830829970304419E-3</v>
      </c>
      <c r="K105" s="22">
        <f t="shared" si="60"/>
        <v>1.9929909199113305E-2</v>
      </c>
      <c r="L105" s="22">
        <f t="shared" si="61"/>
        <v>3.3820451974252877E-3</v>
      </c>
      <c r="M105" s="226">
        <f t="shared" si="62"/>
        <v>1.1830829970304419E-3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Onions: kg produced</v>
      </c>
      <c r="B106" s="75">
        <f t="shared" si="50"/>
        <v>1.2102651130814679E-2</v>
      </c>
      <c r="C106" s="75">
        <f t="shared" si="50"/>
        <v>-1.0260943350038534E-3</v>
      </c>
      <c r="D106" s="24">
        <f t="shared" si="56"/>
        <v>1.1076556795810827E-2</v>
      </c>
      <c r="H106" s="24">
        <f t="shared" si="57"/>
        <v>0.16969696969696968</v>
      </c>
      <c r="I106" s="22">
        <f t="shared" si="58"/>
        <v>1.8796581229254734E-3</v>
      </c>
      <c r="J106" s="24">
        <f t="shared" si="59"/>
        <v>1.9405693267329812E-3</v>
      </c>
      <c r="K106" s="22">
        <f t="shared" si="60"/>
        <v>1.2102651130814679E-2</v>
      </c>
      <c r="L106" s="22">
        <f t="shared" si="61"/>
        <v>2.0537832221988544E-3</v>
      </c>
      <c r="M106" s="226">
        <f t="shared" si="62"/>
        <v>1.9405693267329812E-3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Groundnuts (dry): no. local meas</v>
      </c>
      <c r="B107" s="75">
        <f t="shared" si="50"/>
        <v>2.6310111153944958E-2</v>
      </c>
      <c r="C107" s="75">
        <f t="shared" si="50"/>
        <v>-2.6310111153944958E-2</v>
      </c>
      <c r="D107" s="24">
        <f t="shared" si="56"/>
        <v>0</v>
      </c>
      <c r="H107" s="24">
        <f t="shared" si="57"/>
        <v>0.16969696969696968</v>
      </c>
      <c r="I107" s="22">
        <f t="shared" si="58"/>
        <v>0</v>
      </c>
      <c r="J107" s="24">
        <f t="shared" si="59"/>
        <v>1.5618257386540487E-3</v>
      </c>
      <c r="K107" s="22">
        <f t="shared" si="60"/>
        <v>2.6310111153944958E-2</v>
      </c>
      <c r="L107" s="22">
        <f t="shared" si="61"/>
        <v>4.4647461352149012E-3</v>
      </c>
      <c r="M107" s="226">
        <f t="shared" si="62"/>
        <v>1.5618257386540487E-3</v>
      </c>
      <c r="N107" s="228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WILD FOODS -- see worksheet Data 3</v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0.7151515151515152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>
        <v>6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Agricultural cash income -- see Data2</v>
      </c>
      <c r="B109" s="75">
        <f t="shared" si="50"/>
        <v>3.2650847942045695E-2</v>
      </c>
      <c r="C109" s="75">
        <f t="shared" si="50"/>
        <v>0</v>
      </c>
      <c r="D109" s="24">
        <f t="shared" si="56"/>
        <v>3.2650847942045695E-2</v>
      </c>
      <c r="H109" s="24">
        <f t="shared" si="57"/>
        <v>0.33636363636363642</v>
      </c>
      <c r="I109" s="22">
        <f t="shared" si="58"/>
        <v>1.0982557944142645E-2</v>
      </c>
      <c r="J109" s="24">
        <f t="shared" si="59"/>
        <v>1.0982557944142645E-2</v>
      </c>
      <c r="K109" s="22">
        <f t="shared" si="60"/>
        <v>3.2650847942045695E-2</v>
      </c>
      <c r="L109" s="22">
        <f t="shared" si="61"/>
        <v>1.0982557944142645E-2</v>
      </c>
      <c r="M109" s="226">
        <f t="shared" si="62"/>
        <v>1.0982557944142645E-2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Construction cash income -- see Data2</v>
      </c>
      <c r="B110" s="75">
        <f t="shared" si="50"/>
        <v>3.1572133384733948E-2</v>
      </c>
      <c r="C110" s="75">
        <f t="shared" si="50"/>
        <v>0</v>
      </c>
      <c r="D110" s="24">
        <f t="shared" si="56"/>
        <v>3.1572133384733948E-2</v>
      </c>
      <c r="H110" s="24">
        <f t="shared" si="57"/>
        <v>0.33636363636363642</v>
      </c>
      <c r="I110" s="22">
        <f t="shared" si="58"/>
        <v>1.0619717593046875E-2</v>
      </c>
      <c r="J110" s="24">
        <f t="shared" si="59"/>
        <v>1.0619717593046875E-2</v>
      </c>
      <c r="K110" s="22">
        <f t="shared" si="60"/>
        <v>3.1572133384733948E-2</v>
      </c>
      <c r="L110" s="22">
        <f t="shared" si="61"/>
        <v>1.0619717593046875E-2</v>
      </c>
      <c r="M110" s="226">
        <f t="shared" si="62"/>
        <v>1.0619717593046875E-2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Domestic work cash income -- see Data2</v>
      </c>
      <c r="B111" s="75">
        <f t="shared" si="50"/>
        <v>0.35518650057825696</v>
      </c>
      <c r="C111" s="75">
        <f t="shared" si="50"/>
        <v>0</v>
      </c>
      <c r="D111" s="24">
        <f t="shared" si="56"/>
        <v>0.35518650057825696</v>
      </c>
      <c r="H111" s="24">
        <f t="shared" si="57"/>
        <v>0.33636363636363642</v>
      </c>
      <c r="I111" s="22">
        <f t="shared" si="58"/>
        <v>0.11947182292177735</v>
      </c>
      <c r="J111" s="24">
        <f t="shared" si="59"/>
        <v>0.11947182292177735</v>
      </c>
      <c r="K111" s="22">
        <f t="shared" si="60"/>
        <v>0.35518650057825696</v>
      </c>
      <c r="L111" s="22">
        <f t="shared" si="61"/>
        <v>0.11947182292177735</v>
      </c>
      <c r="M111" s="226">
        <f t="shared" si="62"/>
        <v>0.11947182292177735</v>
      </c>
      <c r="N111" s="228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(conservancies, etc.)</v>
      </c>
      <c r="B112" s="75">
        <f t="shared" si="50"/>
        <v>2.865171104664606</v>
      </c>
      <c r="C112" s="75">
        <f t="shared" si="50"/>
        <v>0</v>
      </c>
      <c r="D112" s="24">
        <f t="shared" si="56"/>
        <v>2.865171104664606</v>
      </c>
      <c r="H112" s="24">
        <f t="shared" si="57"/>
        <v>0.42909090909090908</v>
      </c>
      <c r="I112" s="22">
        <f t="shared" si="58"/>
        <v>1.2294188740015399</v>
      </c>
      <c r="J112" s="24">
        <f t="shared" si="59"/>
        <v>1.2294188740015399</v>
      </c>
      <c r="K112" s="22">
        <f t="shared" si="60"/>
        <v>2.865171104664606</v>
      </c>
      <c r="L112" s="22">
        <f t="shared" si="61"/>
        <v>1.2294188740015399</v>
      </c>
      <c r="M112" s="226">
        <f t="shared" si="62"/>
        <v>1.2294188740015399</v>
      </c>
      <c r="N112" s="228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si="50"/>
        <v>0.72285714889906083</v>
      </c>
      <c r="C113" s="75">
        <f t="shared" si="50"/>
        <v>0.14457142977981216</v>
      </c>
      <c r="D113" s="24">
        <f t="shared" si="56"/>
        <v>0.86742857867887302</v>
      </c>
      <c r="H113" s="24">
        <f t="shared" si="57"/>
        <v>0.48484848484848486</v>
      </c>
      <c r="I113" s="22">
        <f t="shared" si="58"/>
        <v>0.42057143208672632</v>
      </c>
      <c r="J113" s="24">
        <f t="shared" si="59"/>
        <v>0.39605121422578304</v>
      </c>
      <c r="K113" s="22">
        <f t="shared" si="60"/>
        <v>0.72285714889906083</v>
      </c>
      <c r="L113" s="22">
        <f t="shared" si="61"/>
        <v>0.35047619340560526</v>
      </c>
      <c r="M113" s="226">
        <f t="shared" si="62"/>
        <v>0.39605121422578304</v>
      </c>
      <c r="N113" s="228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si="50"/>
        <v>1.0718739284117176</v>
      </c>
      <c r="C114" s="75">
        <f t="shared" si="50"/>
        <v>0</v>
      </c>
      <c r="D114" s="24">
        <f t="shared" si="56"/>
        <v>1.0718739284117176</v>
      </c>
      <c r="H114" s="24">
        <f t="shared" si="57"/>
        <v>0.57212121212121214</v>
      </c>
      <c r="I114" s="22">
        <f t="shared" si="58"/>
        <v>0.6132418111640372</v>
      </c>
      <c r="J114" s="24">
        <f t="shared" si="59"/>
        <v>0.6132418111640372</v>
      </c>
      <c r="K114" s="22">
        <f t="shared" si="60"/>
        <v>1.0718739284117176</v>
      </c>
      <c r="L114" s="22">
        <f t="shared" si="61"/>
        <v>0.6132418111640372</v>
      </c>
      <c r="M114" s="226">
        <f t="shared" si="62"/>
        <v>0.6132418111640372</v>
      </c>
      <c r="N114" s="228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si="50"/>
        <v>1.282773507233701</v>
      </c>
      <c r="C115" s="75">
        <f t="shared" si="50"/>
        <v>0</v>
      </c>
      <c r="D115" s="24">
        <f t="shared" si="56"/>
        <v>1.282773507233701</v>
      </c>
      <c r="H115" s="24">
        <f t="shared" si="57"/>
        <v>0</v>
      </c>
      <c r="I115" s="22">
        <f t="shared" si="58"/>
        <v>0</v>
      </c>
      <c r="J115" s="24">
        <f t="shared" si="59"/>
        <v>0</v>
      </c>
      <c r="K115" s="22">
        <f t="shared" si="60"/>
        <v>1.282773507233701</v>
      </c>
      <c r="L115" s="22">
        <f t="shared" si="61"/>
        <v>0</v>
      </c>
      <c r="M115" s="226">
        <f t="shared" si="62"/>
        <v>0</v>
      </c>
      <c r="N115" s="228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si="50"/>
        <v>0.29218693942013574</v>
      </c>
      <c r="C116" s="75">
        <f t="shared" si="50"/>
        <v>0</v>
      </c>
      <c r="D116" s="24">
        <f t="shared" si="56"/>
        <v>0.29218693942013574</v>
      </c>
      <c r="H116" s="24">
        <f t="shared" si="57"/>
        <v>0.7151515151515152</v>
      </c>
      <c r="I116" s="22">
        <f t="shared" si="58"/>
        <v>0.20895793243379407</v>
      </c>
      <c r="J116" s="24">
        <f t="shared" si="59"/>
        <v>0.20895793243379407</v>
      </c>
      <c r="K116" s="22">
        <f t="shared" si="60"/>
        <v>0.29218693942013574</v>
      </c>
      <c r="L116" s="22">
        <f t="shared" si="61"/>
        <v>0.20895793243379407</v>
      </c>
      <c r="M116" s="226">
        <f t="shared" si="62"/>
        <v>0.20895793243379407</v>
      </c>
      <c r="N116" s="228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Other income: e.g. Credit (cotton loans)</v>
      </c>
      <c r="B117" s="75">
        <f t="shared" si="50"/>
        <v>2.1048088923155968E-2</v>
      </c>
      <c r="C117" s="75">
        <f t="shared" si="50"/>
        <v>0</v>
      </c>
      <c r="D117" s="24">
        <f t="shared" si="56"/>
        <v>2.1048088923155968E-2</v>
      </c>
      <c r="H117" s="24">
        <f t="shared" si="57"/>
        <v>0.60606060606060608</v>
      </c>
      <c r="I117" s="22">
        <f t="shared" si="58"/>
        <v>1.2756417529185436E-2</v>
      </c>
      <c r="J117" s="24">
        <f t="shared" si="59"/>
        <v>1.2756417529185436E-2</v>
      </c>
      <c r="K117" s="22">
        <f t="shared" si="60"/>
        <v>2.1048088923155968E-2</v>
      </c>
      <c r="L117" s="22">
        <f t="shared" si="61"/>
        <v>1.2756417529185436E-2</v>
      </c>
      <c r="M117" s="226">
        <f t="shared" si="62"/>
        <v>1.2756417529185436E-2</v>
      </c>
      <c r="N117" s="228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>Remittances: no. times per year</v>
      </c>
      <c r="B118" s="75">
        <f t="shared" si="50"/>
        <v>0.35518650057825696</v>
      </c>
      <c r="C118" s="75">
        <f t="shared" si="50"/>
        <v>0</v>
      </c>
      <c r="D118" s="24">
        <f t="shared" si="56"/>
        <v>0.35518650057825696</v>
      </c>
      <c r="H118" s="24">
        <f t="shared" si="57"/>
        <v>0.67272727272727284</v>
      </c>
      <c r="I118" s="22">
        <f t="shared" si="58"/>
        <v>0.23894364584355471</v>
      </c>
      <c r="J118" s="24">
        <f t="shared" si="59"/>
        <v>0.23894364584355471</v>
      </c>
      <c r="K118" s="22">
        <f t="shared" si="60"/>
        <v>0.35518650057825696</v>
      </c>
      <c r="L118" s="22">
        <f t="shared" si="61"/>
        <v>0.23894364584355471</v>
      </c>
      <c r="M118" s="226">
        <f t="shared" si="62"/>
        <v>0.23894364584355471</v>
      </c>
      <c r="N118" s="228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8.4695513846562669</v>
      </c>
      <c r="C119" s="22">
        <f>SUM(C91:C118)</f>
        <v>-0.30857419215237025</v>
      </c>
      <c r="D119" s="24">
        <f>SUM(D91:D118)</f>
        <v>8.1609771925038981</v>
      </c>
      <c r="E119" s="22"/>
      <c r="F119" s="2"/>
      <c r="G119" s="2"/>
      <c r="H119" s="31"/>
      <c r="I119" s="22">
        <f>SUM(I91:I118)</f>
        <v>3.1824908176283522</v>
      </c>
      <c r="J119" s="24">
        <f>SUM(J91:J118)</f>
        <v>3.2030251167555237</v>
      </c>
      <c r="K119" s="22">
        <f>SUM(K91:K118)</f>
        <v>8.4695513846562669</v>
      </c>
      <c r="L119" s="22">
        <f>SUM(L91:L118)</f>
        <v>3.2411916255343569</v>
      </c>
      <c r="M119" s="57">
        <f t="shared" si="49"/>
        <v>3.2030251167555237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1.2592558019670561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1.0684594683356841</v>
      </c>
      <c r="J124" s="236">
        <f>IF(SUMPRODUCT($B$124:$B124,$H$124:$H124)&lt;J$119,($B124*$H124),J$119)</f>
        <v>1.0684594683356841</v>
      </c>
      <c r="K124" s="22">
        <f>(B124)</f>
        <v>1.2592558019670561</v>
      </c>
      <c r="L124" s="29">
        <f>IF(SUMPRODUCT($B$124:$B124,$H$124:$H124)&lt;L$119,($B124*$H124),L$119)</f>
        <v>1.0684594683356841</v>
      </c>
      <c r="M124" s="57">
        <f t="shared" si="63"/>
        <v>1.0684594683356841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1.2591229894943441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0.90046371369898559</v>
      </c>
      <c r="J125" s="236">
        <f>IF(SUMPRODUCT($B$124:$B125,$H$124:$H125)&lt;J$119,($B125*$H125),IF(SUMPRODUCT($B$124:$B124,$H$124:$H124)&lt;J$119,J$119-SUMPRODUCT($B$124:$B124,$H$124:$H124),0))</f>
        <v>0.90046371369898559</v>
      </c>
      <c r="K125" s="22">
        <f t="shared" ref="K125:K126" si="64">(B125)</f>
        <v>1.2591229894943441</v>
      </c>
      <c r="L125" s="29">
        <f>IF(SUMPRODUCT($B$124:$B125,$H$124:$H125)&lt;L$119,($B125*$H125),IF(SUMPRODUCT($B$124:$B124,$H$124:$H124)&lt;L$119,L$119-SUMPRODUCT($B$124:$B124,$H$124:$H124),0))</f>
        <v>0.90046371369898559</v>
      </c>
      <c r="M125" s="57">
        <f t="shared" ref="M125:M126" si="65">(J125)</f>
        <v>0.90046371369898559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2.3267083697879682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0.70661055080827984</v>
      </c>
      <c r="K126" s="22">
        <f t="shared" si="64"/>
        <v>2.3267083697879682</v>
      </c>
      <c r="L126" s="29">
        <f>IF(SUMPRODUCT($B$124:$B126,$H$124:$H126)&lt;(L$119-L$128),($B126*$H126),IF(SUMPRODUCT($B$124:$B125,$H$124:$H125)&lt;(L$119-L$128),L$119-L$128-SUMPRODUCT($B$124:$B125,$H$124:$H125),0))</f>
        <v>1.0927170658492362</v>
      </c>
      <c r="M126" s="57">
        <f t="shared" si="65"/>
        <v>0.70661055080827984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1.2722254248490086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1.2722254248490086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0.59584818167738329</v>
      </c>
      <c r="C128" s="2"/>
      <c r="D128" s="31"/>
      <c r="E128" s="2"/>
      <c r="F128" s="2"/>
      <c r="G128" s="2"/>
      <c r="H128" s="24"/>
      <c r="I128" s="29">
        <f>(I30)</f>
        <v>2.1140313492926683</v>
      </c>
      <c r="J128" s="227">
        <f>(J30)</f>
        <v>0.52749138391257389</v>
      </c>
      <c r="K128" s="22">
        <f>(B128)</f>
        <v>0.59584818167738329</v>
      </c>
      <c r="L128" s="22">
        <f>IF(L124=L119,0,(L119-L124)/(B119-B124)*K128)</f>
        <v>0.17955137765045079</v>
      </c>
      <c r="M128" s="57">
        <f t="shared" si="63"/>
        <v>0.52749138391257389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1.756390616880507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1.756390616880507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8.4695513846562669</v>
      </c>
      <c r="C130" s="2"/>
      <c r="D130" s="31"/>
      <c r="E130" s="2"/>
      <c r="F130" s="2"/>
      <c r="G130" s="2"/>
      <c r="H130" s="24"/>
      <c r="I130" s="29">
        <f>(I119)</f>
        <v>3.1824908176283522</v>
      </c>
      <c r="J130" s="227">
        <f>(J119)</f>
        <v>3.2030251167555237</v>
      </c>
      <c r="K130" s="22">
        <f>(B130)</f>
        <v>8.4695513846562669</v>
      </c>
      <c r="L130" s="22">
        <f>(L119)</f>
        <v>3.2411916255343569</v>
      </c>
      <c r="M130" s="57">
        <f t="shared" si="63"/>
        <v>3.2030251167555237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0.90046371369898637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0.19385316289070653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61" priority="324" operator="equal">
      <formula>16</formula>
    </cfRule>
    <cfRule type="cellIs" dxfId="260" priority="325" operator="equal">
      <formula>15</formula>
    </cfRule>
    <cfRule type="cellIs" dxfId="259" priority="326" operator="equal">
      <formula>14</formula>
    </cfRule>
    <cfRule type="cellIs" dxfId="258" priority="327" operator="equal">
      <formula>13</formula>
    </cfRule>
    <cfRule type="cellIs" dxfId="257" priority="328" operator="equal">
      <formula>12</formula>
    </cfRule>
    <cfRule type="cellIs" dxfId="256" priority="329" operator="equal">
      <formula>11</formula>
    </cfRule>
    <cfRule type="cellIs" dxfId="255" priority="330" operator="equal">
      <formula>10</formula>
    </cfRule>
    <cfRule type="cellIs" dxfId="254" priority="331" operator="equal">
      <formula>9</formula>
    </cfRule>
    <cfRule type="cellIs" dxfId="253" priority="332" operator="equal">
      <formula>8</formula>
    </cfRule>
    <cfRule type="cellIs" dxfId="252" priority="333" operator="equal">
      <formula>7</formula>
    </cfRule>
    <cfRule type="cellIs" dxfId="251" priority="334" operator="equal">
      <formula>6</formula>
    </cfRule>
    <cfRule type="cellIs" dxfId="250" priority="335" operator="equal">
      <formula>5</formula>
    </cfRule>
    <cfRule type="cellIs" dxfId="249" priority="336" operator="equal">
      <formula>4</formula>
    </cfRule>
    <cfRule type="cellIs" dxfId="248" priority="337" operator="equal">
      <formula>3</formula>
    </cfRule>
    <cfRule type="cellIs" dxfId="247" priority="338" operator="equal">
      <formula>2</formula>
    </cfRule>
    <cfRule type="cellIs" dxfId="246" priority="339" operator="equal">
      <formula>1</formula>
    </cfRule>
  </conditionalFormatting>
  <conditionalFormatting sqref="N29">
    <cfRule type="cellIs" dxfId="245" priority="308" operator="equal">
      <formula>16</formula>
    </cfRule>
    <cfRule type="cellIs" dxfId="244" priority="309" operator="equal">
      <formula>15</formula>
    </cfRule>
    <cfRule type="cellIs" dxfId="243" priority="310" operator="equal">
      <formula>14</formula>
    </cfRule>
    <cfRule type="cellIs" dxfId="242" priority="311" operator="equal">
      <formula>13</formula>
    </cfRule>
    <cfRule type="cellIs" dxfId="241" priority="312" operator="equal">
      <formula>12</formula>
    </cfRule>
    <cfRule type="cellIs" dxfId="240" priority="313" operator="equal">
      <formula>11</formula>
    </cfRule>
    <cfRule type="cellIs" dxfId="239" priority="314" operator="equal">
      <formula>10</formula>
    </cfRule>
    <cfRule type="cellIs" dxfId="238" priority="315" operator="equal">
      <formula>9</formula>
    </cfRule>
    <cfRule type="cellIs" dxfId="237" priority="316" operator="equal">
      <formula>8</formula>
    </cfRule>
    <cfRule type="cellIs" dxfId="236" priority="317" operator="equal">
      <formula>7</formula>
    </cfRule>
    <cfRule type="cellIs" dxfId="235" priority="318" operator="equal">
      <formula>6</formula>
    </cfRule>
    <cfRule type="cellIs" dxfId="234" priority="319" operator="equal">
      <formula>5</formula>
    </cfRule>
    <cfRule type="cellIs" dxfId="233" priority="320" operator="equal">
      <formula>4</formula>
    </cfRule>
    <cfRule type="cellIs" dxfId="232" priority="321" operator="equal">
      <formula>3</formula>
    </cfRule>
    <cfRule type="cellIs" dxfId="231" priority="322" operator="equal">
      <formula>2</formula>
    </cfRule>
    <cfRule type="cellIs" dxfId="230" priority="323" operator="equal">
      <formula>1</formula>
    </cfRule>
  </conditionalFormatting>
  <conditionalFormatting sqref="N27:N28">
    <cfRule type="cellIs" dxfId="229" priority="244" operator="equal">
      <formula>16</formula>
    </cfRule>
    <cfRule type="cellIs" dxfId="228" priority="245" operator="equal">
      <formula>15</formula>
    </cfRule>
    <cfRule type="cellIs" dxfId="227" priority="246" operator="equal">
      <formula>14</formula>
    </cfRule>
    <cfRule type="cellIs" dxfId="226" priority="247" operator="equal">
      <formula>13</formula>
    </cfRule>
    <cfRule type="cellIs" dxfId="225" priority="248" operator="equal">
      <formula>12</formula>
    </cfRule>
    <cfRule type="cellIs" dxfId="224" priority="249" operator="equal">
      <formula>11</formula>
    </cfRule>
    <cfRule type="cellIs" dxfId="223" priority="250" operator="equal">
      <formula>10</formula>
    </cfRule>
    <cfRule type="cellIs" dxfId="222" priority="251" operator="equal">
      <formula>9</formula>
    </cfRule>
    <cfRule type="cellIs" dxfId="221" priority="252" operator="equal">
      <formula>8</formula>
    </cfRule>
    <cfRule type="cellIs" dxfId="220" priority="253" operator="equal">
      <formula>7</formula>
    </cfRule>
    <cfRule type="cellIs" dxfId="219" priority="254" operator="equal">
      <formula>6</formula>
    </cfRule>
    <cfRule type="cellIs" dxfId="218" priority="255" operator="equal">
      <formula>5</formula>
    </cfRule>
    <cfRule type="cellIs" dxfId="217" priority="256" operator="equal">
      <formula>4</formula>
    </cfRule>
    <cfRule type="cellIs" dxfId="216" priority="257" operator="equal">
      <formula>3</formula>
    </cfRule>
    <cfRule type="cellIs" dxfId="215" priority="258" operator="equal">
      <formula>2</formula>
    </cfRule>
    <cfRule type="cellIs" dxfId="214" priority="259" operator="equal">
      <formula>1</formula>
    </cfRule>
  </conditionalFormatting>
  <conditionalFormatting sqref="R31:T31">
    <cfRule type="cellIs" dxfId="213" priority="83" operator="greaterThan">
      <formula>0</formula>
    </cfRule>
  </conditionalFormatting>
  <conditionalFormatting sqref="R32:T32">
    <cfRule type="cellIs" dxfId="212" priority="82" operator="greaterThan">
      <formula>0</formula>
    </cfRule>
  </conditionalFormatting>
  <conditionalFormatting sqref="R30:T30">
    <cfRule type="cellIs" dxfId="211" priority="81" operator="greaterThan">
      <formula>0</formula>
    </cfRule>
  </conditionalFormatting>
  <conditionalFormatting sqref="N6:N26">
    <cfRule type="cellIs" dxfId="210" priority="65" operator="equal">
      <formula>16</formula>
    </cfRule>
    <cfRule type="cellIs" dxfId="209" priority="66" operator="equal">
      <formula>15</formula>
    </cfRule>
    <cfRule type="cellIs" dxfId="208" priority="67" operator="equal">
      <formula>14</formula>
    </cfRule>
    <cfRule type="cellIs" dxfId="207" priority="68" operator="equal">
      <formula>13</formula>
    </cfRule>
    <cfRule type="cellIs" dxfId="206" priority="69" operator="equal">
      <formula>12</formula>
    </cfRule>
    <cfRule type="cellIs" dxfId="205" priority="70" operator="equal">
      <formula>11</formula>
    </cfRule>
    <cfRule type="cellIs" dxfId="204" priority="71" operator="equal">
      <formula>10</formula>
    </cfRule>
    <cfRule type="cellIs" dxfId="203" priority="72" operator="equal">
      <formula>9</formula>
    </cfRule>
    <cfRule type="cellIs" dxfId="202" priority="73" operator="equal">
      <formula>8</formula>
    </cfRule>
    <cfRule type="cellIs" dxfId="201" priority="74" operator="equal">
      <formula>7</formula>
    </cfRule>
    <cfRule type="cellIs" dxfId="200" priority="75" operator="equal">
      <formula>6</formula>
    </cfRule>
    <cfRule type="cellIs" dxfId="199" priority="76" operator="equal">
      <formula>5</formula>
    </cfRule>
    <cfRule type="cellIs" dxfId="198" priority="77" operator="equal">
      <formula>4</formula>
    </cfRule>
    <cfRule type="cellIs" dxfId="197" priority="78" operator="equal">
      <formula>3</formula>
    </cfRule>
    <cfRule type="cellIs" dxfId="196" priority="79" operator="equal">
      <formula>2</formula>
    </cfRule>
    <cfRule type="cellIs" dxfId="195" priority="80" operator="equal">
      <formula>1</formula>
    </cfRule>
  </conditionalFormatting>
  <conditionalFormatting sqref="N113:N118">
    <cfRule type="cellIs" dxfId="194" priority="49" operator="equal">
      <formula>16</formula>
    </cfRule>
    <cfRule type="cellIs" dxfId="193" priority="50" operator="equal">
      <formula>15</formula>
    </cfRule>
    <cfRule type="cellIs" dxfId="192" priority="51" operator="equal">
      <formula>14</formula>
    </cfRule>
    <cfRule type="cellIs" dxfId="191" priority="52" operator="equal">
      <formula>13</formula>
    </cfRule>
    <cfRule type="cellIs" dxfId="190" priority="53" operator="equal">
      <formula>12</formula>
    </cfRule>
    <cfRule type="cellIs" dxfId="189" priority="54" operator="equal">
      <formula>11</formula>
    </cfRule>
    <cfRule type="cellIs" dxfId="188" priority="55" operator="equal">
      <formula>10</formula>
    </cfRule>
    <cfRule type="cellIs" dxfId="187" priority="56" operator="equal">
      <formula>9</formula>
    </cfRule>
    <cfRule type="cellIs" dxfId="186" priority="57" operator="equal">
      <formula>8</formula>
    </cfRule>
    <cfRule type="cellIs" dxfId="185" priority="58" operator="equal">
      <formula>7</formula>
    </cfRule>
    <cfRule type="cellIs" dxfId="184" priority="59" operator="equal">
      <formula>6</formula>
    </cfRule>
    <cfRule type="cellIs" dxfId="183" priority="60" operator="equal">
      <formula>5</formula>
    </cfRule>
    <cfRule type="cellIs" dxfId="182" priority="61" operator="equal">
      <formula>4</formula>
    </cfRule>
    <cfRule type="cellIs" dxfId="181" priority="62" operator="equal">
      <formula>3</formula>
    </cfRule>
    <cfRule type="cellIs" dxfId="180" priority="63" operator="equal">
      <formula>2</formula>
    </cfRule>
    <cfRule type="cellIs" dxfId="179" priority="64" operator="equal">
      <formula>1</formula>
    </cfRule>
  </conditionalFormatting>
  <conditionalFormatting sqref="N112">
    <cfRule type="cellIs" dxfId="178" priority="33" operator="equal">
      <formula>16</formula>
    </cfRule>
    <cfRule type="cellIs" dxfId="177" priority="34" operator="equal">
      <formula>15</formula>
    </cfRule>
    <cfRule type="cellIs" dxfId="176" priority="35" operator="equal">
      <formula>14</formula>
    </cfRule>
    <cfRule type="cellIs" dxfId="175" priority="36" operator="equal">
      <formula>13</formula>
    </cfRule>
    <cfRule type="cellIs" dxfId="174" priority="37" operator="equal">
      <formula>12</formula>
    </cfRule>
    <cfRule type="cellIs" dxfId="173" priority="38" operator="equal">
      <formula>11</formula>
    </cfRule>
    <cfRule type="cellIs" dxfId="172" priority="39" operator="equal">
      <formula>10</formula>
    </cfRule>
    <cfRule type="cellIs" dxfId="171" priority="40" operator="equal">
      <formula>9</formula>
    </cfRule>
    <cfRule type="cellIs" dxfId="170" priority="41" operator="equal">
      <formula>8</formula>
    </cfRule>
    <cfRule type="cellIs" dxfId="169" priority="42" operator="equal">
      <formula>7</formula>
    </cfRule>
    <cfRule type="cellIs" dxfId="168" priority="43" operator="equal">
      <formula>6</formula>
    </cfRule>
    <cfRule type="cellIs" dxfId="167" priority="44" operator="equal">
      <formula>5</formula>
    </cfRule>
    <cfRule type="cellIs" dxfId="166" priority="45" operator="equal">
      <formula>4</formula>
    </cfRule>
    <cfRule type="cellIs" dxfId="165" priority="46" operator="equal">
      <formula>3</formula>
    </cfRule>
    <cfRule type="cellIs" dxfId="164" priority="47" operator="equal">
      <formula>2</formula>
    </cfRule>
    <cfRule type="cellIs" dxfId="163" priority="48" operator="equal">
      <formula>1</formula>
    </cfRule>
  </conditionalFormatting>
  <conditionalFormatting sqref="N91:N104">
    <cfRule type="cellIs" dxfId="162" priority="17" operator="equal">
      <formula>16</formula>
    </cfRule>
    <cfRule type="cellIs" dxfId="161" priority="18" operator="equal">
      <formula>15</formula>
    </cfRule>
    <cfRule type="cellIs" dxfId="160" priority="19" operator="equal">
      <formula>14</formula>
    </cfRule>
    <cfRule type="cellIs" dxfId="159" priority="20" operator="equal">
      <formula>13</formula>
    </cfRule>
    <cfRule type="cellIs" dxfId="158" priority="21" operator="equal">
      <formula>12</formula>
    </cfRule>
    <cfRule type="cellIs" dxfId="157" priority="22" operator="equal">
      <formula>11</formula>
    </cfRule>
    <cfRule type="cellIs" dxfId="156" priority="23" operator="equal">
      <formula>10</formula>
    </cfRule>
    <cfRule type="cellIs" dxfId="155" priority="24" operator="equal">
      <formula>9</formula>
    </cfRule>
    <cfRule type="cellIs" dxfId="154" priority="25" operator="equal">
      <formula>8</formula>
    </cfRule>
    <cfRule type="cellIs" dxfId="153" priority="26" operator="equal">
      <formula>7</formula>
    </cfRule>
    <cfRule type="cellIs" dxfId="152" priority="27" operator="equal">
      <formula>6</formula>
    </cfRule>
    <cfRule type="cellIs" dxfId="151" priority="28" operator="equal">
      <formula>5</formula>
    </cfRule>
    <cfRule type="cellIs" dxfId="150" priority="29" operator="equal">
      <formula>4</formula>
    </cfRule>
    <cfRule type="cellIs" dxfId="149" priority="30" operator="equal">
      <formula>3</formula>
    </cfRule>
    <cfRule type="cellIs" dxfId="148" priority="31" operator="equal">
      <formula>2</formula>
    </cfRule>
    <cfRule type="cellIs" dxfId="147" priority="32" operator="equal">
      <formula>1</formula>
    </cfRule>
  </conditionalFormatting>
  <conditionalFormatting sqref="N105:N111">
    <cfRule type="cellIs" dxfId="146" priority="1" operator="equal">
      <formula>16</formula>
    </cfRule>
    <cfRule type="cellIs" dxfId="145" priority="2" operator="equal">
      <formula>15</formula>
    </cfRule>
    <cfRule type="cellIs" dxfId="144" priority="3" operator="equal">
      <formula>14</formula>
    </cfRule>
    <cfRule type="cellIs" dxfId="143" priority="4" operator="equal">
      <formula>13</formula>
    </cfRule>
    <cfRule type="cellIs" dxfId="142" priority="5" operator="equal">
      <formula>12</formula>
    </cfRule>
    <cfRule type="cellIs" dxfId="141" priority="6" operator="equal">
      <formula>11</formula>
    </cfRule>
    <cfRule type="cellIs" dxfId="140" priority="7" operator="equal">
      <formula>10</formula>
    </cfRule>
    <cfRule type="cellIs" dxfId="139" priority="8" operator="equal">
      <formula>9</formula>
    </cfRule>
    <cfRule type="cellIs" dxfId="138" priority="9" operator="equal">
      <formula>8</formula>
    </cfRule>
    <cfRule type="cellIs" dxfId="137" priority="10" operator="equal">
      <formula>7</formula>
    </cfRule>
    <cfRule type="cellIs" dxfId="136" priority="11" operator="equal">
      <formula>6</formula>
    </cfRule>
    <cfRule type="cellIs" dxfId="135" priority="12" operator="equal">
      <formula>5</formula>
    </cfRule>
    <cfRule type="cellIs" dxfId="134" priority="13" operator="equal">
      <formula>4</formula>
    </cfRule>
    <cfRule type="cellIs" dxfId="133" priority="14" operator="equal">
      <formula>3</formula>
    </cfRule>
    <cfRule type="cellIs" dxfId="132" priority="15" operator="equal">
      <formula>2</formula>
    </cfRule>
    <cfRule type="cellIs" dxfId="131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59" activePane="bottomRight" state="frozen"/>
      <selection pane="topRight" activeCell="B1" sqref="B1"/>
      <selection pane="bottomLeft" activeCell="A3" sqref="A3"/>
      <selection pane="bottomRight" activeCell="B87" sqref="B8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ZA2XX: 59200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v>8.9544227179821689E-2</v>
      </c>
      <c r="C6" s="102">
        <v>-4.4690980252624088E-3</v>
      </c>
      <c r="D6" s="24">
        <f t="shared" ref="D6:D29" si="0">(B6+C6)</f>
        <v>8.5075129154559281E-2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1.7015025830911856E-2</v>
      </c>
      <c r="J6" s="24">
        <f t="shared" ref="J6:J13" si="3">IF(I$32&lt;=1+I$131,I6,B6*H6+J$33*(I6-B6*H6))</f>
        <v>1.78649292726351E-2</v>
      </c>
      <c r="K6" s="22">
        <f t="shared" ref="K6:K31" si="4">B6</f>
        <v>8.9544227179821689E-2</v>
      </c>
      <c r="L6" s="22">
        <f t="shared" ref="L6:L29" si="5">IF(K6="","",K6*H6)</f>
        <v>1.7908845435964337E-2</v>
      </c>
      <c r="M6" s="177">
        <f t="shared" ref="M6:M31" si="6">J6</f>
        <v>1.78649292726351E-2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7.1459717090540401E-2</v>
      </c>
      <c r="Z6" s="156">
        <f>Poor!Z6</f>
        <v>0.17</v>
      </c>
      <c r="AA6" s="121">
        <f>$M6*Z6*4</f>
        <v>1.2148151905391869E-2</v>
      </c>
      <c r="AB6" s="156">
        <f>Poor!AB6</f>
        <v>0.17</v>
      </c>
      <c r="AC6" s="121">
        <f t="shared" ref="AC6:AC29" si="7">$M6*AB6*4</f>
        <v>1.2148151905391869E-2</v>
      </c>
      <c r="AD6" s="156">
        <f>Poor!AD6</f>
        <v>0.33</v>
      </c>
      <c r="AE6" s="121">
        <f t="shared" ref="AE6:AE29" si="8">$M6*AD6*4</f>
        <v>2.3581706639878332E-2</v>
      </c>
      <c r="AF6" s="122">
        <f>1-SUM(Z6,AB6,AD6)</f>
        <v>0.32999999999999996</v>
      </c>
      <c r="AG6" s="121">
        <f>$M6*AF6*4</f>
        <v>2.3581706639878328E-2</v>
      </c>
      <c r="AH6" s="123">
        <f>SUM(Z6,AB6,AD6,AF6)</f>
        <v>1</v>
      </c>
      <c r="AI6" s="183">
        <f>SUM(AA6,AC6,AE6,AG6)/4</f>
        <v>1.78649292726351E-2</v>
      </c>
      <c r="AJ6" s="120">
        <f>(AA6+AC6)/2</f>
        <v>1.2148151905391869E-2</v>
      </c>
      <c r="AK6" s="119">
        <f>(AE6+AG6)/2</f>
        <v>2.3581706639878332E-2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v>1.5552461127913182E-2</v>
      </c>
      <c r="C7" s="102">
        <v>0</v>
      </c>
      <c r="D7" s="24">
        <f t="shared" si="0"/>
        <v>1.5552461127913182E-2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3.1104922255826366E-3</v>
      </c>
      <c r="J7" s="24">
        <f t="shared" si="3"/>
        <v>3.1104922255826366E-3</v>
      </c>
      <c r="K7" s="22">
        <f t="shared" si="4"/>
        <v>1.5552461127913182E-2</v>
      </c>
      <c r="L7" s="22">
        <f t="shared" si="5"/>
        <v>3.1104922255826366E-3</v>
      </c>
      <c r="M7" s="177">
        <f t="shared" si="6"/>
        <v>3.1104922255826366E-3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8224.1839802776612</v>
      </c>
      <c r="S7" s="221">
        <f>IF($B$81=0,0,(SUMIF($N$6:$N$28,$U7,L$6:L$28)+SUMIF($N$91:$N$118,$U7,L$91:L$118))*$I$83*Poor!$B$81/$B$81)</f>
        <v>2180.6710099291568</v>
      </c>
      <c r="T7" s="221">
        <f>IF($B$81=0,0,(SUMIF($N$6:$N$28,$U7,M$6:M$28)+SUMIF($N$91:$N$118,$U7,M$91:M$118))*$I$83*Poor!$B$81/$B$81)</f>
        <v>2366.9558938711443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1.2441968902330547E-2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1.2441968902330547E-2</v>
      </c>
      <c r="AH7" s="123">
        <f t="shared" ref="AH7:AH30" si="12">SUM(Z7,AB7,AD7,AF7)</f>
        <v>1</v>
      </c>
      <c r="AI7" s="183">
        <f t="shared" ref="AI7:AI30" si="13">SUM(AA7,AC7,AE7,AG7)/4</f>
        <v>3.1104922255826366E-3</v>
      </c>
      <c r="AJ7" s="120">
        <f t="shared" ref="AJ7:AJ31" si="14">(AA7+AC7)/2</f>
        <v>0</v>
      </c>
      <c r="AK7" s="119">
        <f t="shared" ref="AK7:AK31" si="15">(AE7+AG7)/2</f>
        <v>6.2209844511652733E-3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v>8.7276110604578072E-2</v>
      </c>
      <c r="C8" s="102">
        <v>0</v>
      </c>
      <c r="D8" s="24">
        <f t="shared" si="0"/>
        <v>8.7276110604578072E-2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1.7455222120915614E-2</v>
      </c>
      <c r="J8" s="24">
        <f t="shared" si="3"/>
        <v>1.7455222120915614E-2</v>
      </c>
      <c r="K8" s="22">
        <f t="shared" si="4"/>
        <v>8.7276110604578072E-2</v>
      </c>
      <c r="L8" s="22">
        <f t="shared" si="5"/>
        <v>1.7455222120915614E-2</v>
      </c>
      <c r="M8" s="223">
        <f t="shared" si="6"/>
        <v>1.7455222120915614E-2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29538.128220935763</v>
      </c>
      <c r="S8" s="221">
        <f>IF($B$81=0,0,(SUMIF($N$6:$N$28,$U8,L$6:L$28)+SUMIF($N$91:$N$118,$U8,L$91:L$118))*$I$83*Poor!$B$81/$B$81)</f>
        <v>6531.5485714285724</v>
      </c>
      <c r="T8" s="221">
        <f>IF($B$81=0,0,(SUMIF($N$6:$N$28,$U8,M$6:M$28)+SUMIF($N$91:$N$118,$U8,M$91:M$118))*$I$83*Poor!$B$81/$B$81)</f>
        <v>6308.3782713473729</v>
      </c>
      <c r="U8" s="222">
        <v>2</v>
      </c>
      <c r="V8" s="56"/>
      <c r="W8" s="115"/>
      <c r="X8" s="118">
        <f>Poor!X8</f>
        <v>1</v>
      </c>
      <c r="Y8" s="183">
        <f t="shared" si="9"/>
        <v>6.9820888483662455E-2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6.9820888483662455E-2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1.7455222120915614E-2</v>
      </c>
      <c r="AJ8" s="120">
        <f t="shared" si="14"/>
        <v>3.4910444241831227E-2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cons - Season 1: no of months</v>
      </c>
      <c r="B9" s="101">
        <v>4.6699016307893013E-2</v>
      </c>
      <c r="C9" s="102">
        <v>0.12978260665362035</v>
      </c>
      <c r="D9" s="24">
        <f t="shared" si="0"/>
        <v>0.17648162296151337</v>
      </c>
      <c r="E9" s="75">
        <f>Middle!E9</f>
        <v>0.2</v>
      </c>
      <c r="F9" s="76">
        <f>Poor!F9</f>
        <v>8800</v>
      </c>
      <c r="H9" s="24">
        <f t="shared" si="1"/>
        <v>0.2</v>
      </c>
      <c r="I9" s="22">
        <f t="shared" si="2"/>
        <v>3.5296324592302676E-2</v>
      </c>
      <c r="J9" s="24">
        <f t="shared" si="3"/>
        <v>1.0615128644659636E-2</v>
      </c>
      <c r="K9" s="22">
        <f t="shared" si="4"/>
        <v>4.6699016307893013E-2</v>
      </c>
      <c r="L9" s="22">
        <f t="shared" si="5"/>
        <v>9.3398032615786032E-3</v>
      </c>
      <c r="M9" s="223">
        <f t="shared" si="6"/>
        <v>1.0615128644659636E-2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3569.9639619260679</v>
      </c>
      <c r="S9" s="221">
        <f>IF($B$81=0,0,(SUMIF($N$6:$N$28,$U9,L$6:L$28)+SUMIF($N$91:$N$118,$U9,L$91:L$118))*$I$83*Poor!$B$81/$B$81)</f>
        <v>787.87772713630568</v>
      </c>
      <c r="T9" s="221">
        <f>IF($B$81=0,0,(SUMIF($N$6:$N$28,$U9,M$6:M$28)+SUMIF($N$91:$N$118,$U9,M$91:M$118))*$I$83*Poor!$B$81/$B$81)</f>
        <v>786.97841686104789</v>
      </c>
      <c r="U9" s="222">
        <v>3</v>
      </c>
      <c r="V9" s="56"/>
      <c r="W9" s="115"/>
      <c r="X9" s="118">
        <f>Poor!X9</f>
        <v>1</v>
      </c>
      <c r="Y9" s="183">
        <f t="shared" si="9"/>
        <v>4.2460514578638545E-2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4.2460514578638545E-2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1.0615128644659636E-2</v>
      </c>
      <c r="AJ9" s="120">
        <f t="shared" si="14"/>
        <v>2.1230257289319272E-2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v>0.15277720223269881</v>
      </c>
      <c r="C10" s="102">
        <v>0.47724023630136997</v>
      </c>
      <c r="D10" s="24">
        <f t="shared" si="0"/>
        <v>0.63001743853406877</v>
      </c>
      <c r="E10" s="75">
        <f>Middle!E10</f>
        <v>0.3</v>
      </c>
      <c r="H10" s="24">
        <f t="shared" si="1"/>
        <v>0.3</v>
      </c>
      <c r="I10" s="22">
        <f t="shared" si="2"/>
        <v>0.18900523156022062</v>
      </c>
      <c r="J10" s="24">
        <f t="shared" si="3"/>
        <v>5.2867653999186942E-2</v>
      </c>
      <c r="K10" s="22">
        <f t="shared" si="4"/>
        <v>0.15277720223269881</v>
      </c>
      <c r="L10" s="22">
        <f t="shared" si="5"/>
        <v>4.5833160669809643E-2</v>
      </c>
      <c r="M10" s="223">
        <f t="shared" si="6"/>
        <v>5.2867653999186942E-2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2457.1215149599761</v>
      </c>
      <c r="S10" s="221">
        <f>IF($B$81=0,0,(SUMIF($N$6:$N$28,$U10,L$6:L$28)+SUMIF($N$91:$N$118,$U10,L$91:L$118))*$I$83*Poor!$B$81/$B$81)</f>
        <v>387.81061224489798</v>
      </c>
      <c r="T10" s="221">
        <f>IF($B$81=0,0,(SUMIF($N$6:$N$28,$U10,M$6:M$28)+SUMIF($N$91:$N$118,$U10,M$91:M$118))*$I$83*Poor!$B$81/$B$81)</f>
        <v>393.49000208248066</v>
      </c>
      <c r="U10" s="222">
        <v>4</v>
      </c>
      <c r="V10" s="56"/>
      <c r="W10" s="115"/>
      <c r="X10" s="118">
        <f>Poor!X10</f>
        <v>1</v>
      </c>
      <c r="Y10" s="183">
        <f t="shared" si="9"/>
        <v>0.21147061599674777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0.21147061599674777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5.2867653999186942E-2</v>
      </c>
      <c r="AJ10" s="120">
        <f t="shared" si="14"/>
        <v>0.10573530799837388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Sorghum: kg produced</v>
      </c>
      <c r="B11" s="101">
        <v>2.5768695072051234E-2</v>
      </c>
      <c r="C11" s="102">
        <v>0</v>
      </c>
      <c r="D11" s="24">
        <f t="shared" si="0"/>
        <v>2.5768695072051234E-2</v>
      </c>
      <c r="E11" s="75">
        <f>Middle!E11</f>
        <v>0.3</v>
      </c>
      <c r="H11" s="24">
        <f t="shared" si="1"/>
        <v>0.3</v>
      </c>
      <c r="I11" s="22">
        <f t="shared" si="2"/>
        <v>7.7306085216153697E-3</v>
      </c>
      <c r="J11" s="24">
        <f t="shared" si="3"/>
        <v>7.7306085216153697E-3</v>
      </c>
      <c r="K11" s="22">
        <f t="shared" si="4"/>
        <v>2.5768695072051234E-2</v>
      </c>
      <c r="L11" s="22">
        <f t="shared" si="5"/>
        <v>7.7306085216153697E-3</v>
      </c>
      <c r="M11" s="223">
        <f t="shared" si="6"/>
        <v>7.7306085216153697E-3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38310.100854410244</v>
      </c>
      <c r="S11" s="221">
        <f>IF($B$81=0,0,(SUMIF($N$6:$N$28,$U11,L$6:L$28)+SUMIF($N$91:$N$118,$U11,L$91:L$118))*$I$83*Poor!$B$81/$B$81)</f>
        <v>15312.161632653064</v>
      </c>
      <c r="T11" s="221">
        <f>IF($B$81=0,0,(SUMIF($N$6:$N$28,$U11,M$6:M$28)+SUMIF($N$91:$N$118,$U11,M$91:M$118))*$I$83*Poor!$B$81/$B$81)</f>
        <v>15372.28270690874</v>
      </c>
      <c r="U11" s="222">
        <v>5</v>
      </c>
      <c r="V11" s="56"/>
      <c r="W11" s="115"/>
      <c r="X11" s="118">
        <f>Poor!X11</f>
        <v>1</v>
      </c>
      <c r="Y11" s="183">
        <f t="shared" si="9"/>
        <v>3.0922434086461479E-2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3.0922434086461479E-2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7.7306085216153697E-3</v>
      </c>
      <c r="AJ11" s="120">
        <f t="shared" si="14"/>
        <v>1.5461217043230739E-2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Beans: kg produced</v>
      </c>
      <c r="B12" s="101">
        <v>6.2482742892723708E-2</v>
      </c>
      <c r="C12" s="102">
        <v>-5.2646585571962294E-3</v>
      </c>
      <c r="D12" s="24">
        <f t="shared" si="0"/>
        <v>5.7218084335527476E-2</v>
      </c>
      <c r="E12" s="75">
        <f>Middle!E12</f>
        <v>0.2</v>
      </c>
      <c r="H12" s="24">
        <f t="shared" si="1"/>
        <v>0.2</v>
      </c>
      <c r="I12" s="22">
        <f t="shared" si="2"/>
        <v>1.1443616867105495E-2</v>
      </c>
      <c r="J12" s="24">
        <f t="shared" si="3"/>
        <v>1.2444814737898695E-2</v>
      </c>
      <c r="K12" s="22">
        <f t="shared" si="4"/>
        <v>6.2482742892723708E-2</v>
      </c>
      <c r="L12" s="22">
        <f t="shared" si="5"/>
        <v>1.2496548578544743E-2</v>
      </c>
      <c r="M12" s="223">
        <f t="shared" si="6"/>
        <v>1.2444814737898695E-2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31.033762813527726</v>
      </c>
      <c r="S12" s="221">
        <f>IF($B$81=0,0,(SUMIF($N$6:$N$28,$U12,L$6:L$28)+SUMIF($N$91:$N$118,$U12,L$91:L$118))*$I$83*Poor!$B$81/$B$81)</f>
        <v>34.245178341825223</v>
      </c>
      <c r="T12" s="221">
        <f>IF($B$81=0,0,(SUMIF($N$6:$N$28,$U12,M$6:M$28)+SUMIF($N$91:$N$118,$U12,M$91:M$118))*$I$83*Poor!$B$81/$B$81)</f>
        <v>34.665821622862381</v>
      </c>
      <c r="U12" s="222">
        <v>6</v>
      </c>
      <c r="V12" s="56"/>
      <c r="W12" s="117"/>
      <c r="X12" s="118"/>
      <c r="Y12" s="183">
        <f t="shared" si="9"/>
        <v>4.9779258951594782E-2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3.3352103497568508E-2</v>
      </c>
      <c r="AF12" s="122">
        <f>1-SUM(Z12,AB12,AD12)</f>
        <v>0.32999999999999996</v>
      </c>
      <c r="AG12" s="121">
        <f>$M12*AF12*4</f>
        <v>1.6427155454026277E-2</v>
      </c>
      <c r="AH12" s="123">
        <f t="shared" si="12"/>
        <v>1</v>
      </c>
      <c r="AI12" s="183">
        <f t="shared" si="13"/>
        <v>1.2444814737898695E-2</v>
      </c>
      <c r="AJ12" s="120">
        <f t="shared" si="14"/>
        <v>0</v>
      </c>
      <c r="AK12" s="119">
        <f t="shared" si="15"/>
        <v>2.4889629475797391E-2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Cassava: no. local meas.</v>
      </c>
      <c r="B13" s="101">
        <v>0</v>
      </c>
      <c r="C13" s="102">
        <v>0</v>
      </c>
      <c r="D13" s="24">
        <f t="shared" si="0"/>
        <v>0</v>
      </c>
      <c r="E13" s="75">
        <f>Middle!E13</f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Sweetpotatoes: no. local meas.</v>
      </c>
      <c r="B14" s="101">
        <v>4.0450631649172744E-2</v>
      </c>
      <c r="C14" s="102">
        <v>3.7809198096424128E-2</v>
      </c>
      <c r="D14" s="24">
        <f t="shared" si="0"/>
        <v>7.8259829745596865E-2</v>
      </c>
      <c r="E14" s="75">
        <f>Middle!E14</f>
        <v>0.2</v>
      </c>
      <c r="F14" s="22"/>
      <c r="H14" s="24">
        <f t="shared" si="1"/>
        <v>0.2</v>
      </c>
      <c r="I14" s="22">
        <f t="shared" si="2"/>
        <v>1.5651965949119374E-2</v>
      </c>
      <c r="J14" s="24">
        <f>IF(I$32&lt;=1+I131,I14,B14*H14+J$33*(I14-B14*H14))</f>
        <v>8.461663250610086E-3</v>
      </c>
      <c r="K14" s="22">
        <f t="shared" si="4"/>
        <v>4.0450631649172744E-2</v>
      </c>
      <c r="L14" s="22">
        <f t="shared" si="5"/>
        <v>8.0901263298345499E-3</v>
      </c>
      <c r="M14" s="224">
        <f t="shared" si="6"/>
        <v>8.461663250610086E-3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192985.96125247487</v>
      </c>
      <c r="S14" s="221">
        <f>IF($B$81=0,0,(SUMIF($N$6:$N$28,$U14,L$6:L$28)+SUMIF($N$91:$N$118,$U14,L$91:L$118))*$I$83*Poor!$B$81/$B$81)</f>
        <v>91377.658775510194</v>
      </c>
      <c r="T14" s="221">
        <f>IF($B$81=0,0,(SUMIF($N$6:$N$28,$U14,M$6:M$28)+SUMIF($N$91:$N$118,$U14,M$91:M$118))*$I$83*Poor!$B$81/$B$81)</f>
        <v>91377.658775510194</v>
      </c>
      <c r="U14" s="222">
        <v>8</v>
      </c>
      <c r="V14" s="56"/>
      <c r="W14" s="110"/>
      <c r="X14" s="118"/>
      <c r="Y14" s="183">
        <f>M14*4</f>
        <v>3.3846653002440344E-2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3.3846653002440344E-2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8.461663250610086E-3</v>
      </c>
      <c r="AJ14" s="120">
        <f t="shared" si="14"/>
        <v>1.6923326501220172E-2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Cabbage: no. local meas</v>
      </c>
      <c r="B15" s="101">
        <v>1.9401979229674435E-2</v>
      </c>
      <c r="C15" s="102">
        <v>2.198404509873688E-2</v>
      </c>
      <c r="D15" s="24">
        <f t="shared" si="0"/>
        <v>4.1386024328411319E-2</v>
      </c>
      <c r="E15" s="75">
        <f>Middle!E15</f>
        <v>0.2</v>
      </c>
      <c r="F15" s="22"/>
      <c r="H15" s="24">
        <f t="shared" si="1"/>
        <v>0.2</v>
      </c>
      <c r="I15" s="22">
        <f t="shared" si="2"/>
        <v>8.2772048656822635E-3</v>
      </c>
      <c r="J15" s="24">
        <f>IF(I$32&lt;=1+I131,I15,B15*H15+J$33*(I15-B15*H15))</f>
        <v>4.0964248767898876E-3</v>
      </c>
      <c r="K15" s="22">
        <f t="shared" si="4"/>
        <v>1.9401979229674435E-2</v>
      </c>
      <c r="L15" s="22">
        <f t="shared" si="5"/>
        <v>3.8803958459348873E-3</v>
      </c>
      <c r="M15" s="225">
        <f t="shared" si="6"/>
        <v>4.0964248767898876E-3</v>
      </c>
      <c r="N15" s="228">
        <v>1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1904.1776270926782</v>
      </c>
      <c r="S15" s="221">
        <f>IF($B$81=0,0,(SUMIF($N$6:$N$28,$U15,L$6:L$28)+SUMIF($N$91:$N$118,$U15,L$91:L$118))*$I$83*Poor!$B$81/$B$81)</f>
        <v>1502.6938775510205</v>
      </c>
      <c r="T15" s="221">
        <f>IF($B$81=0,0,(SUMIF($N$6:$N$28,$U15,M$6:M$28)+SUMIF($N$91:$N$118,$U15,M$91:M$118))*$I$83*Poor!$B$81/$B$81)</f>
        <v>1502.6938775510205</v>
      </c>
      <c r="U15" s="222">
        <v>9</v>
      </c>
      <c r="V15" s="56"/>
      <c r="W15" s="110"/>
      <c r="X15" s="118"/>
      <c r="Y15" s="183">
        <f t="shared" si="9"/>
        <v>1.6385699507159551E-2</v>
      </c>
      <c r="Z15" s="156">
        <f>Poor!Z15</f>
        <v>0.25</v>
      </c>
      <c r="AA15" s="121">
        <f t="shared" si="16"/>
        <v>4.0964248767898876E-3</v>
      </c>
      <c r="AB15" s="156">
        <f>Poor!AB15</f>
        <v>0.25</v>
      </c>
      <c r="AC15" s="121">
        <f t="shared" si="7"/>
        <v>4.0964248767898876E-3</v>
      </c>
      <c r="AD15" s="156">
        <f>Poor!AD15</f>
        <v>0.25</v>
      </c>
      <c r="AE15" s="121">
        <f t="shared" si="8"/>
        <v>4.0964248767898876E-3</v>
      </c>
      <c r="AF15" s="122">
        <f t="shared" si="10"/>
        <v>0.25</v>
      </c>
      <c r="AG15" s="121">
        <f t="shared" si="11"/>
        <v>4.0964248767898876E-3</v>
      </c>
      <c r="AH15" s="123">
        <f t="shared" si="12"/>
        <v>1</v>
      </c>
      <c r="AI15" s="183">
        <f t="shared" si="13"/>
        <v>4.0964248767898876E-3</v>
      </c>
      <c r="AJ15" s="120">
        <f t="shared" si="14"/>
        <v>4.0964248767898876E-3</v>
      </c>
      <c r="AK15" s="119">
        <f t="shared" si="15"/>
        <v>4.0964248767898876E-3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 xml:space="preserve">Potatoes: no. local meas </v>
      </c>
      <c r="B16" s="101">
        <v>9.422156990650141E-3</v>
      </c>
      <c r="C16" s="102">
        <v>7.9768823261973966E-3</v>
      </c>
      <c r="D16" s="24">
        <f t="shared" si="0"/>
        <v>1.7399039316847539E-2</v>
      </c>
      <c r="E16" s="75">
        <f>Middle!E16</f>
        <v>0.2</v>
      </c>
      <c r="F16" s="22"/>
      <c r="H16" s="24">
        <f t="shared" si="1"/>
        <v>0.2</v>
      </c>
      <c r="I16" s="22">
        <f t="shared" si="2"/>
        <v>3.479807863369508E-3</v>
      </c>
      <c r="J16" s="24">
        <f>IF(I$32&lt;=1+I131,I16,B16*H16+J$33*(I16-B16*H16))</f>
        <v>1.9628172525273072E-3</v>
      </c>
      <c r="K16" s="22">
        <f t="shared" si="4"/>
        <v>9.422156990650141E-3</v>
      </c>
      <c r="L16" s="22">
        <f t="shared" si="5"/>
        <v>1.8844313981300283E-3</v>
      </c>
      <c r="M16" s="223">
        <f t="shared" si="6"/>
        <v>1.9628172525273072E-3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1464.7520208405217</v>
      </c>
      <c r="S16" s="221">
        <f>IF($B$81=0,0,(SUMIF($N$6:$N$28,$U16,L$6:L$28)+SUMIF($N$91:$N$118,$U16,L$91:L$118))*$I$83*Poor!$B$81/$B$81)</f>
        <v>783.67346938775495</v>
      </c>
      <c r="T16" s="221">
        <f>IF($B$81=0,0,(SUMIF($N$6:$N$28,$U16,M$6:M$28)+SUMIF($N$91:$N$118,$U16,M$91:M$118))*$I$83*Poor!$B$81/$B$81)</f>
        <v>791.37433696413848</v>
      </c>
      <c r="U16" s="222">
        <v>10</v>
      </c>
      <c r="V16" s="56"/>
      <c r="W16" s="110"/>
      <c r="X16" s="118"/>
      <c r="Y16" s="183">
        <f t="shared" si="9"/>
        <v>7.8512690101092287E-3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7.8512690101092287E-3</v>
      </c>
      <c r="AH16" s="123">
        <f t="shared" si="12"/>
        <v>1</v>
      </c>
      <c r="AI16" s="183">
        <f t="shared" si="13"/>
        <v>1.9628172525273072E-3</v>
      </c>
      <c r="AJ16" s="120">
        <f t="shared" si="14"/>
        <v>0</v>
      </c>
      <c r="AK16" s="119">
        <f t="shared" si="15"/>
        <v>3.9256345050546143E-3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 xml:space="preserve">Pumpkin / butternut </v>
      </c>
      <c r="B17" s="101">
        <v>6.4470208148016362E-3</v>
      </c>
      <c r="C17" s="102">
        <v>4.5591700764988441E-3</v>
      </c>
      <c r="D17" s="24">
        <f t="shared" si="0"/>
        <v>1.100619089130048E-2</v>
      </c>
      <c r="E17" s="75">
        <f>Middle!E17</f>
        <v>0.2</v>
      </c>
      <c r="F17" s="22"/>
      <c r="H17" s="24">
        <f t="shared" si="1"/>
        <v>0.2</v>
      </c>
      <c r="I17" s="22">
        <f t="shared" si="2"/>
        <v>2.2012381782600962E-3</v>
      </c>
      <c r="J17" s="24">
        <f t="shared" ref="J17:J25" si="17">IF(I$32&lt;=1+I131,I17,B17*H17+J$33*(I17-B17*H17))</f>
        <v>1.3342054308209794E-3</v>
      </c>
      <c r="K17" s="22">
        <f t="shared" si="4"/>
        <v>6.4470208148016362E-3</v>
      </c>
      <c r="L17" s="22">
        <f t="shared" si="5"/>
        <v>1.2894041629603274E-3</v>
      </c>
      <c r="M17" s="224">
        <f t="shared" si="6"/>
        <v>1.3342054308209794E-3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63180.613666935067</v>
      </c>
      <c r="S17" s="221">
        <f>IF($B$81=0,0,(SUMIF($N$6:$N$28,$U17,L$6:L$28)+SUMIF($N$91:$N$118,$U17,L$91:L$118))*$I$83*Poor!$B$81/$B$81)</f>
        <v>39887.506285714284</v>
      </c>
      <c r="T17" s="221">
        <f>IF($B$81=0,0,(SUMIF($N$6:$N$28,$U17,M$6:M$28)+SUMIF($N$91:$N$118,$U17,M$91:M$118))*$I$83*Poor!$B$81/$B$81)</f>
        <v>39887.506285714284</v>
      </c>
      <c r="U17" s="222">
        <v>11</v>
      </c>
      <c r="V17" s="56"/>
      <c r="W17" s="110"/>
      <c r="X17" s="118"/>
      <c r="Y17" s="183">
        <f t="shared" si="9"/>
        <v>5.3368217232839174E-3</v>
      </c>
      <c r="Z17" s="156">
        <f>Poor!Z17</f>
        <v>0.29409999999999997</v>
      </c>
      <c r="AA17" s="121">
        <f t="shared" si="16"/>
        <v>1.5695592688177999E-3</v>
      </c>
      <c r="AB17" s="156">
        <f>Poor!AB17</f>
        <v>0.17649999999999999</v>
      </c>
      <c r="AC17" s="121">
        <f t="shared" si="7"/>
        <v>9.4194903415961142E-4</v>
      </c>
      <c r="AD17" s="156">
        <f>Poor!AD17</f>
        <v>0.23530000000000001</v>
      </c>
      <c r="AE17" s="121">
        <f t="shared" si="8"/>
        <v>1.2557541514887059E-3</v>
      </c>
      <c r="AF17" s="122">
        <f t="shared" si="10"/>
        <v>0.29410000000000003</v>
      </c>
      <c r="AG17" s="121">
        <f t="shared" si="11"/>
        <v>1.5695592688178002E-3</v>
      </c>
      <c r="AH17" s="123">
        <f t="shared" si="12"/>
        <v>1</v>
      </c>
      <c r="AI17" s="183">
        <f t="shared" si="13"/>
        <v>1.3342054308209794E-3</v>
      </c>
      <c r="AJ17" s="120">
        <f t="shared" si="14"/>
        <v>1.2557541514887057E-3</v>
      </c>
      <c r="AK17" s="119">
        <f t="shared" si="15"/>
        <v>1.412656710153253E-3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Tomatoes</v>
      </c>
      <c r="B18" s="101">
        <v>9.5927661892901608E-3</v>
      </c>
      <c r="C18" s="102">
        <v>1.4411121241771927E-3</v>
      </c>
      <c r="D18" s="24">
        <f t="shared" ref="D18:D25" si="18">(B18+C18)</f>
        <v>1.1033878313467353E-2</v>
      </c>
      <c r="E18" s="75">
        <f>Middle!E18</f>
        <v>0.2</v>
      </c>
      <c r="F18" s="22"/>
      <c r="H18" s="24">
        <f t="shared" ref="H18:H25" si="19">(E18*F$7/F$9)</f>
        <v>0.2</v>
      </c>
      <c r="I18" s="22">
        <f t="shared" ref="I18:I25" si="20">(D18*H18)</f>
        <v>2.2067756626934706E-3</v>
      </c>
      <c r="J18" s="24">
        <f t="shared" si="17"/>
        <v>1.9327145104601011E-3</v>
      </c>
      <c r="K18" s="22">
        <f t="shared" ref="K18:K25" si="21">B18</f>
        <v>9.5927661892901608E-3</v>
      </c>
      <c r="L18" s="22">
        <f t="shared" ref="L18:L25" si="22">IF(K18="","",K18*H18)</f>
        <v>1.9185532378580322E-3</v>
      </c>
      <c r="M18" s="224">
        <f t="shared" ref="M18:M25" si="23">J18</f>
        <v>1.9327145104601011E-3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995.90674281642259</v>
      </c>
      <c r="S18" s="221">
        <f>IF($B$81=0,0,(SUMIF($N$6:$N$28,$U18,L$6:L$28)+SUMIF($N$91:$N$118,$U18,L$91:L$118))*$I$83*Poor!$B$81/$B$81)</f>
        <v>1098.9645124408878</v>
      </c>
      <c r="T18" s="221">
        <f>IF($B$81=0,0,(SUMIF($N$6:$N$28,$U18,M$6:M$28)+SUMIF($N$91:$N$118,$U18,M$91:M$118))*$I$83*Poor!$B$81/$B$81)</f>
        <v>1098.9645124408878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Groundnuts (dry): no. local meas</v>
      </c>
      <c r="B19" s="101">
        <v>4.3885306102117064E-2</v>
      </c>
      <c r="C19" s="102">
        <v>1.3007954100693827E-2</v>
      </c>
      <c r="D19" s="24">
        <f t="shared" si="18"/>
        <v>5.6893260202810894E-2</v>
      </c>
      <c r="E19" s="75">
        <f>Middle!E19</f>
        <v>0.2</v>
      </c>
      <c r="F19" s="22"/>
      <c r="H19" s="24">
        <f t="shared" si="19"/>
        <v>0.2</v>
      </c>
      <c r="I19" s="22">
        <f t="shared" si="20"/>
        <v>1.137865204056218E-2</v>
      </c>
      <c r="J19" s="24">
        <f t="shared" si="17"/>
        <v>8.9048855450715031E-3</v>
      </c>
      <c r="K19" s="22">
        <f t="shared" si="21"/>
        <v>4.3885306102117064E-2</v>
      </c>
      <c r="L19" s="22">
        <f t="shared" si="22"/>
        <v>8.7770612204234131E-3</v>
      </c>
      <c r="M19" s="224">
        <f t="shared" si="23"/>
        <v>8.9048855450715031E-3</v>
      </c>
      <c r="N19" s="228">
        <v>1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141.77349312780316</v>
      </c>
      <c r="S19" s="221">
        <f>IF($B$81=0,0,(SUMIF($N$6:$N$28,$U19,L$6:L$28)+SUMIF($N$91:$N$118,$U19,L$91:L$118))*$I$83*Poor!$B$81/$B$81)</f>
        <v>156.4444049365749</v>
      </c>
      <c r="T19" s="221">
        <f>IF($B$81=0,0,(SUMIF($N$6:$N$28,$U19,M$6:M$28)+SUMIF($N$91:$N$118,$U19,M$91:M$118))*$I$83*Poor!$B$81/$B$81)</f>
        <v>156.4444049365749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Cowpeas: kg produced</v>
      </c>
      <c r="B20" s="101">
        <v>2.3116409535669815E-2</v>
      </c>
      <c r="C20" s="102">
        <v>-1.1396199964419141E-3</v>
      </c>
      <c r="D20" s="24">
        <f t="shared" si="18"/>
        <v>2.1976789539227902E-2</v>
      </c>
      <c r="E20" s="75">
        <f>Middle!E20</f>
        <v>0.2</v>
      </c>
      <c r="F20" s="22"/>
      <c r="H20" s="24">
        <f t="shared" si="19"/>
        <v>0.2</v>
      </c>
      <c r="I20" s="22">
        <f t="shared" si="20"/>
        <v>4.3953579078455807E-3</v>
      </c>
      <c r="J20" s="24">
        <f t="shared" si="17"/>
        <v>4.6120832854850084E-3</v>
      </c>
      <c r="K20" s="22">
        <f t="shared" si="21"/>
        <v>2.3116409535669815E-2</v>
      </c>
      <c r="L20" s="22">
        <f t="shared" si="22"/>
        <v>4.6232819071339634E-3</v>
      </c>
      <c r="M20" s="224">
        <f t="shared" si="23"/>
        <v>4.6120832854850084E-3</v>
      </c>
      <c r="N20" s="228">
        <v>1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14854.008077146314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Onions: kg produced</v>
      </c>
      <c r="B21" s="101">
        <v>3.1284153175591529E-3</v>
      </c>
      <c r="C21" s="102">
        <v>-2.7936532645436756E-4</v>
      </c>
      <c r="D21" s="24">
        <f t="shared" si="18"/>
        <v>2.8490499911047852E-3</v>
      </c>
      <c r="E21" s="75">
        <f>Middle!E21</f>
        <v>0.2</v>
      </c>
      <c r="F21" s="22"/>
      <c r="H21" s="24">
        <f t="shared" si="19"/>
        <v>0.2</v>
      </c>
      <c r="I21" s="22">
        <f t="shared" si="20"/>
        <v>5.6980999822095707E-4</v>
      </c>
      <c r="J21" s="24">
        <f t="shared" si="17"/>
        <v>6.2293784440145431E-4</v>
      </c>
      <c r="K21" s="22">
        <f t="shared" si="21"/>
        <v>3.1284153175591529E-3</v>
      </c>
      <c r="L21" s="22">
        <f t="shared" si="22"/>
        <v>6.2568306351183059E-4</v>
      </c>
      <c r="M21" s="224">
        <f t="shared" si="23"/>
        <v>6.2293784440145431E-4</v>
      </c>
      <c r="N21" s="228">
        <v>1</v>
      </c>
      <c r="O21" s="2"/>
      <c r="P21" s="22"/>
      <c r="Q21" s="59" t="s">
        <v>82</v>
      </c>
      <c r="R21" s="221">
        <f>IF($B$81=0,0,(SUMIF($N$6:$N$28,$U21,K$6:K$28)+SUMIF($N$91:$N$118,$U21,K$91:K$118))*$B$83*$H$84*Poor!$B$81/$B$81)</f>
        <v>10326.501746925682</v>
      </c>
      <c r="S21" s="221">
        <f>IF($B$81=0,0,(SUMIF($N$6:$N$28,$U21,L$6:L$28)+SUMIF($N$91:$N$118,$U21,L$91:L$118))*$I$83*Poor!$B$81/$B$81)</f>
        <v>7665.7959183673474</v>
      </c>
      <c r="T21" s="221">
        <f>IF($B$81=0,0,(SUMIF($N$6:$N$28,$U21,M$6:M$28)+SUMIF($N$91:$N$118,$U21,M$91:M$118))*$I$83*Poor!$B$81/$B$81)</f>
        <v>7665.7959183673474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FISHING -- see worksheet Data 3</v>
      </c>
      <c r="B22" s="101">
        <v>1.6723003024372888E-3</v>
      </c>
      <c r="C22" s="102">
        <v>4.1807507560932225E-4</v>
      </c>
      <c r="D22" s="24">
        <f t="shared" si="18"/>
        <v>2.0903753780466112E-3</v>
      </c>
      <c r="E22" s="75">
        <f>Middle!E22</f>
        <v>1</v>
      </c>
      <c r="F22" s="22"/>
      <c r="H22" s="24">
        <f t="shared" si="19"/>
        <v>1</v>
      </c>
      <c r="I22" s="22">
        <f t="shared" si="20"/>
        <v>2.0903753780466112E-3</v>
      </c>
      <c r="J22" s="24">
        <f t="shared" si="17"/>
        <v>1.6928416434422939E-3</v>
      </c>
      <c r="K22" s="22">
        <f t="shared" si="21"/>
        <v>1.6723003024372888E-3</v>
      </c>
      <c r="L22" s="22">
        <f t="shared" si="22"/>
        <v>1.6723003024372888E-3</v>
      </c>
      <c r="M22" s="224">
        <f t="shared" si="23"/>
        <v>1.6928416434422939E-3</v>
      </c>
      <c r="N22" s="228">
        <v>6</v>
      </c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>Labour: Land prep &amp; weeding, slaughtering</v>
      </c>
      <c r="B23" s="101">
        <v>0</v>
      </c>
      <c r="C23" s="102">
        <v>0</v>
      </c>
      <c r="D23" s="24">
        <f t="shared" si="18"/>
        <v>0</v>
      </c>
      <c r="E23" s="75">
        <f>Middle!E23</f>
        <v>0.5</v>
      </c>
      <c r="F23" s="22"/>
      <c r="H23" s="24">
        <f t="shared" si="19"/>
        <v>0.5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>
        <v>7</v>
      </c>
      <c r="O23" s="2"/>
      <c r="P23" s="22"/>
      <c r="Q23" s="171" t="s">
        <v>100</v>
      </c>
      <c r="R23" s="179">
        <f>SUM(R7:R22)</f>
        <v>367984.22692268266</v>
      </c>
      <c r="S23" s="179">
        <f>SUM(S7:S22)</f>
        <v>167707.05197564187</v>
      </c>
      <c r="T23" s="179">
        <f>SUM(T7:T22)</f>
        <v>167743.18922417809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>Labour: Harvesting</v>
      </c>
      <c r="B24" s="101">
        <v>0</v>
      </c>
      <c r="C24" s="102">
        <v>0</v>
      </c>
      <c r="D24" s="24">
        <f t="shared" si="18"/>
        <v>0</v>
      </c>
      <c r="E24" s="75">
        <f>Middle!E24</f>
        <v>0.5</v>
      </c>
      <c r="F24" s="22"/>
      <c r="H24" s="24">
        <f t="shared" si="19"/>
        <v>0.5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>
        <v>7</v>
      </c>
      <c r="O24" s="2"/>
      <c r="P24" s="22"/>
      <c r="Q24" s="59" t="s">
        <v>137</v>
      </c>
      <c r="R24" s="41">
        <f>IF($B$81=0,0,(SUM(($B$70*$H$70))+((1-$D$29)*$I$83))*Poor!$B$81/$B$81)</f>
        <v>37756.621173113177</v>
      </c>
      <c r="S24" s="41">
        <f>IF($B$81=0,0,(SUM(($B$70*$H$70))+((1-$D$29)*$I$83))*Poor!$B$81/$B$81)</f>
        <v>37756.621173113177</v>
      </c>
      <c r="T24" s="41">
        <f>IF($B$81=0,0,(SUM(($B$70*$H$70))+((1-$D$29)*$I$83))*Poor!$B$81/$B$81)</f>
        <v>37756.621173113177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>Gifts/remittances: Events(Funerals, weddings)</v>
      </c>
      <c r="B25" s="101">
        <v>7.6396747909624621E-3</v>
      </c>
      <c r="C25" s="102">
        <v>0</v>
      </c>
      <c r="D25" s="24">
        <f t="shared" si="18"/>
        <v>7.6396747909624621E-3</v>
      </c>
      <c r="E25" s="75">
        <f>Middle!E25</f>
        <v>1</v>
      </c>
      <c r="F25" s="22"/>
      <c r="H25" s="24">
        <f t="shared" si="19"/>
        <v>1</v>
      </c>
      <c r="I25" s="22">
        <f t="shared" si="20"/>
        <v>7.6396747909624621E-3</v>
      </c>
      <c r="J25" s="24">
        <f t="shared" si="17"/>
        <v>7.6396747909624621E-3</v>
      </c>
      <c r="K25" s="22">
        <f t="shared" si="21"/>
        <v>7.6396747909624621E-3</v>
      </c>
      <c r="L25" s="22">
        <f t="shared" si="22"/>
        <v>7.6396747909624621E-3</v>
      </c>
      <c r="M25" s="224">
        <f t="shared" si="23"/>
        <v>7.6396747909624621E-3</v>
      </c>
      <c r="N25" s="228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56196.216275153995</v>
      </c>
      <c r="S25" s="41">
        <f>IF($B$81=0,0,(SUM(($B$70*$H$70),($B$71*$H$71))+((1-$D$29)*$I$83))*Poor!$B$81/$B$81)</f>
        <v>56196.216275153995</v>
      </c>
      <c r="T25" s="41">
        <f>IF($B$81=0,0,(SUM(($B$70*$H$70),($B$71*$H$71))+((1-$D$29)*$I$83))*Poor!$B$81/$B$81)</f>
        <v>56196.216275153995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v>5.3665910808767946E-2</v>
      </c>
      <c r="C26" s="102">
        <v>0</v>
      </c>
      <c r="D26" s="24">
        <f t="shared" si="0"/>
        <v>5.3665910808767946E-2</v>
      </c>
      <c r="E26" s="75">
        <f>Middle!E26</f>
        <v>1</v>
      </c>
      <c r="F26" s="22"/>
      <c r="H26" s="24">
        <f t="shared" si="1"/>
        <v>1</v>
      </c>
      <c r="I26" s="22">
        <f t="shared" si="2"/>
        <v>5.3665910808767946E-2</v>
      </c>
      <c r="J26" s="24">
        <f>IF(I$32&lt;=1+I131,I26,B26*H26+J$33*(I26-B26*H26))</f>
        <v>5.3665910808767946E-2</v>
      </c>
      <c r="K26" s="22">
        <f t="shared" si="4"/>
        <v>5.3665910808767946E-2</v>
      </c>
      <c r="L26" s="22">
        <f t="shared" si="5"/>
        <v>5.3665910808767946E-2</v>
      </c>
      <c r="M26" s="223">
        <f t="shared" si="6"/>
        <v>5.3665910808767946E-2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90270.377907807037</v>
      </c>
      <c r="S26" s="41">
        <f>IF($B$81=0,0,(SUM(($B$70*$H$70),($B$71*$H$71),($B$72*$H$72))+((1-$D$29)*$I$83))*Poor!$B$81/$B$81)</f>
        <v>90270.377907807037</v>
      </c>
      <c r="T26" s="41">
        <f>IF($B$81=0,0,(SUM(($B$70*$H$70),($B$71*$H$71),($B$72*$H$72))+((1-$D$29)*$I$83))*Poor!$B$81/$B$81)</f>
        <v>90270.377907807037</v>
      </c>
      <c r="U26" s="56"/>
      <c r="V26" s="56"/>
      <c r="W26" s="110"/>
      <c r="X26" s="118"/>
      <c r="Y26" s="183">
        <f t="shared" si="9"/>
        <v>0.21466364323507178</v>
      </c>
      <c r="Z26" s="156">
        <f>Poor!Z26</f>
        <v>0.25</v>
      </c>
      <c r="AA26" s="121">
        <f t="shared" si="16"/>
        <v>5.3665910808767946E-2</v>
      </c>
      <c r="AB26" s="156">
        <f>Poor!AB26</f>
        <v>0.25</v>
      </c>
      <c r="AC26" s="121">
        <f t="shared" si="7"/>
        <v>5.3665910808767946E-2</v>
      </c>
      <c r="AD26" s="156">
        <f>Poor!AD26</f>
        <v>0.25</v>
      </c>
      <c r="AE26" s="121">
        <f t="shared" si="8"/>
        <v>5.3665910808767946E-2</v>
      </c>
      <c r="AF26" s="122">
        <f t="shared" si="10"/>
        <v>0.25</v>
      </c>
      <c r="AG26" s="121">
        <f t="shared" si="11"/>
        <v>5.3665910808767946E-2</v>
      </c>
      <c r="AH26" s="123">
        <f t="shared" si="12"/>
        <v>1</v>
      </c>
      <c r="AI26" s="183">
        <f t="shared" si="13"/>
        <v>5.3665910808767946E-2</v>
      </c>
      <c r="AJ26" s="120">
        <f t="shared" si="14"/>
        <v>5.3665910808767946E-2</v>
      </c>
      <c r="AK26" s="119">
        <f t="shared" si="15"/>
        <v>5.3665910808767946E-2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v>3.1215470337425128E-2</v>
      </c>
      <c r="C27" s="102">
        <v>-3.1215470337425128E-2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2.9681756279254731E-2</v>
      </c>
      <c r="K27" s="22">
        <f t="shared" si="4"/>
        <v>3.1215470337425128E-2</v>
      </c>
      <c r="L27" s="22">
        <f t="shared" si="5"/>
        <v>3.1215470337425128E-2</v>
      </c>
      <c r="M27" s="225">
        <f t="shared" si="6"/>
        <v>2.9681756279254731E-2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0.11872702511701892</v>
      </c>
      <c r="Z27" s="156">
        <f>Poor!Z27</f>
        <v>0.25</v>
      </c>
      <c r="AA27" s="121">
        <f t="shared" si="16"/>
        <v>2.9681756279254731E-2</v>
      </c>
      <c r="AB27" s="156">
        <f>Poor!AB27</f>
        <v>0.25</v>
      </c>
      <c r="AC27" s="121">
        <f t="shared" si="7"/>
        <v>2.9681756279254731E-2</v>
      </c>
      <c r="AD27" s="156">
        <f>Poor!AD27</f>
        <v>0.25</v>
      </c>
      <c r="AE27" s="121">
        <f t="shared" si="8"/>
        <v>2.9681756279254731E-2</v>
      </c>
      <c r="AF27" s="122">
        <f t="shared" si="10"/>
        <v>0.25</v>
      </c>
      <c r="AG27" s="121">
        <f t="shared" si="11"/>
        <v>2.9681756279254731E-2</v>
      </c>
      <c r="AH27" s="123">
        <f t="shared" si="12"/>
        <v>1</v>
      </c>
      <c r="AI27" s="183">
        <f t="shared" si="13"/>
        <v>2.9681756279254731E-2</v>
      </c>
      <c r="AJ27" s="120">
        <f t="shared" si="14"/>
        <v>2.9681756279254731E-2</v>
      </c>
      <c r="AK27" s="119">
        <f t="shared" si="15"/>
        <v>2.9681756279254731E-2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v>2.5246358895214371E-2</v>
      </c>
      <c r="C28" s="102">
        <v>-2.5246358895214371E-2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2.4005926022134059E-2</v>
      </c>
      <c r="K28" s="22">
        <f t="shared" si="4"/>
        <v>2.5246358895214371E-2</v>
      </c>
      <c r="L28" s="22">
        <f t="shared" si="5"/>
        <v>2.5246358895214371E-2</v>
      </c>
      <c r="M28" s="223">
        <f t="shared" si="6"/>
        <v>2.4005926022134059E-2</v>
      </c>
      <c r="N28" s="228"/>
      <c r="O28" s="2"/>
      <c r="P28" s="22"/>
      <c r="V28" s="56"/>
      <c r="W28" s="110"/>
      <c r="X28" s="118"/>
      <c r="Y28" s="183">
        <f t="shared" si="9"/>
        <v>9.6023704088536235E-2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4.8011852044268118E-2</v>
      </c>
      <c r="AF28" s="122">
        <f t="shared" si="10"/>
        <v>0.5</v>
      </c>
      <c r="AG28" s="121">
        <f t="shared" si="11"/>
        <v>4.8011852044268118E-2</v>
      </c>
      <c r="AH28" s="123">
        <f t="shared" si="12"/>
        <v>1</v>
      </c>
      <c r="AI28" s="183">
        <f t="shared" si="13"/>
        <v>2.4005926022134059E-2</v>
      </c>
      <c r="AJ28" s="120">
        <f t="shared" si="14"/>
        <v>0</v>
      </c>
      <c r="AK28" s="119">
        <f t="shared" si="15"/>
        <v>4.8011852044268118E-2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v>0.27514614856431235</v>
      </c>
      <c r="C29" s="102">
        <v>-5.0461835275521505E-2</v>
      </c>
      <c r="D29" s="24">
        <f t="shared" si="0"/>
        <v>0.22468431328879085</v>
      </c>
      <c r="E29" s="75">
        <f>Middle!E29</f>
        <v>1</v>
      </c>
      <c r="F29" s="22"/>
      <c r="H29" s="24">
        <f t="shared" si="1"/>
        <v>1</v>
      </c>
      <c r="I29" s="22">
        <f t="shared" si="2"/>
        <v>0.22468431328879085</v>
      </c>
      <c r="J29" s="24">
        <f>IF(I$32&lt;=1+I131,I29,B29*H29+J$33*(I29-B29*H29))</f>
        <v>0.27266680017306433</v>
      </c>
      <c r="K29" s="22">
        <f t="shared" si="4"/>
        <v>0.27514614856431235</v>
      </c>
      <c r="L29" s="22">
        <f t="shared" si="5"/>
        <v>0.27514614856431235</v>
      </c>
      <c r="M29" s="175">
        <f t="shared" si="6"/>
        <v>0.27266680017306433</v>
      </c>
      <c r="N29" s="228"/>
      <c r="P29" s="22"/>
      <c r="V29" s="56"/>
      <c r="W29" s="110"/>
      <c r="X29" s="118"/>
      <c r="Y29" s="183">
        <f t="shared" si="9"/>
        <v>1.0906672006922573</v>
      </c>
      <c r="Z29" s="156">
        <f>Poor!Z29</f>
        <v>0.25</v>
      </c>
      <c r="AA29" s="121">
        <f t="shared" si="16"/>
        <v>0.27266680017306433</v>
      </c>
      <c r="AB29" s="156">
        <f>Poor!AB29</f>
        <v>0.25</v>
      </c>
      <c r="AC29" s="121">
        <f t="shared" si="7"/>
        <v>0.27266680017306433</v>
      </c>
      <c r="AD29" s="156">
        <f>Poor!AD29</f>
        <v>0.25</v>
      </c>
      <c r="AE29" s="121">
        <f t="shared" si="8"/>
        <v>0.27266680017306433</v>
      </c>
      <c r="AF29" s="122">
        <f t="shared" si="10"/>
        <v>0.25</v>
      </c>
      <c r="AG29" s="121">
        <f t="shared" si="11"/>
        <v>0.27266680017306433</v>
      </c>
      <c r="AH29" s="123">
        <f t="shared" si="12"/>
        <v>1</v>
      </c>
      <c r="AI29" s="183">
        <f t="shared" si="13"/>
        <v>0.27266680017306433</v>
      </c>
      <c r="AJ29" s="120">
        <f t="shared" si="14"/>
        <v>0.27266680017306433</v>
      </c>
      <c r="AK29" s="119">
        <f t="shared" si="15"/>
        <v>0.27266680017306433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v>0.57492883275217932</v>
      </c>
      <c r="C30" s="65"/>
      <c r="D30" s="24">
        <f>(D119-B124)</f>
        <v>17.074732402582217</v>
      </c>
      <c r="E30" s="75">
        <f>Middle!E30</f>
        <v>1</v>
      </c>
      <c r="H30" s="96">
        <f>(E30*F$7/F$9)</f>
        <v>1</v>
      </c>
      <c r="I30" s="29">
        <f>IF(E30&gt;=1,I119-I124,MIN(I119-I124,B30*H30))</f>
        <v>6.7645092972892762</v>
      </c>
      <c r="J30" s="230">
        <f>IF(I$32&lt;=1,I30,1-SUM(J6:J29))</f>
        <v>0.45663050876371392</v>
      </c>
      <c r="K30" s="22">
        <f t="shared" si="4"/>
        <v>0.57492883275217932</v>
      </c>
      <c r="L30" s="22">
        <f>IF(L124=L119,0,IF(K30="",0,(L119-L124)/(B119-B124)*K30))</f>
        <v>0.22239955175073872</v>
      </c>
      <c r="M30" s="175">
        <f t="shared" si="6"/>
        <v>0.45663050876371392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1.8265220350548557</v>
      </c>
      <c r="Z30" s="122">
        <f>IF($Y30=0,0,AA30/($Y$30))</f>
        <v>0.1486414827370256</v>
      </c>
      <c r="AA30" s="187">
        <f>IF(AA79*4/$I$83+SUM(AA6:AA29)&lt;1,AA79*4/$I$83,1-SUM(AA6:AA29))</f>
        <v>0.27149694354240317</v>
      </c>
      <c r="AB30" s="122">
        <f>IF($Y30=0,0,AC30/($Y$30))</f>
        <v>0.324634656763023</v>
      </c>
      <c r="AC30" s="187">
        <f>IF(AC79*4/$I$83+SUM(AC6:AC29)&lt;1,AC79*4/$I$83,1-SUM(AC6:AC29))</f>
        <v>0.59295235392013135</v>
      </c>
      <c r="AD30" s="122">
        <f>IF($Y30=0,0,AE30/($Y$30))</f>
        <v>0.29218792945626376</v>
      </c>
      <c r="AE30" s="187">
        <f>IF(AE79*4/$I$83+SUM(AE6:AE29)&lt;1,AE79*4/$I$83,1-SUM(AE6:AE29))</f>
        <v>0.53368769152891948</v>
      </c>
      <c r="AF30" s="122">
        <f>IF($Y30=0,0,AG30/($Y$30))</f>
        <v>0.29017202441074041</v>
      </c>
      <c r="AG30" s="187">
        <f>IF(AG79*4/$I$83+SUM(AG6:AG29)&lt;1,AG79*4/$I$83,1-SUM(AG6:AG29))</f>
        <v>0.53000559654269286</v>
      </c>
      <c r="AH30" s="123">
        <f t="shared" si="12"/>
        <v>1.0556360933670528</v>
      </c>
      <c r="AI30" s="183">
        <f t="shared" si="13"/>
        <v>0.48203564638353674</v>
      </c>
      <c r="AJ30" s="120">
        <f t="shared" si="14"/>
        <v>0.43222464873126726</v>
      </c>
      <c r="AK30" s="119">
        <f t="shared" si="15"/>
        <v>0.53184664403580617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0.23805096657034386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1.6050598376979137</v>
      </c>
      <c r="C32" s="29">
        <f>SUM(C6:C31)</f>
        <v>0.57614287343981196</v>
      </c>
      <c r="D32" s="24">
        <f>SUM(D6:D30)</f>
        <v>18.681006280967765</v>
      </c>
      <c r="E32" s="2"/>
      <c r="F32" s="2"/>
      <c r="H32" s="17"/>
      <c r="I32" s="22">
        <f>SUM(I6:I30)</f>
        <v>7.3818069057402518</v>
      </c>
      <c r="J32" s="17"/>
      <c r="L32" s="22">
        <f>SUM(L6:L30)</f>
        <v>0.76194903342965614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3.8983794495207089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4.9133139484737576E-2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Cows' milk sales - season 1</v>
      </c>
      <c r="B37" s="104">
        <v>1428.5714285714287</v>
      </c>
      <c r="C37" s="104">
        <v>428.57142857142856</v>
      </c>
      <c r="D37" s="38">
        <f t="shared" ref="D37:D64" si="25">B37+C37</f>
        <v>1857.1428571428573</v>
      </c>
      <c r="E37" s="75">
        <f>Middle!E37</f>
        <v>0.2</v>
      </c>
      <c r="F37" s="75">
        <f>Middle!F37</f>
        <v>1.18</v>
      </c>
      <c r="G37" s="75">
        <f>Middle!G37</f>
        <v>1.65</v>
      </c>
      <c r="H37" s="24">
        <f t="shared" ref="H37:H52" si="26">(E37*F37)</f>
        <v>0.23599999999999999</v>
      </c>
      <c r="I37" s="39">
        <f t="shared" ref="I37:I52" si="27">D37*H37</f>
        <v>438.28571428571433</v>
      </c>
      <c r="J37" s="38">
        <f>J91*I$83</f>
        <v>342.11232325074201</v>
      </c>
      <c r="K37" s="40">
        <f t="shared" ref="K37:K52" si="28">(B37/B$65)</f>
        <v>6.8763562108247449E-3</v>
      </c>
      <c r="L37" s="22">
        <f t="shared" ref="L37:L52" si="29">(K37*H37)</f>
        <v>1.6228200657546397E-3</v>
      </c>
      <c r="M37" s="24">
        <f t="shared" ref="M37:M52" si="30">J37/B$65</f>
        <v>1.6467403391494456E-3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342.11232325074201</v>
      </c>
      <c r="AH37" s="123">
        <f>SUM(Z37,AB37,AD37,AF37)</f>
        <v>1</v>
      </c>
      <c r="AI37" s="112">
        <f>SUM(AA37,AC37,AE37,AG37)</f>
        <v>342.11232325074201</v>
      </c>
      <c r="AJ37" s="148">
        <f>(AA37+AC37)</f>
        <v>0</v>
      </c>
      <c r="AK37" s="147">
        <f>(AE37+AG37)</f>
        <v>342.11232325074201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Other:  hides</v>
      </c>
      <c r="B38" s="104">
        <v>9.2857142857142865</v>
      </c>
      <c r="C38" s="104">
        <v>0</v>
      </c>
      <c r="D38" s="38">
        <f t="shared" si="25"/>
        <v>9.2857142857142865</v>
      </c>
      <c r="E38" s="75">
        <f>Middle!E38</f>
        <v>0.2</v>
      </c>
      <c r="F38" s="75">
        <f>Middle!F38</f>
        <v>1.18</v>
      </c>
      <c r="G38" s="22">
        <f t="shared" ref="G38:G64" si="32">(G$37)</f>
        <v>1.65</v>
      </c>
      <c r="H38" s="24">
        <f t="shared" si="26"/>
        <v>0.23599999999999999</v>
      </c>
      <c r="I38" s="39">
        <f t="shared" si="27"/>
        <v>2.1914285714285713</v>
      </c>
      <c r="J38" s="38">
        <f t="shared" ref="J38:J64" si="33">J92*I$83</f>
        <v>2.1914285714285713</v>
      </c>
      <c r="K38" s="40">
        <f t="shared" si="28"/>
        <v>4.4696315370360842E-5</v>
      </c>
      <c r="L38" s="22">
        <f t="shared" si="29"/>
        <v>1.0548330427405159E-5</v>
      </c>
      <c r="M38" s="24">
        <f t="shared" si="30"/>
        <v>1.0548330427405157E-5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2.1914285714285713</v>
      </c>
      <c r="AH38" s="123">
        <f t="shared" ref="AH38:AI58" si="35">SUM(Z38,AB38,AD38,AF38)</f>
        <v>1</v>
      </c>
      <c r="AI38" s="112">
        <f t="shared" si="35"/>
        <v>2.1914285714285713</v>
      </c>
      <c r="AJ38" s="148">
        <f t="shared" ref="AJ38:AJ64" si="36">(AA38+AC38)</f>
        <v>0</v>
      </c>
      <c r="AK38" s="147">
        <f t="shared" ref="AK38:AK64" si="37">(AE38+AG38)</f>
        <v>2.1914285714285713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Cattle sales - local: no. sold</v>
      </c>
      <c r="B39" s="104">
        <v>17607.142857142859</v>
      </c>
      <c r="C39" s="104">
        <v>964.28571428571433</v>
      </c>
      <c r="D39" s="38">
        <f t="shared" si="25"/>
        <v>18571.428571428572</v>
      </c>
      <c r="E39" s="75">
        <f>Middle!E39</f>
        <v>0.5</v>
      </c>
      <c r="F39" s="75">
        <f>Middle!F39</f>
        <v>1.18</v>
      </c>
      <c r="G39" s="22">
        <f t="shared" si="32"/>
        <v>1.65</v>
      </c>
      <c r="H39" s="24">
        <f t="shared" si="26"/>
        <v>0.59</v>
      </c>
      <c r="I39" s="39">
        <f t="shared" si="27"/>
        <v>10957.142857142857</v>
      </c>
      <c r="J39" s="38">
        <f t="shared" si="33"/>
        <v>10416.16753257114</v>
      </c>
      <c r="K39" s="40">
        <f t="shared" si="28"/>
        <v>8.4751090298414974E-2</v>
      </c>
      <c r="L39" s="22">
        <f t="shared" si="29"/>
        <v>5.0003143276064831E-2</v>
      </c>
      <c r="M39" s="24">
        <f t="shared" si="30"/>
        <v>5.013769481391063E-2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10416.16753257114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10416.16753257114</v>
      </c>
      <c r="AJ39" s="148">
        <f t="shared" si="36"/>
        <v>10416.16753257114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Sheep sales - local: no. sold</v>
      </c>
      <c r="B40" s="104">
        <v>1635.7142857142858</v>
      </c>
      <c r="C40" s="104">
        <v>321.42857142857144</v>
      </c>
      <c r="D40" s="38">
        <f t="shared" si="25"/>
        <v>1957.1428571428573</v>
      </c>
      <c r="E40" s="75">
        <f>Middle!E40</f>
        <v>0.5</v>
      </c>
      <c r="F40" s="75">
        <f>Middle!F40</f>
        <v>1.18</v>
      </c>
      <c r="G40" s="22">
        <f t="shared" si="32"/>
        <v>1.65</v>
      </c>
      <c r="H40" s="24">
        <f t="shared" si="26"/>
        <v>0.59</v>
      </c>
      <c r="I40" s="39">
        <f t="shared" si="27"/>
        <v>1154.7142857142858</v>
      </c>
      <c r="J40" s="38">
        <f t="shared" si="33"/>
        <v>974.38917752371287</v>
      </c>
      <c r="K40" s="40">
        <f t="shared" si="28"/>
        <v>7.8734278613943331E-3</v>
      </c>
      <c r="L40" s="22">
        <f t="shared" si="29"/>
        <v>4.6453224382226564E-3</v>
      </c>
      <c r="M40" s="24">
        <f t="shared" si="30"/>
        <v>4.6901729508379182E-3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974.38917752371287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974.38917752371287</v>
      </c>
      <c r="AJ40" s="148">
        <f t="shared" si="36"/>
        <v>974.38917752371287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Goat sales - local: no. sold</v>
      </c>
      <c r="B41" s="104">
        <v>2799.2857142857142</v>
      </c>
      <c r="C41" s="104">
        <v>529</v>
      </c>
      <c r="D41" s="38">
        <f t="shared" si="25"/>
        <v>3328.2857142857142</v>
      </c>
      <c r="E41" s="75">
        <f>Middle!E41</f>
        <v>0.5</v>
      </c>
      <c r="F41" s="75">
        <f>Middle!F41</f>
        <v>1.18</v>
      </c>
      <c r="G41" s="22">
        <f t="shared" si="32"/>
        <v>1.65</v>
      </c>
      <c r="H41" s="24">
        <f t="shared" si="26"/>
        <v>0.59</v>
      </c>
      <c r="I41" s="39">
        <f t="shared" si="27"/>
        <v>1963.6885714285713</v>
      </c>
      <c r="J41" s="38">
        <f t="shared" si="33"/>
        <v>1666.9135155931529</v>
      </c>
      <c r="K41" s="40">
        <f t="shared" si="28"/>
        <v>1.3474219995111086E-2</v>
      </c>
      <c r="L41" s="22">
        <f t="shared" si="29"/>
        <v>7.9497897971155407E-3</v>
      </c>
      <c r="M41" s="24">
        <f t="shared" si="30"/>
        <v>8.0236037740996791E-3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1666.9135155931529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1666.9135155931529</v>
      </c>
      <c r="AJ41" s="148">
        <f t="shared" si="36"/>
        <v>1666.9135155931529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Pig sales: no sold</v>
      </c>
      <c r="B42" s="104">
        <v>85.714285714285708</v>
      </c>
      <c r="C42" s="104">
        <v>0</v>
      </c>
      <c r="D42" s="38">
        <f t="shared" si="25"/>
        <v>85.714285714285708</v>
      </c>
      <c r="E42" s="75">
        <f>Middle!E42</f>
        <v>0.5</v>
      </c>
      <c r="F42" s="75">
        <f>Middle!F42</f>
        <v>1.18</v>
      </c>
      <c r="G42" s="22">
        <f t="shared" si="32"/>
        <v>1.65</v>
      </c>
      <c r="H42" s="24">
        <f t="shared" si="26"/>
        <v>0.59</v>
      </c>
      <c r="I42" s="39">
        <f t="shared" si="27"/>
        <v>50.571428571428562</v>
      </c>
      <c r="J42" s="38">
        <f t="shared" si="33"/>
        <v>50.571428571428569</v>
      </c>
      <c r="K42" s="40">
        <f t="shared" si="28"/>
        <v>4.1258137264948459E-4</v>
      </c>
      <c r="L42" s="22">
        <f t="shared" si="29"/>
        <v>2.4342300986319589E-4</v>
      </c>
      <c r="M42" s="24">
        <f t="shared" si="30"/>
        <v>2.4342300986319594E-4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12.642857142857142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25.285714285714285</v>
      </c>
      <c r="AF42" s="122">
        <f t="shared" si="31"/>
        <v>0.25</v>
      </c>
      <c r="AG42" s="147">
        <f t="shared" si="34"/>
        <v>12.642857142857142</v>
      </c>
      <c r="AH42" s="123">
        <f t="shared" si="35"/>
        <v>1</v>
      </c>
      <c r="AI42" s="112">
        <f t="shared" si="35"/>
        <v>50.571428571428569</v>
      </c>
      <c r="AJ42" s="148">
        <f t="shared" si="36"/>
        <v>12.642857142857142</v>
      </c>
      <c r="AK42" s="147">
        <f t="shared" si="37"/>
        <v>37.928571428571431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Chicken sales: no. sold</v>
      </c>
      <c r="B43" s="104">
        <v>290.42857142857144</v>
      </c>
      <c r="C43" s="104">
        <v>0</v>
      </c>
      <c r="D43" s="38">
        <f t="shared" si="25"/>
        <v>290.42857142857144</v>
      </c>
      <c r="E43" s="75">
        <f>Middle!E43</f>
        <v>1</v>
      </c>
      <c r="F43" s="75">
        <f>Middle!F43</f>
        <v>1.18</v>
      </c>
      <c r="G43" s="22">
        <f t="shared" si="32"/>
        <v>1.65</v>
      </c>
      <c r="H43" s="24">
        <f t="shared" si="26"/>
        <v>1.18</v>
      </c>
      <c r="I43" s="39">
        <f t="shared" si="27"/>
        <v>342.70571428571429</v>
      </c>
      <c r="J43" s="38">
        <f t="shared" si="33"/>
        <v>342.70571428571429</v>
      </c>
      <c r="K43" s="40">
        <f t="shared" si="28"/>
        <v>1.3979632176606706E-3</v>
      </c>
      <c r="L43" s="22">
        <f t="shared" si="29"/>
        <v>1.6495965968395913E-3</v>
      </c>
      <c r="M43" s="24">
        <f t="shared" si="30"/>
        <v>1.6495965968395911E-3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85.676428571428573</v>
      </c>
      <c r="AB43" s="156">
        <f>Poor!AB43</f>
        <v>0.25</v>
      </c>
      <c r="AC43" s="147">
        <f t="shared" si="39"/>
        <v>85.676428571428573</v>
      </c>
      <c r="AD43" s="156">
        <f>Poor!AD43</f>
        <v>0.25</v>
      </c>
      <c r="AE43" s="147">
        <f t="shared" si="40"/>
        <v>85.676428571428573</v>
      </c>
      <c r="AF43" s="122">
        <f t="shared" si="31"/>
        <v>0.25</v>
      </c>
      <c r="AG43" s="147">
        <f t="shared" si="34"/>
        <v>85.676428571428573</v>
      </c>
      <c r="AH43" s="123">
        <f t="shared" si="35"/>
        <v>1</v>
      </c>
      <c r="AI43" s="112">
        <f t="shared" si="35"/>
        <v>342.70571428571429</v>
      </c>
      <c r="AJ43" s="148">
        <f t="shared" si="36"/>
        <v>171.35285714285715</v>
      </c>
      <c r="AK43" s="147">
        <f t="shared" si="37"/>
        <v>171.35285714285715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Maize: kg produced</v>
      </c>
      <c r="B44" s="104">
        <v>6237.8214285714284</v>
      </c>
      <c r="C44" s="104">
        <v>-6237.8214285714284</v>
      </c>
      <c r="D44" s="38">
        <f t="shared" si="25"/>
        <v>0</v>
      </c>
      <c r="E44" s="75">
        <f>Middle!E44</f>
        <v>0.3</v>
      </c>
      <c r="F44" s="75">
        <f>Middle!F44</f>
        <v>1.4</v>
      </c>
      <c r="G44" s="22">
        <f t="shared" si="32"/>
        <v>1.65</v>
      </c>
      <c r="H44" s="24">
        <f t="shared" si="26"/>
        <v>0.42</v>
      </c>
      <c r="I44" s="39">
        <f t="shared" si="27"/>
        <v>0</v>
      </c>
      <c r="J44" s="38">
        <f t="shared" si="33"/>
        <v>2491.1618248610284</v>
      </c>
      <c r="K44" s="40">
        <f t="shared" si="28"/>
        <v>3.0025437485660975E-2</v>
      </c>
      <c r="L44" s="22">
        <f t="shared" si="29"/>
        <v>1.261068374397761E-2</v>
      </c>
      <c r="M44" s="24">
        <f t="shared" si="30"/>
        <v>1.1991081260586846E-2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622.79045621525711</v>
      </c>
      <c r="AB44" s="156">
        <f>Poor!AB44</f>
        <v>0.25</v>
      </c>
      <c r="AC44" s="147">
        <f t="shared" si="39"/>
        <v>622.79045621525711</v>
      </c>
      <c r="AD44" s="156">
        <f>Poor!AD44</f>
        <v>0.25</v>
      </c>
      <c r="AE44" s="147">
        <f t="shared" si="40"/>
        <v>622.79045621525711</v>
      </c>
      <c r="AF44" s="122">
        <f t="shared" si="31"/>
        <v>0.25</v>
      </c>
      <c r="AG44" s="147">
        <f t="shared" si="34"/>
        <v>622.79045621525711</v>
      </c>
      <c r="AH44" s="123">
        <f t="shared" si="35"/>
        <v>1</v>
      </c>
      <c r="AI44" s="112">
        <f t="shared" si="35"/>
        <v>2491.1618248610284</v>
      </c>
      <c r="AJ44" s="148">
        <f t="shared" si="36"/>
        <v>1245.5809124305142</v>
      </c>
      <c r="AK44" s="147">
        <f t="shared" si="37"/>
        <v>1245.5809124305142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Sorghum: kg produced</v>
      </c>
      <c r="B45" s="104">
        <v>14.142857142857142</v>
      </c>
      <c r="C45" s="104">
        <v>-14.142857142857142</v>
      </c>
      <c r="D45" s="38">
        <f t="shared" si="25"/>
        <v>0</v>
      </c>
      <c r="E45" s="75">
        <f>Middle!E45</f>
        <v>0.3</v>
      </c>
      <c r="F45" s="75">
        <f>Middle!F45</f>
        <v>1.4</v>
      </c>
      <c r="G45" s="22">
        <f t="shared" si="32"/>
        <v>1.65</v>
      </c>
      <c r="H45" s="24">
        <f t="shared" si="26"/>
        <v>0.42</v>
      </c>
      <c r="I45" s="39">
        <f t="shared" si="27"/>
        <v>0</v>
      </c>
      <c r="J45" s="38">
        <f t="shared" si="33"/>
        <v>5.6481491514606574</v>
      </c>
      <c r="K45" s="40">
        <f t="shared" si="28"/>
        <v>6.807592648716497E-5</v>
      </c>
      <c r="L45" s="22">
        <f t="shared" si="29"/>
        <v>2.8591889124609287E-5</v>
      </c>
      <c r="M45" s="24">
        <f t="shared" si="30"/>
        <v>2.71870798481177E-5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1.4120372878651644</v>
      </c>
      <c r="AB45" s="156">
        <f>Poor!AB45</f>
        <v>0.25</v>
      </c>
      <c r="AC45" s="147">
        <f t="shared" si="39"/>
        <v>1.4120372878651644</v>
      </c>
      <c r="AD45" s="156">
        <f>Poor!AD45</f>
        <v>0.25</v>
      </c>
      <c r="AE45" s="147">
        <f t="shared" si="40"/>
        <v>1.4120372878651644</v>
      </c>
      <c r="AF45" s="122">
        <f t="shared" si="31"/>
        <v>0.25</v>
      </c>
      <c r="AG45" s="147">
        <f t="shared" si="34"/>
        <v>1.4120372878651644</v>
      </c>
      <c r="AH45" s="123">
        <f t="shared" si="35"/>
        <v>1</v>
      </c>
      <c r="AI45" s="112">
        <f t="shared" si="35"/>
        <v>5.6481491514606574</v>
      </c>
      <c r="AJ45" s="148">
        <f t="shared" si="36"/>
        <v>2.8240745757303287</v>
      </c>
      <c r="AK45" s="147">
        <f t="shared" si="37"/>
        <v>2.8240745757303287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Beans: kg produced</v>
      </c>
      <c r="B46" s="104">
        <v>1781.4285714285713</v>
      </c>
      <c r="C46" s="104">
        <v>197.14285714285714</v>
      </c>
      <c r="D46" s="38">
        <f t="shared" si="25"/>
        <v>1978.5714285714284</v>
      </c>
      <c r="E46" s="75">
        <f>Middle!E46</f>
        <v>0.2</v>
      </c>
      <c r="F46" s="75">
        <f>Middle!F46</f>
        <v>1.4</v>
      </c>
      <c r="G46" s="22">
        <f t="shared" si="32"/>
        <v>1.65</v>
      </c>
      <c r="H46" s="24">
        <f t="shared" si="26"/>
        <v>0.27999999999999997</v>
      </c>
      <c r="I46" s="39">
        <f t="shared" si="27"/>
        <v>553.99999999999989</v>
      </c>
      <c r="J46" s="38">
        <f t="shared" si="33"/>
        <v>501.51214929955739</v>
      </c>
      <c r="K46" s="40">
        <f t="shared" si="28"/>
        <v>8.5748161948984557E-3</v>
      </c>
      <c r="L46" s="22">
        <f t="shared" si="29"/>
        <v>2.4009485345715675E-3</v>
      </c>
      <c r="M46" s="24">
        <f t="shared" si="30"/>
        <v>2.4140033278480543E-3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125.37803732488935</v>
      </c>
      <c r="AB46" s="156">
        <f>Poor!AB46</f>
        <v>0.25</v>
      </c>
      <c r="AC46" s="147">
        <f t="shared" si="39"/>
        <v>125.37803732488935</v>
      </c>
      <c r="AD46" s="156">
        <f>Poor!AD46</f>
        <v>0.25</v>
      </c>
      <c r="AE46" s="147">
        <f t="shared" si="40"/>
        <v>125.37803732488935</v>
      </c>
      <c r="AF46" s="122">
        <f t="shared" si="31"/>
        <v>0.25</v>
      </c>
      <c r="AG46" s="147">
        <f t="shared" si="34"/>
        <v>125.37803732488935</v>
      </c>
      <c r="AH46" s="123">
        <f t="shared" si="35"/>
        <v>1</v>
      </c>
      <c r="AI46" s="112">
        <f t="shared" si="35"/>
        <v>501.51214929955739</v>
      </c>
      <c r="AJ46" s="148">
        <f t="shared" si="36"/>
        <v>250.7560746497787</v>
      </c>
      <c r="AK46" s="147">
        <f t="shared" si="37"/>
        <v>250.7560746497787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Cowpeas, yams, amadumbe, chillies &amp; sugarcane</v>
      </c>
      <c r="B47" s="104">
        <v>1918.5714285714287</v>
      </c>
      <c r="C47" s="104">
        <v>-15.714285714285715</v>
      </c>
      <c r="D47" s="38">
        <f t="shared" si="25"/>
        <v>1902.8571428571429</v>
      </c>
      <c r="E47" s="75">
        <f>Middle!E47</f>
        <v>0.2</v>
      </c>
      <c r="F47" s="75">
        <f>Middle!F47</f>
        <v>1.4</v>
      </c>
      <c r="G47" s="22">
        <f t="shared" si="32"/>
        <v>1.65</v>
      </c>
      <c r="H47" s="24">
        <f t="shared" si="26"/>
        <v>0.27999999999999997</v>
      </c>
      <c r="I47" s="39">
        <f t="shared" si="27"/>
        <v>532.79999999999995</v>
      </c>
      <c r="J47" s="38">
        <f t="shared" si="33"/>
        <v>536.98381418626707</v>
      </c>
      <c r="K47" s="40">
        <f t="shared" si="28"/>
        <v>9.2349463911376318E-3</v>
      </c>
      <c r="L47" s="22">
        <f t="shared" si="29"/>
        <v>2.5857849895185368E-3</v>
      </c>
      <c r="M47" s="24">
        <f t="shared" si="30"/>
        <v>2.5847443900544687E-3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134.24595354656677</v>
      </c>
      <c r="AB47" s="156">
        <f>Poor!AB47</f>
        <v>0.25</v>
      </c>
      <c r="AC47" s="147">
        <f t="shared" si="39"/>
        <v>134.24595354656677</v>
      </c>
      <c r="AD47" s="156">
        <f>Poor!AD47</f>
        <v>0.25</v>
      </c>
      <c r="AE47" s="147">
        <f t="shared" si="40"/>
        <v>134.24595354656677</v>
      </c>
      <c r="AF47" s="122">
        <f t="shared" si="31"/>
        <v>0.25</v>
      </c>
      <c r="AG47" s="147">
        <f t="shared" si="34"/>
        <v>134.24595354656677</v>
      </c>
      <c r="AH47" s="123">
        <f t="shared" si="35"/>
        <v>1</v>
      </c>
      <c r="AI47" s="112">
        <f t="shared" si="35"/>
        <v>536.98381418626707</v>
      </c>
      <c r="AJ47" s="148">
        <f t="shared" si="36"/>
        <v>268.49190709313353</v>
      </c>
      <c r="AK47" s="147">
        <f t="shared" si="37"/>
        <v>268.49190709313353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Cabbage: no. local meas</v>
      </c>
      <c r="B48" s="104">
        <v>1986</v>
      </c>
      <c r="C48" s="104">
        <v>-1921.7142857142858</v>
      </c>
      <c r="D48" s="38">
        <f t="shared" si="25"/>
        <v>64.285714285714221</v>
      </c>
      <c r="E48" s="75">
        <f>Middle!E48</f>
        <v>0.2</v>
      </c>
      <c r="F48" s="75">
        <f>Middle!F48</f>
        <v>1.4</v>
      </c>
      <c r="G48" s="22">
        <f t="shared" si="32"/>
        <v>1.65</v>
      </c>
      <c r="H48" s="24">
        <f t="shared" si="26"/>
        <v>0.27999999999999997</v>
      </c>
      <c r="I48" s="39">
        <f t="shared" si="27"/>
        <v>17.999999999999979</v>
      </c>
      <c r="J48" s="38">
        <f t="shared" si="33"/>
        <v>529.64244030605232</v>
      </c>
      <c r="K48" s="40">
        <f t="shared" si="28"/>
        <v>9.5595104042885595E-3</v>
      </c>
      <c r="L48" s="22">
        <f t="shared" si="29"/>
        <v>2.6766629132007965E-3</v>
      </c>
      <c r="M48" s="24">
        <f t="shared" si="30"/>
        <v>2.5494070587404275E-3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132.41061007651308</v>
      </c>
      <c r="AB48" s="156">
        <f>Poor!AB48</f>
        <v>0.25</v>
      </c>
      <c r="AC48" s="147">
        <f t="shared" si="39"/>
        <v>132.41061007651308</v>
      </c>
      <c r="AD48" s="156">
        <f>Poor!AD48</f>
        <v>0.25</v>
      </c>
      <c r="AE48" s="147">
        <f t="shared" si="40"/>
        <v>132.41061007651308</v>
      </c>
      <c r="AF48" s="122">
        <f t="shared" si="31"/>
        <v>0.25</v>
      </c>
      <c r="AG48" s="147">
        <f t="shared" si="34"/>
        <v>132.41061007651308</v>
      </c>
      <c r="AH48" s="123">
        <f t="shared" si="35"/>
        <v>1</v>
      </c>
      <c r="AI48" s="112">
        <f t="shared" si="35"/>
        <v>529.64244030605232</v>
      </c>
      <c r="AJ48" s="148">
        <f t="shared" si="36"/>
        <v>264.82122015302616</v>
      </c>
      <c r="AK48" s="147">
        <f t="shared" si="37"/>
        <v>264.82122015302616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Sweet potatoes &amp; potatoes</v>
      </c>
      <c r="B49" s="104">
        <v>2297.8571428571431</v>
      </c>
      <c r="C49" s="104">
        <v>-2297.8571428571431</v>
      </c>
      <c r="D49" s="38">
        <f t="shared" si="25"/>
        <v>0</v>
      </c>
      <c r="E49" s="75">
        <f>Middle!E49</f>
        <v>0.2</v>
      </c>
      <c r="F49" s="75">
        <f>Middle!F49</f>
        <v>1.4</v>
      </c>
      <c r="G49" s="22">
        <f t="shared" si="32"/>
        <v>1.65</v>
      </c>
      <c r="H49" s="24">
        <f t="shared" si="26"/>
        <v>0.27999999999999997</v>
      </c>
      <c r="I49" s="39">
        <f t="shared" si="27"/>
        <v>0</v>
      </c>
      <c r="J49" s="38">
        <f t="shared" si="33"/>
        <v>611.78773805551975</v>
      </c>
      <c r="K49" s="40">
        <f t="shared" si="28"/>
        <v>1.1060618965111603E-2</v>
      </c>
      <c r="L49" s="22">
        <f t="shared" si="29"/>
        <v>3.0969733102312485E-3</v>
      </c>
      <c r="M49" s="24">
        <f t="shared" si="30"/>
        <v>2.9448092885991464E-3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152.94693451387994</v>
      </c>
      <c r="AB49" s="156">
        <f>Poor!AB49</f>
        <v>0.25</v>
      </c>
      <c r="AC49" s="147">
        <f t="shared" si="39"/>
        <v>152.94693451387994</v>
      </c>
      <c r="AD49" s="156">
        <f>Poor!AD49</f>
        <v>0.25</v>
      </c>
      <c r="AE49" s="147">
        <f t="shared" si="40"/>
        <v>152.94693451387994</v>
      </c>
      <c r="AF49" s="122">
        <f t="shared" si="31"/>
        <v>0.25</v>
      </c>
      <c r="AG49" s="147">
        <f t="shared" si="34"/>
        <v>152.94693451387994</v>
      </c>
      <c r="AH49" s="123">
        <f t="shared" si="35"/>
        <v>1</v>
      </c>
      <c r="AI49" s="112">
        <f t="shared" si="35"/>
        <v>611.78773805551975</v>
      </c>
      <c r="AJ49" s="148">
        <f t="shared" si="36"/>
        <v>305.89386902775988</v>
      </c>
      <c r="AK49" s="147">
        <f t="shared" si="37"/>
        <v>305.89386902775988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Veg: spinach, carrots, beet root &amp; tomatoes</v>
      </c>
      <c r="B50" s="104">
        <v>2225.7142857142858</v>
      </c>
      <c r="C50" s="104">
        <v>-201</v>
      </c>
      <c r="D50" s="38">
        <f t="shared" si="25"/>
        <v>2024.7142857142858</v>
      </c>
      <c r="E50" s="75">
        <f>Middle!E50</f>
        <v>0.2</v>
      </c>
      <c r="F50" s="75">
        <f>Middle!F50</f>
        <v>1.4</v>
      </c>
      <c r="G50" s="22">
        <f t="shared" si="32"/>
        <v>1.65</v>
      </c>
      <c r="H50" s="24">
        <f t="shared" si="26"/>
        <v>0.27999999999999997</v>
      </c>
      <c r="I50" s="39">
        <f t="shared" si="27"/>
        <v>566.91999999999996</v>
      </c>
      <c r="J50" s="38">
        <f t="shared" si="33"/>
        <v>620.43478690979896</v>
      </c>
      <c r="K50" s="40">
        <f t="shared" si="28"/>
        <v>1.0713362976464951E-2</v>
      </c>
      <c r="L50" s="22">
        <f t="shared" si="29"/>
        <v>2.9997416334101861E-3</v>
      </c>
      <c r="M50" s="24">
        <f t="shared" si="30"/>
        <v>2.9864314202652461E-3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155.10869672744974</v>
      </c>
      <c r="AB50" s="156">
        <f>Poor!AB55</f>
        <v>0.25</v>
      </c>
      <c r="AC50" s="147">
        <f t="shared" si="39"/>
        <v>155.10869672744974</v>
      </c>
      <c r="AD50" s="156">
        <f>Poor!AD55</f>
        <v>0.25</v>
      </c>
      <c r="AE50" s="147">
        <f t="shared" si="40"/>
        <v>155.10869672744974</v>
      </c>
      <c r="AF50" s="122">
        <f t="shared" si="31"/>
        <v>0.25</v>
      </c>
      <c r="AG50" s="147">
        <f t="shared" si="34"/>
        <v>155.10869672744974</v>
      </c>
      <c r="AH50" s="123">
        <f t="shared" si="35"/>
        <v>1</v>
      </c>
      <c r="AI50" s="112">
        <f t="shared" si="35"/>
        <v>620.43478690979896</v>
      </c>
      <c r="AJ50" s="148">
        <f t="shared" si="36"/>
        <v>310.21739345489948</v>
      </c>
      <c r="AK50" s="147">
        <f t="shared" si="37"/>
        <v>310.21739345489948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Other crop: pumpkin</v>
      </c>
      <c r="B51" s="104">
        <v>475</v>
      </c>
      <c r="C51" s="104">
        <v>-475</v>
      </c>
      <c r="D51" s="38">
        <f t="shared" si="25"/>
        <v>0</v>
      </c>
      <c r="E51" s="75">
        <f>Middle!E51</f>
        <v>0.2</v>
      </c>
      <c r="F51" s="75">
        <f>Middle!F51</f>
        <v>1.4</v>
      </c>
      <c r="G51" s="22">
        <f t="shared" si="32"/>
        <v>1.65</v>
      </c>
      <c r="H51" s="24">
        <f t="shared" si="26"/>
        <v>0.27999999999999997</v>
      </c>
      <c r="I51" s="39">
        <f t="shared" si="27"/>
        <v>0</v>
      </c>
      <c r="J51" s="38">
        <f t="shared" si="33"/>
        <v>126.46529244852988</v>
      </c>
      <c r="K51" s="40">
        <f t="shared" si="28"/>
        <v>2.2863884400992273E-3</v>
      </c>
      <c r="L51" s="22">
        <f t="shared" si="29"/>
        <v>6.4018876322778358E-4</v>
      </c>
      <c r="M51" s="24">
        <f t="shared" si="30"/>
        <v>6.0873427942755118E-4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31.61632311213247</v>
      </c>
      <c r="AB51" s="156">
        <f>Poor!AB56</f>
        <v>0.25</v>
      </c>
      <c r="AC51" s="147">
        <f t="shared" si="39"/>
        <v>31.61632311213247</v>
      </c>
      <c r="AD51" s="156">
        <f>Poor!AD56</f>
        <v>0.25</v>
      </c>
      <c r="AE51" s="147">
        <f t="shared" si="40"/>
        <v>31.61632311213247</v>
      </c>
      <c r="AF51" s="122">
        <f t="shared" si="31"/>
        <v>0.25</v>
      </c>
      <c r="AG51" s="147">
        <f t="shared" si="34"/>
        <v>31.61632311213247</v>
      </c>
      <c r="AH51" s="123">
        <f t="shared" si="35"/>
        <v>1</v>
      </c>
      <c r="AI51" s="112">
        <f t="shared" si="35"/>
        <v>126.46529244852988</v>
      </c>
      <c r="AJ51" s="148">
        <f t="shared" si="36"/>
        <v>63.23264622426494</v>
      </c>
      <c r="AK51" s="147">
        <f t="shared" si="37"/>
        <v>63.23264622426494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Onions: kg produced</v>
      </c>
      <c r="B52" s="104">
        <v>142.85714285714286</v>
      </c>
      <c r="C52" s="104">
        <v>103.57142857142857</v>
      </c>
      <c r="D52" s="38">
        <f t="shared" si="25"/>
        <v>246.42857142857144</v>
      </c>
      <c r="E52" s="75">
        <f>Middle!E52</f>
        <v>0.2</v>
      </c>
      <c r="F52" s="75">
        <f>Middle!F52</f>
        <v>1.4</v>
      </c>
      <c r="G52" s="22">
        <f t="shared" si="32"/>
        <v>1.65</v>
      </c>
      <c r="H52" s="24">
        <f t="shared" si="26"/>
        <v>0.27999999999999997</v>
      </c>
      <c r="I52" s="39">
        <f t="shared" si="27"/>
        <v>69</v>
      </c>
      <c r="J52" s="38">
        <f t="shared" si="33"/>
        <v>41.424861045057376</v>
      </c>
      <c r="K52" s="40">
        <f t="shared" si="28"/>
        <v>6.8763562108247443E-4</v>
      </c>
      <c r="L52" s="22">
        <f t="shared" si="29"/>
        <v>1.9253797390309283E-4</v>
      </c>
      <c r="M52" s="24">
        <f t="shared" si="30"/>
        <v>1.993964703708126E-4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10.356215261264344</v>
      </c>
      <c r="AB52" s="156">
        <f>Poor!AB57</f>
        <v>0.25</v>
      </c>
      <c r="AC52" s="147">
        <f t="shared" si="39"/>
        <v>10.356215261264344</v>
      </c>
      <c r="AD52" s="156">
        <f>Poor!AD57</f>
        <v>0.25</v>
      </c>
      <c r="AE52" s="147">
        <f t="shared" si="40"/>
        <v>10.356215261264344</v>
      </c>
      <c r="AF52" s="122">
        <f t="shared" si="31"/>
        <v>0.25</v>
      </c>
      <c r="AG52" s="147">
        <f t="shared" si="34"/>
        <v>10.356215261264344</v>
      </c>
      <c r="AH52" s="123">
        <f t="shared" si="35"/>
        <v>1</v>
      </c>
      <c r="AI52" s="112">
        <f t="shared" si="35"/>
        <v>41.424861045057376</v>
      </c>
      <c r="AJ52" s="148">
        <f t="shared" si="36"/>
        <v>20.712430522528688</v>
      </c>
      <c r="AK52" s="147">
        <f t="shared" si="37"/>
        <v>20.712430522528688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Groundnuts (dry): no. local meas</v>
      </c>
      <c r="B53" s="104">
        <v>205.71428571428572</v>
      </c>
      <c r="C53" s="104">
        <v>-205.71428571428572</v>
      </c>
      <c r="D53" s="38">
        <f t="shared" si="25"/>
        <v>0</v>
      </c>
      <c r="E53" s="75">
        <f>Middle!E53</f>
        <v>0.2</v>
      </c>
      <c r="F53" s="75">
        <f>Middle!F53</f>
        <v>1.4</v>
      </c>
      <c r="G53" s="22">
        <f t="shared" si="32"/>
        <v>1.65</v>
      </c>
      <c r="H53" s="24">
        <f t="shared" ref="H53:H64" si="41">(E53*F53)</f>
        <v>0.27999999999999997</v>
      </c>
      <c r="I53" s="39">
        <f t="shared" ref="I53:I64" si="42">D53*H53</f>
        <v>0</v>
      </c>
      <c r="J53" s="38">
        <f t="shared" si="33"/>
        <v>54.769931165679111</v>
      </c>
      <c r="K53" s="40">
        <f t="shared" ref="K53:K64" si="43">(B53/B$65)</f>
        <v>9.901952943587632E-4</v>
      </c>
      <c r="L53" s="22">
        <f t="shared" ref="L53:L64" si="44">(K53*H53)</f>
        <v>2.7725468242045364E-4</v>
      </c>
      <c r="M53" s="24">
        <f t="shared" ref="M53:M64" si="45">J53/B$65</f>
        <v>2.6363228943629288E-4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WILD FOODS -- see worksheet Data 3</v>
      </c>
      <c r="B54" s="104">
        <v>0</v>
      </c>
      <c r="C54" s="104">
        <v>0</v>
      </c>
      <c r="D54" s="38">
        <f t="shared" si="25"/>
        <v>0</v>
      </c>
      <c r="E54" s="75">
        <f>Middle!E54</f>
        <v>1</v>
      </c>
      <c r="F54" s="75">
        <f>Middle!F54</f>
        <v>1.18</v>
      </c>
      <c r="G54" s="22">
        <f t="shared" si="32"/>
        <v>1.65</v>
      </c>
      <c r="H54" s="24">
        <f t="shared" si="41"/>
        <v>1.18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Agricultural cash income -- see Data2</v>
      </c>
      <c r="B55" s="104">
        <v>0</v>
      </c>
      <c r="C55" s="104">
        <v>0</v>
      </c>
      <c r="D55" s="38">
        <f t="shared" si="25"/>
        <v>0</v>
      </c>
      <c r="E55" s="75">
        <f>Middle!E55</f>
        <v>0.5</v>
      </c>
      <c r="F55" s="75">
        <f>Middle!F55</f>
        <v>1.1100000000000001</v>
      </c>
      <c r="G55" s="22">
        <f t="shared" si="32"/>
        <v>1.65</v>
      </c>
      <c r="H55" s="24">
        <f t="shared" si="41"/>
        <v>0.55500000000000005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Construction cash income -- see Data2</v>
      </c>
      <c r="B56" s="104">
        <v>0</v>
      </c>
      <c r="C56" s="104">
        <v>0</v>
      </c>
      <c r="D56" s="38">
        <f t="shared" si="25"/>
        <v>0</v>
      </c>
      <c r="E56" s="75">
        <f>Middle!E56</f>
        <v>0.5</v>
      </c>
      <c r="F56" s="75">
        <f>Middle!F56</f>
        <v>1.1100000000000001</v>
      </c>
      <c r="G56" s="22">
        <f t="shared" si="32"/>
        <v>1.65</v>
      </c>
      <c r="H56" s="24">
        <f t="shared" si="41"/>
        <v>0.55500000000000005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Domestic work cash income -- see Data2</v>
      </c>
      <c r="B57" s="104">
        <v>0</v>
      </c>
      <c r="C57" s="104">
        <v>0</v>
      </c>
      <c r="D57" s="38">
        <f t="shared" si="25"/>
        <v>0</v>
      </c>
      <c r="E57" s="75">
        <f>Middle!E57</f>
        <v>0.5</v>
      </c>
      <c r="F57" s="75">
        <f>Middle!F57</f>
        <v>1.1100000000000001</v>
      </c>
      <c r="G57" s="22">
        <f t="shared" si="32"/>
        <v>1.65</v>
      </c>
      <c r="H57" s="24">
        <f t="shared" si="41"/>
        <v>0.55500000000000005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Formal Employment (conservancies, etc.)</v>
      </c>
      <c r="B58" s="104">
        <v>112931.42857142857</v>
      </c>
      <c r="C58" s="104">
        <v>0</v>
      </c>
      <c r="D58" s="38">
        <f t="shared" si="25"/>
        <v>112931.42857142857</v>
      </c>
      <c r="E58" s="75">
        <f>Middle!E58</f>
        <v>0.6</v>
      </c>
      <c r="F58" s="75">
        <f>Middle!F58</f>
        <v>1.18</v>
      </c>
      <c r="G58" s="22">
        <f t="shared" si="32"/>
        <v>1.65</v>
      </c>
      <c r="H58" s="24">
        <f t="shared" si="41"/>
        <v>0.70799999999999996</v>
      </c>
      <c r="I58" s="39">
        <f t="shared" si="42"/>
        <v>79955.451428571425</v>
      </c>
      <c r="J58" s="38">
        <f t="shared" si="33"/>
        <v>79955.451428571425</v>
      </c>
      <c r="K58" s="40">
        <f t="shared" si="43"/>
        <v>0.54358971117811761</v>
      </c>
      <c r="L58" s="22">
        <f t="shared" si="44"/>
        <v>0.38486151551410724</v>
      </c>
      <c r="M58" s="24">
        <f t="shared" si="45"/>
        <v>0.3848615155141073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19988.862857142856</v>
      </c>
      <c r="AB58" s="156">
        <f>Poor!AB58</f>
        <v>0.25</v>
      </c>
      <c r="AC58" s="147">
        <f t="shared" si="39"/>
        <v>19988.862857142856</v>
      </c>
      <c r="AD58" s="156">
        <f>Poor!AD58</f>
        <v>0.25</v>
      </c>
      <c r="AE58" s="147">
        <f t="shared" si="40"/>
        <v>19988.862857142856</v>
      </c>
      <c r="AF58" s="122">
        <f t="shared" si="31"/>
        <v>0.25</v>
      </c>
      <c r="AG58" s="147">
        <f t="shared" si="34"/>
        <v>19988.862857142856</v>
      </c>
      <c r="AH58" s="123">
        <f t="shared" si="35"/>
        <v>1</v>
      </c>
      <c r="AI58" s="112">
        <f t="shared" si="35"/>
        <v>79955.451428571425</v>
      </c>
      <c r="AJ58" s="148">
        <f t="shared" si="36"/>
        <v>39977.725714285712</v>
      </c>
      <c r="AK58" s="147">
        <f t="shared" si="37"/>
        <v>39977.725714285712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Self-employment -- see Data2</v>
      </c>
      <c r="B59" s="104">
        <v>857.14285714285711</v>
      </c>
      <c r="C59" s="104">
        <v>171.42857142857142</v>
      </c>
      <c r="D59" s="38">
        <f t="shared" si="25"/>
        <v>1028.5714285714284</v>
      </c>
      <c r="E59" s="75">
        <f>Middle!E59</f>
        <v>0.8</v>
      </c>
      <c r="F59" s="75">
        <f>Middle!F59</f>
        <v>1</v>
      </c>
      <c r="G59" s="22">
        <f t="shared" si="32"/>
        <v>1.65</v>
      </c>
      <c r="H59" s="24">
        <f t="shared" si="41"/>
        <v>0.8</v>
      </c>
      <c r="I59" s="39">
        <f t="shared" si="42"/>
        <v>822.85714285714278</v>
      </c>
      <c r="J59" s="38">
        <f t="shared" si="33"/>
        <v>692.45254484362113</v>
      </c>
      <c r="K59" s="40">
        <f t="shared" si="43"/>
        <v>4.1258137264948459E-3</v>
      </c>
      <c r="L59" s="22">
        <f t="shared" si="44"/>
        <v>3.3006509811958767E-3</v>
      </c>
      <c r="M59" s="24">
        <f t="shared" si="45"/>
        <v>3.3330852502057836E-3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173.11313621090528</v>
      </c>
      <c r="AB59" s="156">
        <f>Poor!AB59</f>
        <v>0.25</v>
      </c>
      <c r="AC59" s="147">
        <f t="shared" si="39"/>
        <v>173.11313621090528</v>
      </c>
      <c r="AD59" s="156">
        <f>Poor!AD59</f>
        <v>0.25</v>
      </c>
      <c r="AE59" s="147">
        <f t="shared" si="40"/>
        <v>173.11313621090528</v>
      </c>
      <c r="AF59" s="122">
        <f t="shared" si="31"/>
        <v>0.25</v>
      </c>
      <c r="AG59" s="147">
        <f t="shared" si="34"/>
        <v>173.11313621090528</v>
      </c>
      <c r="AH59" s="123">
        <f t="shared" ref="AH59:AI64" si="46">SUM(Z59,AB59,AD59,AF59)</f>
        <v>1</v>
      </c>
      <c r="AI59" s="112">
        <f t="shared" si="46"/>
        <v>692.45254484362113</v>
      </c>
      <c r="AJ59" s="148">
        <f t="shared" si="36"/>
        <v>346.22627242181056</v>
      </c>
      <c r="AK59" s="147">
        <f t="shared" si="37"/>
        <v>346.22627242181056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>Small business -- see Data2</v>
      </c>
      <c r="B60" s="104">
        <v>36972</v>
      </c>
      <c r="C60" s="104">
        <v>0</v>
      </c>
      <c r="D60" s="38">
        <f t="shared" si="25"/>
        <v>36972</v>
      </c>
      <c r="E60" s="75">
        <f>Middle!E60</f>
        <v>0.8</v>
      </c>
      <c r="F60" s="75">
        <f>Middle!F60</f>
        <v>1.18</v>
      </c>
      <c r="G60" s="22">
        <f t="shared" si="32"/>
        <v>1.65</v>
      </c>
      <c r="H60" s="24">
        <f t="shared" si="41"/>
        <v>0.94399999999999995</v>
      </c>
      <c r="I60" s="39">
        <f t="shared" si="42"/>
        <v>34901.567999999999</v>
      </c>
      <c r="J60" s="38">
        <f t="shared" si="33"/>
        <v>34901.567999999999</v>
      </c>
      <c r="K60" s="40">
        <f t="shared" si="43"/>
        <v>0.17796284927862871</v>
      </c>
      <c r="L60" s="22">
        <f t="shared" si="44"/>
        <v>0.1679969297190255</v>
      </c>
      <c r="M60" s="24">
        <f t="shared" si="45"/>
        <v>0.1679969297190255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8725.3919999999998</v>
      </c>
      <c r="AB60" s="156">
        <f>Poor!AB60</f>
        <v>0.25</v>
      </c>
      <c r="AC60" s="147">
        <f t="shared" si="39"/>
        <v>8725.3919999999998</v>
      </c>
      <c r="AD60" s="156">
        <f>Poor!AD60</f>
        <v>0.25</v>
      </c>
      <c r="AE60" s="147">
        <f t="shared" si="40"/>
        <v>8725.3919999999998</v>
      </c>
      <c r="AF60" s="122">
        <f t="shared" si="31"/>
        <v>0.25</v>
      </c>
      <c r="AG60" s="147">
        <f t="shared" si="34"/>
        <v>8725.3919999999998</v>
      </c>
      <c r="AH60" s="123">
        <f t="shared" si="46"/>
        <v>1</v>
      </c>
      <c r="AI60" s="112">
        <f t="shared" si="46"/>
        <v>34901.567999999999</v>
      </c>
      <c r="AJ60" s="148">
        <f t="shared" si="36"/>
        <v>17450.784</v>
      </c>
      <c r="AK60" s="147">
        <f t="shared" si="37"/>
        <v>17450.784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>Social development -- see Data2</v>
      </c>
      <c r="B61" s="104">
        <v>8692.2610394913372</v>
      </c>
      <c r="C61" s="104">
        <v>0</v>
      </c>
      <c r="D61" s="38">
        <f t="shared" si="25"/>
        <v>8692.2610394913372</v>
      </c>
      <c r="E61" s="75">
        <f>Middle!E61</f>
        <v>0</v>
      </c>
      <c r="F61" s="75">
        <f>Middle!F61</f>
        <v>1.18</v>
      </c>
      <c r="G61" s="22">
        <f t="shared" si="32"/>
        <v>1.65</v>
      </c>
      <c r="H61" s="24">
        <f t="shared" si="41"/>
        <v>0</v>
      </c>
      <c r="I61" s="39">
        <f t="shared" si="42"/>
        <v>0</v>
      </c>
      <c r="J61" s="38">
        <f t="shared" si="33"/>
        <v>0</v>
      </c>
      <c r="K61" s="40">
        <f t="shared" si="43"/>
        <v>4.1839758229511345E-2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>Public works -- see Data2</v>
      </c>
      <c r="B62" s="104">
        <v>1114.2857142857142</v>
      </c>
      <c r="C62" s="104">
        <v>0</v>
      </c>
      <c r="D62" s="38">
        <f t="shared" si="25"/>
        <v>1114.2857142857142</v>
      </c>
      <c r="E62" s="75">
        <f>Middle!E62</f>
        <v>1</v>
      </c>
      <c r="F62" s="75">
        <f>Middle!F62</f>
        <v>1.18</v>
      </c>
      <c r="G62" s="22">
        <f t="shared" si="32"/>
        <v>1.65</v>
      </c>
      <c r="H62" s="24">
        <f t="shared" si="41"/>
        <v>1.18</v>
      </c>
      <c r="I62" s="39">
        <f t="shared" si="42"/>
        <v>1314.8571428571427</v>
      </c>
      <c r="J62" s="38">
        <f t="shared" si="33"/>
        <v>1314.8571428571429</v>
      </c>
      <c r="K62" s="40">
        <f t="shared" si="43"/>
        <v>5.3635578444432997E-3</v>
      </c>
      <c r="L62" s="22">
        <f t="shared" si="44"/>
        <v>6.3289982564430931E-3</v>
      </c>
      <c r="M62" s="24">
        <f t="shared" si="45"/>
        <v>6.3289982564430948E-3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328.71428571428572</v>
      </c>
      <c r="AB62" s="156">
        <f>Poor!AB62</f>
        <v>0.25</v>
      </c>
      <c r="AC62" s="147">
        <f t="shared" si="39"/>
        <v>328.71428571428572</v>
      </c>
      <c r="AD62" s="156">
        <f>Poor!AD62</f>
        <v>0.25</v>
      </c>
      <c r="AE62" s="147">
        <f t="shared" si="40"/>
        <v>328.71428571428572</v>
      </c>
      <c r="AF62" s="122">
        <f t="shared" si="31"/>
        <v>0.25</v>
      </c>
      <c r="AG62" s="147">
        <f t="shared" si="34"/>
        <v>328.71428571428572</v>
      </c>
      <c r="AH62" s="123">
        <f t="shared" si="46"/>
        <v>1</v>
      </c>
      <c r="AI62" s="112">
        <f t="shared" si="46"/>
        <v>1314.8571428571429</v>
      </c>
      <c r="AJ62" s="148">
        <f t="shared" si="36"/>
        <v>657.42857142857144</v>
      </c>
      <c r="AK62" s="147">
        <f t="shared" si="37"/>
        <v>657.42857142857144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>Other income: e.g. Credit (cotton loans)</v>
      </c>
      <c r="B63" s="104">
        <v>0</v>
      </c>
      <c r="C63" s="104"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>Remittances: no. times per year</v>
      </c>
      <c r="B64" s="104">
        <v>6042.8571428571431</v>
      </c>
      <c r="C64" s="104">
        <v>0</v>
      </c>
      <c r="D64" s="38">
        <f t="shared" si="25"/>
        <v>6042.8571428571431</v>
      </c>
      <c r="E64" s="75">
        <f>Middle!E64</f>
        <v>1</v>
      </c>
      <c r="F64" s="75">
        <f>Middle!F64</f>
        <v>1.1100000000000001</v>
      </c>
      <c r="G64" s="22">
        <f t="shared" si="32"/>
        <v>1.65</v>
      </c>
      <c r="H64" s="24">
        <f t="shared" si="41"/>
        <v>1.1100000000000001</v>
      </c>
      <c r="I64" s="39">
        <f t="shared" si="42"/>
        <v>6707.5714285714294</v>
      </c>
      <c r="J64" s="38">
        <f t="shared" si="33"/>
        <v>6707.5714285714294</v>
      </c>
      <c r="K64" s="40">
        <f t="shared" si="43"/>
        <v>2.908698677178867E-2</v>
      </c>
      <c r="L64" s="22">
        <f t="shared" si="44"/>
        <v>3.2286555316685429E-2</v>
      </c>
      <c r="M64" s="24">
        <f t="shared" si="45"/>
        <v>3.2286555316685422E-2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1676.8928571428573</v>
      </c>
      <c r="AB64" s="156">
        <f>Poor!AB64</f>
        <v>0.25</v>
      </c>
      <c r="AC64" s="149">
        <f t="shared" si="39"/>
        <v>1676.8928571428573</v>
      </c>
      <c r="AD64" s="156">
        <f>Poor!AD64</f>
        <v>0.25</v>
      </c>
      <c r="AE64" s="149">
        <f t="shared" si="40"/>
        <v>1676.8928571428573</v>
      </c>
      <c r="AF64" s="150">
        <f t="shared" si="31"/>
        <v>0.25</v>
      </c>
      <c r="AG64" s="149">
        <f t="shared" si="34"/>
        <v>1676.8928571428573</v>
      </c>
      <c r="AH64" s="123">
        <f t="shared" si="46"/>
        <v>1</v>
      </c>
      <c r="AI64" s="112">
        <f t="shared" si="46"/>
        <v>6707.5714285714294</v>
      </c>
      <c r="AJ64" s="151">
        <f t="shared" si="36"/>
        <v>3353.7857142857147</v>
      </c>
      <c r="AK64" s="149">
        <f t="shared" si="37"/>
        <v>3353.7857142857147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207751.22532520563</v>
      </c>
      <c r="C65" s="39">
        <f>SUM(C37:C64)</f>
        <v>-8653.5357142857156</v>
      </c>
      <c r="D65" s="42">
        <f>SUM(D37:D64)</f>
        <v>199097.68961091989</v>
      </c>
      <c r="E65" s="32"/>
      <c r="F65" s="32"/>
      <c r="G65" s="32"/>
      <c r="H65" s="31"/>
      <c r="I65" s="39">
        <f>SUM(I37:I64)</f>
        <v>140352.32514285712</v>
      </c>
      <c r="J65" s="39">
        <f>SUM(J37:J64)</f>
        <v>142886.78265263987</v>
      </c>
      <c r="K65" s="40">
        <f>SUM(K37:K64)</f>
        <v>1</v>
      </c>
      <c r="L65" s="22">
        <f>SUM(L37:L64)</f>
        <v>0.68840866173533088</v>
      </c>
      <c r="M65" s="24">
        <f>SUM(M37:M64)</f>
        <v>0.68777829073677188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45415.029911679012</v>
      </c>
      <c r="AB65" s="137"/>
      <c r="AC65" s="153">
        <f>SUM(AC37:AC64)</f>
        <v>32344.916828848152</v>
      </c>
      <c r="AD65" s="137"/>
      <c r="AE65" s="153">
        <f>SUM(AE37:AE64)</f>
        <v>32370.202543133866</v>
      </c>
      <c r="AF65" s="137"/>
      <c r="AG65" s="153">
        <f>SUM(AG37:AG64)</f>
        <v>32701.863437813179</v>
      </c>
      <c r="AH65" s="137"/>
      <c r="AI65" s="153">
        <f>SUM(AI37:AI64)</f>
        <v>142832.0127214742</v>
      </c>
      <c r="AJ65" s="153">
        <f>SUM(AJ37:AJ64)</f>
        <v>77759.946740527157</v>
      </c>
      <c r="AK65" s="153">
        <f>SUM(AK37:AK64)</f>
        <v>65072.065980947045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13674.870846626607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19144.819185277251</v>
      </c>
      <c r="J70" s="51">
        <f>J124*I$83</f>
        <v>19144.819185277251</v>
      </c>
      <c r="K70" s="40">
        <f>B70/B$76</f>
        <v>6.5823298154898971E-2</v>
      </c>
      <c r="L70" s="22">
        <f>(L124*G$37*F$9/F$7)/B$130</f>
        <v>9.2152617416858554E-2</v>
      </c>
      <c r="M70" s="24">
        <f>J70/B$76</f>
        <v>9.2152617416858554E-2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4786.2047963193127</v>
      </c>
      <c r="AB70" s="156">
        <f>Poor!AB70</f>
        <v>0.25</v>
      </c>
      <c r="AC70" s="147">
        <f>$J70*AB70</f>
        <v>4786.2047963193127</v>
      </c>
      <c r="AD70" s="156">
        <f>Poor!AD70</f>
        <v>0.25</v>
      </c>
      <c r="AE70" s="147">
        <f>$J70*AD70</f>
        <v>4786.2047963193127</v>
      </c>
      <c r="AF70" s="156">
        <f>Poor!AF70</f>
        <v>0.25</v>
      </c>
      <c r="AG70" s="147">
        <f>$J70*AF70</f>
        <v>4786.2047963193127</v>
      </c>
      <c r="AH70" s="155">
        <f>SUM(Z70,AB70,AD70,AF70)</f>
        <v>1</v>
      </c>
      <c r="AI70" s="147">
        <f>SUM(AA70,AC70,AE70,AG70)</f>
        <v>19144.819185277251</v>
      </c>
      <c r="AJ70" s="148">
        <f>(AA70+AC70)</f>
        <v>9572.4095926386253</v>
      </c>
      <c r="AK70" s="147">
        <f>(AE70+AG70)</f>
        <v>9572.4095926386253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13673.428571428574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16134.645714285718</v>
      </c>
      <c r="J71" s="51">
        <f t="shared" ref="J71:J72" si="49">J125*I$83</f>
        <v>16134.645714285718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25266.857142857141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29814.891428571424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26950.714285714286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31801.842857142859</v>
      </c>
      <c r="K73" s="40">
        <f>B73/B$76</f>
        <v>0.12972589809531421</v>
      </c>
      <c r="L73" s="22">
        <f>(L127*G$37*F$9/F$7)/B$130</f>
        <v>0.15307655975247075</v>
      </c>
      <c r="M73" s="24">
        <f>J73/B$76</f>
        <v>0.15307655975247078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2862.165857142857</v>
      </c>
      <c r="AB73" s="156">
        <f>Poor!AB73</f>
        <v>0.09</v>
      </c>
      <c r="AC73" s="147">
        <f>$H$73*$B$73*AB73</f>
        <v>2862.165857142857</v>
      </c>
      <c r="AD73" s="156">
        <f>Poor!AD73</f>
        <v>0.23</v>
      </c>
      <c r="AE73" s="147">
        <f>$H$73*$B$73*AD73</f>
        <v>7314.4238571428568</v>
      </c>
      <c r="AF73" s="156">
        <f>Poor!AF73</f>
        <v>0.59</v>
      </c>
      <c r="AG73" s="147">
        <f>$H$73*$B$73*AF73</f>
        <v>18763.087285714282</v>
      </c>
      <c r="AH73" s="155">
        <f>SUM(Z73,AB73,AD73,AF73)</f>
        <v>1</v>
      </c>
      <c r="AI73" s="147">
        <f>SUM(AA73,AC73,AE73,AG73)</f>
        <v>31801.842857142852</v>
      </c>
      <c r="AJ73" s="148">
        <f>(AA73+AC73)</f>
        <v>5724.331714285714</v>
      </c>
      <c r="AK73" s="147">
        <f>(AE73+AG73)</f>
        <v>26077.51114285714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6243.4316535263615</v>
      </c>
      <c r="C74" s="39"/>
      <c r="D74" s="38"/>
      <c r="E74" s="32"/>
      <c r="F74" s="32"/>
      <c r="G74" s="32"/>
      <c r="H74" s="31"/>
      <c r="I74" s="39">
        <f>I128*I$83</f>
        <v>121207.5059575799</v>
      </c>
      <c r="J74" s="51">
        <f>J128*I$83</f>
        <v>8181.9748748914672</v>
      </c>
      <c r="K74" s="40">
        <f>B74/B$76</f>
        <v>3.0052442019310059E-2</v>
      </c>
      <c r="L74" s="22">
        <f>(L128*G$37*F$9/F$7)/B$130</f>
        <v>1.9181542598046143E-2</v>
      </c>
      <c r="M74" s="24">
        <f>J74/B$76</f>
        <v>3.9383521623440366E-2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1216.1808771209571</v>
      </c>
      <c r="AB74" s="156"/>
      <c r="AC74" s="147">
        <f>AC30*$I$83/4</f>
        <v>2656.1526051540695</v>
      </c>
      <c r="AD74" s="156"/>
      <c r="AE74" s="147">
        <f>AE30*$I$83/4</f>
        <v>2390.6742975577104</v>
      </c>
      <c r="AF74" s="156"/>
      <c r="AG74" s="147">
        <f>AG30*$I$83/4</f>
        <v>2374.1802131250715</v>
      </c>
      <c r="AH74" s="155"/>
      <c r="AI74" s="147">
        <f>SUM(AA74,AC74,AE74,AG74)</f>
        <v>8637.1879929578081</v>
      </c>
      <c r="AJ74" s="148">
        <f>(AA74+AC74)</f>
        <v>3872.3334822750267</v>
      </c>
      <c r="AK74" s="147">
        <f>(AE74+AG74)</f>
        <v>4764.8545106827823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121941.92282505265</v>
      </c>
      <c r="C75" s="39"/>
      <c r="D75" s="38"/>
      <c r="E75" s="32"/>
      <c r="F75" s="32"/>
      <c r="G75" s="32"/>
      <c r="H75" s="31"/>
      <c r="I75" s="47"/>
      <c r="J75" s="51">
        <f>J129*I$83</f>
        <v>37808.608592471144</v>
      </c>
      <c r="K75" s="40">
        <f>B75/B$76</f>
        <v>0.58696126886457367</v>
      </c>
      <c r="L75" s="22">
        <f>(L129*G$37*F$9/F$7)/B$130</f>
        <v>0.20282217238618983</v>
      </c>
      <c r="M75" s="24">
        <f>J75/B$76</f>
        <v>0.18198982236223651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39412.644238238747</v>
      </c>
      <c r="AB75" s="158"/>
      <c r="AC75" s="149">
        <f>AA75+AC65-SUM(AC70,AC74)</f>
        <v>64315.203665613524</v>
      </c>
      <c r="AD75" s="158"/>
      <c r="AE75" s="149">
        <f>AC75+AE65-SUM(AE70,AE74)</f>
        <v>89508.527114870361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115050.00554323917</v>
      </c>
      <c r="AJ75" s="151">
        <f>AJ76-SUM(AJ70,AJ74)</f>
        <v>64315.203665613517</v>
      </c>
      <c r="AK75" s="149">
        <f>AJ75+AK76-SUM(AK70,AK74)</f>
        <v>115050.00554323917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207751.22532520563</v>
      </c>
      <c r="C76" s="39"/>
      <c r="D76" s="38"/>
      <c r="E76" s="32"/>
      <c r="F76" s="32"/>
      <c r="G76" s="32"/>
      <c r="H76" s="31"/>
      <c r="I76" s="39">
        <f>I130*I$83</f>
        <v>140352.32514285715</v>
      </c>
      <c r="J76" s="51">
        <f>J130*I$83</f>
        <v>142886.78265263987</v>
      </c>
      <c r="K76" s="40">
        <f>SUM(K70:K75)</f>
        <v>0.81256290713409696</v>
      </c>
      <c r="L76" s="22">
        <f>SUM(L70:L75)</f>
        <v>0.46723289215356528</v>
      </c>
      <c r="M76" s="24">
        <f>SUM(M70:M75)</f>
        <v>0.46660252115500622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45415.029911679012</v>
      </c>
      <c r="AB76" s="137"/>
      <c r="AC76" s="153">
        <f>AC65</f>
        <v>32344.916828848152</v>
      </c>
      <c r="AD76" s="137"/>
      <c r="AE76" s="153">
        <f>AE65</f>
        <v>32370.202543133866</v>
      </c>
      <c r="AF76" s="137"/>
      <c r="AG76" s="153">
        <f>AG65</f>
        <v>32701.863437813179</v>
      </c>
      <c r="AH76" s="137"/>
      <c r="AI76" s="153">
        <f>SUM(AA76,AC76,AE76,AG76)</f>
        <v>142832.01272147422</v>
      </c>
      <c r="AJ76" s="154">
        <f>SUM(AA76,AC76)</f>
        <v>77759.946740527172</v>
      </c>
      <c r="AK76" s="154">
        <f>SUM(AE76,AG76)</f>
        <v>65072.065980947045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16134.645714285731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39412.644238238747</v>
      </c>
      <c r="AD78" s="112"/>
      <c r="AE78" s="112">
        <f>AC75</f>
        <v>64315.203665613524</v>
      </c>
      <c r="AF78" s="112"/>
      <c r="AG78" s="112">
        <f>AE75</f>
        <v>89508.527114870361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">
        <v>193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40628.825115359701</v>
      </c>
      <c r="AB79" s="112"/>
      <c r="AC79" s="112">
        <f>AA79-AA74+AC65-AC70</f>
        <v>66971.356270767588</v>
      </c>
      <c r="AD79" s="112"/>
      <c r="AE79" s="112">
        <f>AC79-AC74+AE65-AE70</f>
        <v>91899.201412428069</v>
      </c>
      <c r="AF79" s="112"/>
      <c r="AG79" s="112">
        <f>AE79-AE74+AG65-AG70</f>
        <v>117424.18575636423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0.65354715486260606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6.5034145745214618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10859.486075240146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17918.152024146239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4479.5380060365596</v>
      </c>
      <c r="AB83" s="112"/>
      <c r="AC83" s="165">
        <f>$I$83*AB82/4</f>
        <v>4479.5380060365596</v>
      </c>
      <c r="AD83" s="112"/>
      <c r="AE83" s="165">
        <f>$I$83*AD82/4</f>
        <v>4479.5380060365596</v>
      </c>
      <c r="AF83" s="112"/>
      <c r="AG83" s="165">
        <f>$I$83*AF82/4</f>
        <v>4479.5380060365596</v>
      </c>
      <c r="AH83" s="165">
        <f>SUM(AA83,AC83,AE83,AG83)</f>
        <v>17918.152024146239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22094.400750382236</v>
      </c>
      <c r="C84" s="46"/>
      <c r="D84" s="234"/>
      <c r="E84" s="64"/>
      <c r="F84" s="64"/>
      <c r="G84" s="64"/>
      <c r="H84" s="235">
        <f>IF(B84=0,0,I84/B84)</f>
        <v>1.495267687941366</v>
      </c>
      <c r="I84" s="233">
        <f>(B70*H70)+((1-(D29*H29))*I83)</f>
        <v>33037.04352647403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Cows' milk sales - season 1</v>
      </c>
      <c r="B91" s="75">
        <f>(B37/$B$83)</f>
        <v>0.1315505557697248</v>
      </c>
      <c r="C91" s="75">
        <f>(C37/$B$83)</f>
        <v>3.9465166730917434E-2</v>
      </c>
      <c r="D91" s="24">
        <f t="shared" ref="D91" si="51">(B91+C91)</f>
        <v>0.17101572250064223</v>
      </c>
      <c r="H91" s="24">
        <f>(E37*F37/G37*F$7/F$9)</f>
        <v>0.14303030303030304</v>
      </c>
      <c r="I91" s="22">
        <f t="shared" ref="I91" si="52">(D91*H91)</f>
        <v>2.446043061221307E-2</v>
      </c>
      <c r="J91" s="24">
        <f>IF(I$32&lt;=1+I$131,I91,L91+J$33*(I91-L91))</f>
        <v>1.9093058413039272E-2</v>
      </c>
      <c r="K91" s="22">
        <f t="shared" ref="K91" si="53">(B91)</f>
        <v>0.1315505557697248</v>
      </c>
      <c r="L91" s="22">
        <f t="shared" ref="L91" si="54">(K91*H91)</f>
        <v>1.8815715855548518E-2</v>
      </c>
      <c r="M91" s="226">
        <f t="shared" si="50"/>
        <v>1.9093058413039272E-2</v>
      </c>
      <c r="N91" s="228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Other:  hides</v>
      </c>
      <c r="B92" s="75">
        <f t="shared" ref="B92:C92" si="56">(B38/$B$83)</f>
        <v>8.5507861250321124E-4</v>
      </c>
      <c r="C92" s="75">
        <f t="shared" si="56"/>
        <v>0</v>
      </c>
      <c r="D92" s="24">
        <f t="shared" ref="D92:D118" si="57">(B92+C92)</f>
        <v>8.5507861250321124E-4</v>
      </c>
      <c r="H92" s="24">
        <f t="shared" ref="H92:H118" si="58">(E38*F38/G38*F$7/F$9)</f>
        <v>0.14303030303030304</v>
      </c>
      <c r="I92" s="22">
        <f t="shared" ref="I92:I118" si="59">(D92*H92)</f>
        <v>1.2230215306106536E-4</v>
      </c>
      <c r="J92" s="24">
        <f t="shared" ref="J92:J118" si="60">IF(I$32&lt;=1+I$131,I92,L92+J$33*(I92-L92))</f>
        <v>1.2230215306106536E-4</v>
      </c>
      <c r="K92" s="22">
        <f t="shared" ref="K92:K118" si="61">(B92)</f>
        <v>8.5507861250321124E-4</v>
      </c>
      <c r="L92" s="22">
        <f t="shared" ref="L92:L118" si="62">(K92*H92)</f>
        <v>1.2230215306106536E-4</v>
      </c>
      <c r="M92" s="226">
        <f t="shared" ref="M92:M118" si="63">(J92)</f>
        <v>1.2230215306106536E-4</v>
      </c>
      <c r="N92" s="228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ref="B93:C93" si="64">(B39/$B$83)</f>
        <v>1.6213605998618583</v>
      </c>
      <c r="C93" s="75">
        <f t="shared" si="64"/>
        <v>8.879662514456424E-2</v>
      </c>
      <c r="D93" s="24">
        <f t="shared" si="57"/>
        <v>1.7101572250064225</v>
      </c>
      <c r="H93" s="24">
        <f t="shared" si="58"/>
        <v>0.3575757575757576</v>
      </c>
      <c r="I93" s="22">
        <f t="shared" si="59"/>
        <v>0.61151076530532689</v>
      </c>
      <c r="J93" s="24">
        <f t="shared" si="60"/>
        <v>0.58131929668497428</v>
      </c>
      <c r="K93" s="22">
        <f t="shared" si="61"/>
        <v>1.6213605998618583</v>
      </c>
      <c r="L93" s="22">
        <f t="shared" si="62"/>
        <v>0.5797592447990888</v>
      </c>
      <c r="M93" s="226">
        <f t="shared" si="63"/>
        <v>0.58131929668497428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ref="B94:C94" si="65">(B40/$B$83)</f>
        <v>0.15062538635633491</v>
      </c>
      <c r="C94" s="75">
        <f t="shared" si="65"/>
        <v>2.9598875048188079E-2</v>
      </c>
      <c r="D94" s="24">
        <f t="shared" si="57"/>
        <v>0.180224261404523</v>
      </c>
      <c r="H94" s="24">
        <f t="shared" si="58"/>
        <v>0.3575757575757576</v>
      </c>
      <c r="I94" s="22">
        <f t="shared" si="59"/>
        <v>6.4443826805253679E-2</v>
      </c>
      <c r="J94" s="24">
        <f t="shared" si="60"/>
        <v>5.4380003931802805E-2</v>
      </c>
      <c r="K94" s="22">
        <f t="shared" si="61"/>
        <v>0.15062538635633491</v>
      </c>
      <c r="L94" s="22">
        <f t="shared" si="62"/>
        <v>5.3859986636507637E-2</v>
      </c>
      <c r="M94" s="226">
        <f t="shared" si="63"/>
        <v>5.4380003931802805E-2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Goat sales - local: no. sold</v>
      </c>
      <c r="B95" s="75">
        <f t="shared" ref="B95:C95" si="66">(B41/$B$83)</f>
        <v>0.25777331403077575</v>
      </c>
      <c r="C95" s="75">
        <f t="shared" si="66"/>
        <v>4.8713170801529093E-2</v>
      </c>
      <c r="D95" s="24">
        <f t="shared" si="57"/>
        <v>0.30648648483230484</v>
      </c>
      <c r="H95" s="24">
        <f t="shared" si="58"/>
        <v>0.3575757575757576</v>
      </c>
      <c r="I95" s="22">
        <f t="shared" si="59"/>
        <v>0.10959213700064234</v>
      </c>
      <c r="J95" s="24">
        <f t="shared" si="60"/>
        <v>9.3029320956025188E-2</v>
      </c>
      <c r="K95" s="22">
        <f t="shared" si="61"/>
        <v>0.25777331403077575</v>
      </c>
      <c r="L95" s="22">
        <f t="shared" si="62"/>
        <v>9.2173488047368302E-2</v>
      </c>
      <c r="M95" s="226">
        <f t="shared" si="63"/>
        <v>9.3029320956025188E-2</v>
      </c>
      <c r="N95" s="228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Pig sales: no sold</v>
      </c>
      <c r="B96" s="75">
        <f t="shared" ref="B96:C96" si="67">(B42/$B$83)</f>
        <v>7.8930333461834871E-3</v>
      </c>
      <c r="C96" s="75">
        <f t="shared" si="67"/>
        <v>0</v>
      </c>
      <c r="D96" s="24">
        <f t="shared" si="57"/>
        <v>7.8930333461834871E-3</v>
      </c>
      <c r="H96" s="24">
        <f t="shared" si="58"/>
        <v>0.3575757575757576</v>
      </c>
      <c r="I96" s="22">
        <f t="shared" si="59"/>
        <v>2.8223573783322776E-3</v>
      </c>
      <c r="J96" s="24">
        <f t="shared" si="60"/>
        <v>2.8223573783322776E-3</v>
      </c>
      <c r="K96" s="22">
        <f t="shared" si="61"/>
        <v>7.8930333461834871E-3</v>
      </c>
      <c r="L96" s="22">
        <f t="shared" si="62"/>
        <v>2.8223573783322776E-3</v>
      </c>
      <c r="M96" s="226">
        <f t="shared" si="63"/>
        <v>2.8223573783322776E-3</v>
      </c>
      <c r="N96" s="228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Chicken sales: no. sold</v>
      </c>
      <c r="B97" s="75">
        <f t="shared" ref="B97:C97" si="68">(B43/$B$83)</f>
        <v>2.674422798798505E-2</v>
      </c>
      <c r="C97" s="75">
        <f t="shared" si="68"/>
        <v>0</v>
      </c>
      <c r="D97" s="24">
        <f t="shared" si="57"/>
        <v>2.674422798798505E-2</v>
      </c>
      <c r="H97" s="24">
        <f t="shared" si="58"/>
        <v>0.7151515151515152</v>
      </c>
      <c r="I97" s="22">
        <f t="shared" si="59"/>
        <v>1.9126175167165069E-2</v>
      </c>
      <c r="J97" s="24">
        <f t="shared" si="60"/>
        <v>1.9126175167165069E-2</v>
      </c>
      <c r="K97" s="22">
        <f t="shared" si="61"/>
        <v>2.674422798798505E-2</v>
      </c>
      <c r="L97" s="22">
        <f t="shared" si="62"/>
        <v>1.9126175167165069E-2</v>
      </c>
      <c r="M97" s="226">
        <f t="shared" si="63"/>
        <v>1.9126175167165069E-2</v>
      </c>
      <c r="N97" s="228">
        <v>5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Maize: kg produced</v>
      </c>
      <c r="B98" s="75">
        <f t="shared" ref="B98:C98" si="69">(B44/$B$83)</f>
        <v>0.5744122130046091</v>
      </c>
      <c r="C98" s="75">
        <f t="shared" si="69"/>
        <v>-0.5744122130046091</v>
      </c>
      <c r="D98" s="24">
        <f t="shared" si="57"/>
        <v>0</v>
      </c>
      <c r="H98" s="24">
        <f t="shared" si="58"/>
        <v>0.25454545454545457</v>
      </c>
      <c r="I98" s="22">
        <f t="shared" si="59"/>
        <v>0</v>
      </c>
      <c r="J98" s="24">
        <f t="shared" si="60"/>
        <v>0.13903006412178975</v>
      </c>
      <c r="K98" s="22">
        <f t="shared" si="61"/>
        <v>0.5744122130046091</v>
      </c>
      <c r="L98" s="22">
        <f t="shared" si="62"/>
        <v>0.14621401785571869</v>
      </c>
      <c r="M98" s="226">
        <f t="shared" si="63"/>
        <v>0.13903006412178975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Sorghum: kg produced</v>
      </c>
      <c r="B99" s="75">
        <f t="shared" ref="B99:C99" si="70">(B45/$B$83)</f>
        <v>1.3023505021202753E-3</v>
      </c>
      <c r="C99" s="75">
        <f t="shared" si="70"/>
        <v>-1.3023505021202753E-3</v>
      </c>
      <c r="D99" s="24">
        <f t="shared" si="57"/>
        <v>0</v>
      </c>
      <c r="H99" s="24">
        <f t="shared" si="58"/>
        <v>0.25454545454545457</v>
      </c>
      <c r="I99" s="22">
        <f t="shared" si="59"/>
        <v>0</v>
      </c>
      <c r="J99" s="24">
        <f t="shared" si="60"/>
        <v>3.1521940118876628E-4</v>
      </c>
      <c r="K99" s="22">
        <f t="shared" si="61"/>
        <v>1.3023505021202753E-3</v>
      </c>
      <c r="L99" s="22">
        <f t="shared" si="62"/>
        <v>3.3150740053970647E-4</v>
      </c>
      <c r="M99" s="226">
        <f t="shared" si="63"/>
        <v>3.1521940118876628E-4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Beans: kg produced</v>
      </c>
      <c r="B100" s="75">
        <f t="shared" ref="B100:C100" si="71">(B46/$B$83)</f>
        <v>0.16404354304484681</v>
      </c>
      <c r="C100" s="75">
        <f t="shared" si="71"/>
        <v>1.815397669622202E-2</v>
      </c>
      <c r="D100" s="24">
        <f t="shared" si="57"/>
        <v>0.18219751974106882</v>
      </c>
      <c r="H100" s="24">
        <f t="shared" si="58"/>
        <v>0.16969696969696968</v>
      </c>
      <c r="I100" s="22">
        <f t="shared" si="59"/>
        <v>3.0918366986363192E-2</v>
      </c>
      <c r="J100" s="24">
        <f t="shared" si="60"/>
        <v>2.7989055379356476E-2</v>
      </c>
      <c r="K100" s="22">
        <f t="shared" si="61"/>
        <v>0.16404354304484681</v>
      </c>
      <c r="L100" s="22">
        <f t="shared" si="62"/>
        <v>2.7837692153064909E-2</v>
      </c>
      <c r="M100" s="226">
        <f t="shared" si="63"/>
        <v>2.7989055379356476E-2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Cowpeas, yams, amadumbe, chillies &amp; sugarcane</v>
      </c>
      <c r="B101" s="75">
        <f t="shared" ref="B101:C101" si="72">(B47/$B$83)</f>
        <v>0.17667239639874041</v>
      </c>
      <c r="C101" s="75">
        <f t="shared" si="72"/>
        <v>-1.4470561134669727E-3</v>
      </c>
      <c r="D101" s="24">
        <f t="shared" si="57"/>
        <v>0.17522534028527345</v>
      </c>
      <c r="H101" s="24">
        <f t="shared" si="58"/>
        <v>0.16969696969696968</v>
      </c>
      <c r="I101" s="22">
        <f t="shared" si="59"/>
        <v>2.9735209260531248E-2</v>
      </c>
      <c r="J101" s="24">
        <f t="shared" si="60"/>
        <v>2.9968705113263668E-2</v>
      </c>
      <c r="K101" s="22">
        <f t="shared" si="61"/>
        <v>0.17667239639874041</v>
      </c>
      <c r="L101" s="22">
        <f t="shared" si="62"/>
        <v>2.9980770297968067E-2</v>
      </c>
      <c r="M101" s="226">
        <f t="shared" si="63"/>
        <v>2.9968705113263668E-2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Cabbage: no. local meas</v>
      </c>
      <c r="B102" s="75">
        <f t="shared" ref="B102:C102" si="73">(B48/$B$83)</f>
        <v>0.1828815826310714</v>
      </c>
      <c r="C102" s="75">
        <f t="shared" si="73"/>
        <v>-0.17696180762143379</v>
      </c>
      <c r="D102" s="24">
        <f t="shared" si="57"/>
        <v>5.9197750096376123E-3</v>
      </c>
      <c r="H102" s="24">
        <f t="shared" si="58"/>
        <v>0.16969696969696968</v>
      </c>
      <c r="I102" s="22">
        <f t="shared" si="59"/>
        <v>1.0045678804233523E-3</v>
      </c>
      <c r="J102" s="24">
        <f t="shared" si="60"/>
        <v>2.955898798002796E-2</v>
      </c>
      <c r="K102" s="22">
        <f t="shared" si="61"/>
        <v>0.1828815826310714</v>
      </c>
      <c r="L102" s="22">
        <f t="shared" si="62"/>
        <v>3.1034450385878782E-2</v>
      </c>
      <c r="M102" s="226">
        <f t="shared" si="63"/>
        <v>2.955898798002796E-2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Sweet potatoes &amp; potatoes</v>
      </c>
      <c r="B103" s="75">
        <f t="shared" ref="B103:C103" si="74">(B49/$B$83)</f>
        <v>0.21159906895560235</v>
      </c>
      <c r="C103" s="75">
        <f t="shared" si="74"/>
        <v>-0.21159906895560235</v>
      </c>
      <c r="D103" s="24">
        <f t="shared" si="57"/>
        <v>0</v>
      </c>
      <c r="H103" s="24">
        <f t="shared" si="58"/>
        <v>0.16969696969696968</v>
      </c>
      <c r="I103" s="22">
        <f t="shared" si="59"/>
        <v>0</v>
      </c>
      <c r="J103" s="24">
        <f t="shared" si="60"/>
        <v>3.4143461738190613E-2</v>
      </c>
      <c r="K103" s="22">
        <f t="shared" si="61"/>
        <v>0.21159906895560235</v>
      </c>
      <c r="L103" s="22">
        <f t="shared" si="62"/>
        <v>3.5907720792465847E-2</v>
      </c>
      <c r="M103" s="226">
        <f t="shared" si="63"/>
        <v>3.4143461738190613E-2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Veg: spinach, carrots, beet root &amp; tomatoes</v>
      </c>
      <c r="B104" s="75">
        <f t="shared" ref="B104:C104" si="75">(B50/$B$83)</f>
        <v>0.20495576588923123</v>
      </c>
      <c r="C104" s="75">
        <f t="shared" si="75"/>
        <v>-1.850916319680028E-2</v>
      </c>
      <c r="D104" s="24">
        <f t="shared" si="57"/>
        <v>0.18644660269243096</v>
      </c>
      <c r="H104" s="24">
        <f t="shared" si="58"/>
        <v>0.16969696969696968</v>
      </c>
      <c r="I104" s="22">
        <f t="shared" si="59"/>
        <v>3.1639423487200405E-2</v>
      </c>
      <c r="J104" s="24">
        <f t="shared" si="60"/>
        <v>3.4626047712605079E-2</v>
      </c>
      <c r="K104" s="22">
        <f t="shared" si="61"/>
        <v>0.20495576588923123</v>
      </c>
      <c r="L104" s="22">
        <f t="shared" si="62"/>
        <v>3.4780372393324085E-2</v>
      </c>
      <c r="M104" s="226">
        <f t="shared" si="63"/>
        <v>3.4626047712605079E-2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Other crop: pumpkin</v>
      </c>
      <c r="B105" s="75">
        <f t="shared" ref="B105:C105" si="76">(B51/$B$83)</f>
        <v>4.3740559793433491E-2</v>
      </c>
      <c r="C105" s="75">
        <f t="shared" si="76"/>
        <v>-4.3740559793433491E-2</v>
      </c>
      <c r="D105" s="24">
        <f t="shared" si="57"/>
        <v>0</v>
      </c>
      <c r="H105" s="24">
        <f t="shared" si="58"/>
        <v>0.16969696969696968</v>
      </c>
      <c r="I105" s="22">
        <f t="shared" si="59"/>
        <v>0</v>
      </c>
      <c r="J105" s="24">
        <f t="shared" si="60"/>
        <v>7.0579428212299523E-3</v>
      </c>
      <c r="K105" s="22">
        <f t="shared" si="61"/>
        <v>4.3740559793433491E-2</v>
      </c>
      <c r="L105" s="22">
        <f t="shared" si="62"/>
        <v>7.4226404497947738E-3</v>
      </c>
      <c r="M105" s="226">
        <f t="shared" si="63"/>
        <v>7.0579428212299523E-3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Onions: kg produced</v>
      </c>
      <c r="B106" s="75">
        <f t="shared" ref="B106:C106" si="77">(B52/$B$83)</f>
        <v>1.3155055576972479E-2</v>
      </c>
      <c r="C106" s="75">
        <f t="shared" si="77"/>
        <v>9.5374152933050474E-3</v>
      </c>
      <c r="D106" s="24">
        <f t="shared" si="57"/>
        <v>2.2692470870277526E-2</v>
      </c>
      <c r="H106" s="24">
        <f t="shared" si="58"/>
        <v>0.16969696969696968</v>
      </c>
      <c r="I106" s="22">
        <f t="shared" si="59"/>
        <v>3.8508435416228525E-3</v>
      </c>
      <c r="J106" s="24">
        <f t="shared" si="60"/>
        <v>2.3118936031591786E-3</v>
      </c>
      <c r="K106" s="22">
        <f t="shared" si="61"/>
        <v>1.3155055576972479E-2</v>
      </c>
      <c r="L106" s="22">
        <f t="shared" si="62"/>
        <v>2.2323730676074506E-3</v>
      </c>
      <c r="M106" s="226">
        <f t="shared" si="63"/>
        <v>2.3118936031591786E-3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Groundnuts (dry): no. local meas</v>
      </c>
      <c r="B107" s="75">
        <f t="shared" ref="B107:C107" si="78">(B53/$B$83)</f>
        <v>1.8943280030840372E-2</v>
      </c>
      <c r="C107" s="75">
        <f t="shared" si="78"/>
        <v>-1.8943280030840372E-2</v>
      </c>
      <c r="D107" s="24">
        <f t="shared" si="57"/>
        <v>0</v>
      </c>
      <c r="H107" s="24">
        <f t="shared" si="58"/>
        <v>0.16969696969696968</v>
      </c>
      <c r="I107" s="22">
        <f t="shared" si="59"/>
        <v>0</v>
      </c>
      <c r="J107" s="24">
        <f t="shared" si="60"/>
        <v>3.0566729812244006E-3</v>
      </c>
      <c r="K107" s="22">
        <f t="shared" si="61"/>
        <v>1.8943280030840372E-2</v>
      </c>
      <c r="L107" s="22">
        <f t="shared" si="62"/>
        <v>3.2146172173547296E-3</v>
      </c>
      <c r="M107" s="226">
        <f t="shared" si="63"/>
        <v>3.0566729812244006E-3</v>
      </c>
      <c r="N107" s="228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WILD FOODS -- see worksheet Data 3</v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0.7151515151515152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>
        <v>6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Agricultural cash income -- see Data2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0.33636363636363642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Construction cash income -- see Data2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0.33636363636363642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Domestic work cash income -- see Data2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0.33636363636363642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(conservancies, etc.)</v>
      </c>
      <c r="B112" s="75">
        <f t="shared" ref="B112:C112" si="83">(B58/$B$83)</f>
        <v>10.399334534708284</v>
      </c>
      <c r="C112" s="75">
        <f t="shared" si="83"/>
        <v>0</v>
      </c>
      <c r="D112" s="24">
        <f t="shared" si="57"/>
        <v>10.399334534708284</v>
      </c>
      <c r="H112" s="24">
        <f t="shared" si="58"/>
        <v>0.42909090909090908</v>
      </c>
      <c r="I112" s="22">
        <f t="shared" si="59"/>
        <v>4.4622599094384636</v>
      </c>
      <c r="J112" s="24">
        <f t="shared" si="60"/>
        <v>4.4622599094384636</v>
      </c>
      <c r="K112" s="22">
        <f t="shared" si="61"/>
        <v>10.399334534708284</v>
      </c>
      <c r="L112" s="22">
        <f t="shared" si="62"/>
        <v>4.4622599094384636</v>
      </c>
      <c r="M112" s="226">
        <f t="shared" si="63"/>
        <v>4.4622599094384636</v>
      </c>
      <c r="N112" s="228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ref="B113:C113" si="84">(B59/$B$83)</f>
        <v>7.8930333461834867E-2</v>
      </c>
      <c r="C113" s="75">
        <f t="shared" si="84"/>
        <v>1.5786066692366974E-2</v>
      </c>
      <c r="D113" s="24">
        <f t="shared" si="57"/>
        <v>9.4716400154201838E-2</v>
      </c>
      <c r="H113" s="24">
        <f t="shared" si="58"/>
        <v>0.48484848484848486</v>
      </c>
      <c r="I113" s="22">
        <f t="shared" si="59"/>
        <v>4.5923103105067559E-2</v>
      </c>
      <c r="J113" s="24">
        <f t="shared" si="60"/>
        <v>3.8645310292628514E-2</v>
      </c>
      <c r="K113" s="22">
        <f t="shared" si="61"/>
        <v>7.8930333461834867E-2</v>
      </c>
      <c r="L113" s="22">
        <f t="shared" si="62"/>
        <v>3.8269252587556299E-2</v>
      </c>
      <c r="M113" s="226">
        <f t="shared" si="63"/>
        <v>3.8645310292628514E-2</v>
      </c>
      <c r="N113" s="228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ref="B114:C114" si="85">(B60/$B$83)</f>
        <v>3.4045810035427855</v>
      </c>
      <c r="C114" s="75">
        <f t="shared" si="85"/>
        <v>0</v>
      </c>
      <c r="D114" s="24">
        <f t="shared" si="57"/>
        <v>3.4045810035427855</v>
      </c>
      <c r="H114" s="24">
        <f t="shared" si="58"/>
        <v>0.57212121212121214</v>
      </c>
      <c r="I114" s="22">
        <f t="shared" si="59"/>
        <v>1.9478330105117512</v>
      </c>
      <c r="J114" s="24">
        <f t="shared" si="60"/>
        <v>1.9478330105117512</v>
      </c>
      <c r="K114" s="22">
        <f t="shared" si="61"/>
        <v>3.4045810035427855</v>
      </c>
      <c r="L114" s="22">
        <f t="shared" si="62"/>
        <v>1.9478330105117512</v>
      </c>
      <c r="M114" s="226">
        <f t="shared" si="63"/>
        <v>1.9478330105117512</v>
      </c>
      <c r="N114" s="228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ref="B115:C115" si="86">(B61/$B$83)</f>
        <v>0.80043023944842784</v>
      </c>
      <c r="C115" s="75">
        <f t="shared" si="86"/>
        <v>0</v>
      </c>
      <c r="D115" s="24">
        <f t="shared" si="57"/>
        <v>0.80043023944842784</v>
      </c>
      <c r="H115" s="24">
        <f t="shared" si="58"/>
        <v>0</v>
      </c>
      <c r="I115" s="22">
        <f t="shared" si="59"/>
        <v>0</v>
      </c>
      <c r="J115" s="24">
        <f t="shared" si="60"/>
        <v>0</v>
      </c>
      <c r="K115" s="22">
        <f t="shared" si="61"/>
        <v>0.80043023944842784</v>
      </c>
      <c r="L115" s="22">
        <f t="shared" si="62"/>
        <v>0</v>
      </c>
      <c r="M115" s="226">
        <f t="shared" si="63"/>
        <v>0</v>
      </c>
      <c r="N115" s="228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ref="B116:C116" si="87">(B62/$B$83)</f>
        <v>0.10260943350038533</v>
      </c>
      <c r="C116" s="75">
        <f t="shared" si="87"/>
        <v>0</v>
      </c>
      <c r="D116" s="24">
        <f t="shared" si="57"/>
        <v>0.10260943350038533</v>
      </c>
      <c r="H116" s="24">
        <f t="shared" si="58"/>
        <v>0.7151515151515152</v>
      </c>
      <c r="I116" s="22">
        <f t="shared" si="59"/>
        <v>7.3381291836639218E-2</v>
      </c>
      <c r="J116" s="24">
        <f t="shared" si="60"/>
        <v>7.3381291836639218E-2</v>
      </c>
      <c r="K116" s="22">
        <f t="shared" si="61"/>
        <v>0.10260943350038533</v>
      </c>
      <c r="L116" s="22">
        <f t="shared" si="62"/>
        <v>7.3381291836639218E-2</v>
      </c>
      <c r="M116" s="226">
        <f t="shared" si="63"/>
        <v>7.3381291836639218E-2</v>
      </c>
      <c r="N116" s="228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Other income: e.g. Credit (cotton loans)</v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>Remittances: no. times per year</v>
      </c>
      <c r="B118" s="75">
        <f t="shared" ref="B118:C118" si="89">(B64/$B$83)</f>
        <v>0.55645885090593594</v>
      </c>
      <c r="C118" s="75">
        <f t="shared" si="89"/>
        <v>0</v>
      </c>
      <c r="D118" s="24">
        <f t="shared" si="57"/>
        <v>0.55645885090593594</v>
      </c>
      <c r="H118" s="24">
        <f t="shared" si="58"/>
        <v>0.67272727272727284</v>
      </c>
      <c r="I118" s="22">
        <f t="shared" si="59"/>
        <v>0.37434504515490241</v>
      </c>
      <c r="J118" s="24">
        <f t="shared" si="60"/>
        <v>0.37434504515490241</v>
      </c>
      <c r="K118" s="22">
        <f t="shared" si="61"/>
        <v>0.55645885090593594</v>
      </c>
      <c r="L118" s="22">
        <f t="shared" si="62"/>
        <v>0.37434504515490241</v>
      </c>
      <c r="M118" s="226">
        <f t="shared" si="63"/>
        <v>0.37434504515490241</v>
      </c>
      <c r="N118" s="228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19.130852407360489</v>
      </c>
      <c r="C119" s="22">
        <f>SUM(C91:C118)</f>
        <v>-0.79686420281121362</v>
      </c>
      <c r="D119" s="24">
        <f>SUM(D91:D118)</f>
        <v>18.333988204549275</v>
      </c>
      <c r="E119" s="22"/>
      <c r="F119" s="2"/>
      <c r="G119" s="2"/>
      <c r="H119" s="31"/>
      <c r="I119" s="22">
        <f>SUM(I91:I118)</f>
        <v>7.83296876562496</v>
      </c>
      <c r="J119" s="24">
        <f>SUM(J91:J118)</f>
        <v>7.9744151327708206</v>
      </c>
      <c r="K119" s="22">
        <f>SUM(K91:K118)</f>
        <v>19.130852407360489</v>
      </c>
      <c r="L119" s="22">
        <f>SUM(L91:L118)</f>
        <v>7.9817239415801016</v>
      </c>
      <c r="M119" s="57">
        <f t="shared" si="50"/>
        <v>7.9744151327708206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1.2592558019670561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1.0684594683356841</v>
      </c>
      <c r="J124" s="236">
        <f>IF(SUMPRODUCT($B$124:$B124,$H$124:$H124)&lt;J$119,($B124*$H124),J$119)</f>
        <v>1.0684594683356841</v>
      </c>
      <c r="K124" s="22">
        <f>(B124)</f>
        <v>1.2592558019670561</v>
      </c>
      <c r="L124" s="29">
        <f>IF(SUMPRODUCT($B$124:$B124,$H$124:$H124)&lt;L$119,($B124*$H124),L$119)</f>
        <v>1.0684594683356841</v>
      </c>
      <c r="M124" s="57">
        <f t="shared" si="90"/>
        <v>1.0684594683356841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1.2591229894943441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0.90046371369898559</v>
      </c>
      <c r="J125" s="236">
        <f>IF(SUMPRODUCT($B$124:$B125,$H$124:$H125)&lt;J$119,($B125*$H125),IF(SUMPRODUCT($B$124:$B124,$H$124:$H124)&lt;J$119,J$119-SUMPRODUCT($B$124:$B124,$H$124:$H124),0))</f>
        <v>0.90046371369898559</v>
      </c>
      <c r="K125" s="22">
        <f t="shared" ref="K125:K126" si="91">(B125)</f>
        <v>1.2591229894943441</v>
      </c>
      <c r="L125" s="29">
        <f>IF(SUMPRODUCT($B$124:$B125,$H$124:$H125)&lt;L$119,($B125*$H125),IF(SUMPRODUCT($B$124:$B124,$H$124:$H124)&lt;L$119,L$119-SUMPRODUCT($B$124:$B124,$H$124:$H124),0))</f>
        <v>0.90046371369898559</v>
      </c>
      <c r="M125" s="57">
        <f t="shared" ref="M125:M126" si="92">(J125)</f>
        <v>0.90046371369898559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2.3267083697879682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1.6639490159695773</v>
      </c>
      <c r="K126" s="22">
        <f t="shared" si="91"/>
        <v>2.3267083697879682</v>
      </c>
      <c r="L126" s="29">
        <f>IF(SUMPRODUCT($B$124:$B126,$H$124:$H126)&lt;(L$119-L$128),($B126*$H126),IF(SUMPRODUCT($B$124:$B125,$H$124:$H125)&lt;(L$119-L$128),L$119-L$128-SUMPRODUCT($B$124:$B125,$H$124:$H125),0))</f>
        <v>1.6639490159695773</v>
      </c>
      <c r="M126" s="57">
        <f t="shared" si="92"/>
        <v>1.6639490159695773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2.4817670098737432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1.7748394373642529</v>
      </c>
      <c r="K127" s="22">
        <f>(B127)</f>
        <v>2.4817670098737432</v>
      </c>
      <c r="L127" s="29">
        <f>IF(SUMPRODUCT($B$124:$B127,$H$124:$H127)&lt;(L$119-L$128),($B127*$H127),IF(SUMPRODUCT($B$124:$B126,$H$124:$H126)&lt;(L$119-L128),L$119-L$128-SUMPRODUCT($B$124:$B126,$H$124:$H126),0))</f>
        <v>1.7748394373642529</v>
      </c>
      <c r="M127" s="57">
        <f t="shared" si="90"/>
        <v>1.7748394373642529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0.57492883275217932</v>
      </c>
      <c r="C128" s="2"/>
      <c r="D128" s="31"/>
      <c r="E128" s="2"/>
      <c r="F128" s="2"/>
      <c r="G128" s="2"/>
      <c r="H128" s="24"/>
      <c r="I128" s="29">
        <f>(I30)</f>
        <v>6.7645092972892762</v>
      </c>
      <c r="J128" s="227">
        <f>(J30)</f>
        <v>0.45663050876371392</v>
      </c>
      <c r="K128" s="22">
        <f>(B128)</f>
        <v>0.57492883275217932</v>
      </c>
      <c r="L128" s="22">
        <f>IF(L124=L119,0,(L119-L124)/(B119-B124)*K128)</f>
        <v>0.22239955175073872</v>
      </c>
      <c r="M128" s="57">
        <f t="shared" si="90"/>
        <v>0.45663050876371392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11.229069403485196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2.1100729886386063</v>
      </c>
      <c r="K129" s="29">
        <f>(B129)</f>
        <v>11.229069403485196</v>
      </c>
      <c r="L129" s="60">
        <f>IF(SUM(L124:L128)&gt;L130,0,L130-SUM(L124:L128))</f>
        <v>2.3516127544608629</v>
      </c>
      <c r="M129" s="57">
        <f t="shared" si="90"/>
        <v>2.1100729886386063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19.130852407360489</v>
      </c>
      <c r="C130" s="2"/>
      <c r="D130" s="31"/>
      <c r="E130" s="2"/>
      <c r="F130" s="2"/>
      <c r="G130" s="2"/>
      <c r="H130" s="24"/>
      <c r="I130" s="29">
        <f>(I119)</f>
        <v>7.83296876562496</v>
      </c>
      <c r="J130" s="227">
        <f>(J119)</f>
        <v>7.9744151327708206</v>
      </c>
      <c r="K130" s="22">
        <f>(B130)</f>
        <v>19.130852407360489</v>
      </c>
      <c r="L130" s="22">
        <f>(L119)</f>
        <v>7.9817239415801016</v>
      </c>
      <c r="M130" s="57">
        <f t="shared" si="90"/>
        <v>7.9744151327708206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0.90046371369898637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30" priority="180" operator="equal">
      <formula>16</formula>
    </cfRule>
    <cfRule type="cellIs" dxfId="129" priority="181" operator="equal">
      <formula>15</formula>
    </cfRule>
    <cfRule type="cellIs" dxfId="128" priority="182" operator="equal">
      <formula>14</formula>
    </cfRule>
    <cfRule type="cellIs" dxfId="127" priority="183" operator="equal">
      <formula>13</formula>
    </cfRule>
    <cfRule type="cellIs" dxfId="126" priority="184" operator="equal">
      <formula>12</formula>
    </cfRule>
    <cfRule type="cellIs" dxfId="125" priority="185" operator="equal">
      <formula>11</formula>
    </cfRule>
    <cfRule type="cellIs" dxfId="124" priority="186" operator="equal">
      <formula>10</formula>
    </cfRule>
    <cfRule type="cellIs" dxfId="123" priority="187" operator="equal">
      <formula>9</formula>
    </cfRule>
    <cfRule type="cellIs" dxfId="122" priority="188" operator="equal">
      <formula>8</formula>
    </cfRule>
    <cfRule type="cellIs" dxfId="121" priority="189" operator="equal">
      <formula>7</formula>
    </cfRule>
    <cfRule type="cellIs" dxfId="120" priority="190" operator="equal">
      <formula>6</formula>
    </cfRule>
    <cfRule type="cellIs" dxfId="119" priority="191" operator="equal">
      <formula>5</formula>
    </cfRule>
    <cfRule type="cellIs" dxfId="118" priority="192" operator="equal">
      <formula>4</formula>
    </cfRule>
    <cfRule type="cellIs" dxfId="117" priority="193" operator="equal">
      <formula>3</formula>
    </cfRule>
    <cfRule type="cellIs" dxfId="116" priority="194" operator="equal">
      <formula>2</formula>
    </cfRule>
    <cfRule type="cellIs" dxfId="115" priority="195" operator="equal">
      <formula>1</formula>
    </cfRule>
  </conditionalFormatting>
  <conditionalFormatting sqref="N29">
    <cfRule type="cellIs" dxfId="114" priority="164" operator="equal">
      <formula>16</formula>
    </cfRule>
    <cfRule type="cellIs" dxfId="113" priority="165" operator="equal">
      <formula>15</formula>
    </cfRule>
    <cfRule type="cellIs" dxfId="112" priority="166" operator="equal">
      <formula>14</formula>
    </cfRule>
    <cfRule type="cellIs" dxfId="111" priority="167" operator="equal">
      <formula>13</formula>
    </cfRule>
    <cfRule type="cellIs" dxfId="110" priority="168" operator="equal">
      <formula>12</formula>
    </cfRule>
    <cfRule type="cellIs" dxfId="109" priority="169" operator="equal">
      <formula>11</formula>
    </cfRule>
    <cfRule type="cellIs" dxfId="108" priority="170" operator="equal">
      <formula>10</formula>
    </cfRule>
    <cfRule type="cellIs" dxfId="107" priority="171" operator="equal">
      <formula>9</formula>
    </cfRule>
    <cfRule type="cellIs" dxfId="106" priority="172" operator="equal">
      <formula>8</formula>
    </cfRule>
    <cfRule type="cellIs" dxfId="105" priority="173" operator="equal">
      <formula>7</formula>
    </cfRule>
    <cfRule type="cellIs" dxfId="104" priority="174" operator="equal">
      <formula>6</formula>
    </cfRule>
    <cfRule type="cellIs" dxfId="103" priority="175" operator="equal">
      <formula>5</formula>
    </cfRule>
    <cfRule type="cellIs" dxfId="102" priority="176" operator="equal">
      <formula>4</formula>
    </cfRule>
    <cfRule type="cellIs" dxfId="101" priority="177" operator="equal">
      <formula>3</formula>
    </cfRule>
    <cfRule type="cellIs" dxfId="100" priority="178" operator="equal">
      <formula>2</formula>
    </cfRule>
    <cfRule type="cellIs" dxfId="99" priority="179" operator="equal">
      <formula>1</formula>
    </cfRule>
  </conditionalFormatting>
  <conditionalFormatting sqref="N113:N118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7:N28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2">
    <cfRule type="cellIs" dxfId="66" priority="68" operator="equal">
      <formula>16</formula>
    </cfRule>
    <cfRule type="cellIs" dxfId="65" priority="69" operator="equal">
      <formula>15</formula>
    </cfRule>
    <cfRule type="cellIs" dxfId="64" priority="70" operator="equal">
      <formula>14</formula>
    </cfRule>
    <cfRule type="cellIs" dxfId="63" priority="71" operator="equal">
      <formula>13</formula>
    </cfRule>
    <cfRule type="cellIs" dxfId="62" priority="72" operator="equal">
      <formula>12</formula>
    </cfRule>
    <cfRule type="cellIs" dxfId="61" priority="73" operator="equal">
      <formula>11</formula>
    </cfRule>
    <cfRule type="cellIs" dxfId="60" priority="74" operator="equal">
      <formula>10</formula>
    </cfRule>
    <cfRule type="cellIs" dxfId="59" priority="75" operator="equal">
      <formula>9</formula>
    </cfRule>
    <cfRule type="cellIs" dxfId="58" priority="76" operator="equal">
      <formula>8</formula>
    </cfRule>
    <cfRule type="cellIs" dxfId="57" priority="77" operator="equal">
      <formula>7</formula>
    </cfRule>
    <cfRule type="cellIs" dxfId="56" priority="78" operator="equal">
      <formula>6</formula>
    </cfRule>
    <cfRule type="cellIs" dxfId="55" priority="79" operator="equal">
      <formula>5</formula>
    </cfRule>
    <cfRule type="cellIs" dxfId="54" priority="80" operator="equal">
      <formula>4</formula>
    </cfRule>
    <cfRule type="cellIs" dxfId="53" priority="81" operator="equal">
      <formula>3</formula>
    </cfRule>
    <cfRule type="cellIs" dxfId="52" priority="82" operator="equal">
      <formula>2</formula>
    </cfRule>
    <cfRule type="cellIs" dxfId="51" priority="83" operator="equal">
      <formula>1</formula>
    </cfRule>
  </conditionalFormatting>
  <conditionalFormatting sqref="N91:N104">
    <cfRule type="cellIs" dxfId="50" priority="52" operator="equal">
      <formula>16</formula>
    </cfRule>
    <cfRule type="cellIs" dxfId="49" priority="53" operator="equal">
      <formula>15</formula>
    </cfRule>
    <cfRule type="cellIs" dxfId="48" priority="54" operator="equal">
      <formula>14</formula>
    </cfRule>
    <cfRule type="cellIs" dxfId="47" priority="55" operator="equal">
      <formula>13</formula>
    </cfRule>
    <cfRule type="cellIs" dxfId="46" priority="56" operator="equal">
      <formula>12</formula>
    </cfRule>
    <cfRule type="cellIs" dxfId="45" priority="57" operator="equal">
      <formula>11</formula>
    </cfRule>
    <cfRule type="cellIs" dxfId="44" priority="58" operator="equal">
      <formula>10</formula>
    </cfRule>
    <cfRule type="cellIs" dxfId="43" priority="59" operator="equal">
      <formula>9</formula>
    </cfRule>
    <cfRule type="cellIs" dxfId="42" priority="60" operator="equal">
      <formula>8</formula>
    </cfRule>
    <cfRule type="cellIs" dxfId="41" priority="61" operator="equal">
      <formula>7</formula>
    </cfRule>
    <cfRule type="cellIs" dxfId="40" priority="62" operator="equal">
      <formula>6</formula>
    </cfRule>
    <cfRule type="cellIs" dxfId="39" priority="63" operator="equal">
      <formula>5</formula>
    </cfRule>
    <cfRule type="cellIs" dxfId="38" priority="64" operator="equal">
      <formula>4</formula>
    </cfRule>
    <cfRule type="cellIs" dxfId="37" priority="65" operator="equal">
      <formula>3</formula>
    </cfRule>
    <cfRule type="cellIs" dxfId="36" priority="66" operator="equal">
      <formula>2</formula>
    </cfRule>
    <cfRule type="cellIs" dxfId="35" priority="67" operator="equal">
      <formula>1</formula>
    </cfRule>
  </conditionalFormatting>
  <conditionalFormatting sqref="N105:N111">
    <cfRule type="cellIs" dxfId="34" priority="36" operator="equal">
      <formula>16</formula>
    </cfRule>
    <cfRule type="cellIs" dxfId="33" priority="37" operator="equal">
      <formula>15</formula>
    </cfRule>
    <cfRule type="cellIs" dxfId="32" priority="38" operator="equal">
      <formula>14</formula>
    </cfRule>
    <cfRule type="cellIs" dxfId="31" priority="39" operator="equal">
      <formula>13</formula>
    </cfRule>
    <cfRule type="cellIs" dxfId="30" priority="40" operator="equal">
      <formula>12</formula>
    </cfRule>
    <cfRule type="cellIs" dxfId="29" priority="41" operator="equal">
      <formula>11</formula>
    </cfRule>
    <cfRule type="cellIs" dxfId="28" priority="42" operator="equal">
      <formula>10</formula>
    </cfRule>
    <cfRule type="cellIs" dxfId="27" priority="43" operator="equal">
      <formula>9</formula>
    </cfRule>
    <cfRule type="cellIs" dxfId="26" priority="44" operator="equal">
      <formula>8</formula>
    </cfRule>
    <cfRule type="cellIs" dxfId="25" priority="45" operator="equal">
      <formula>7</formula>
    </cfRule>
    <cfRule type="cellIs" dxfId="24" priority="46" operator="equal">
      <formula>6</formula>
    </cfRule>
    <cfRule type="cellIs" dxfId="23" priority="47" operator="equal">
      <formula>5</formula>
    </cfRule>
    <cfRule type="cellIs" dxfId="22" priority="48" operator="equal">
      <formula>4</formula>
    </cfRule>
    <cfRule type="cellIs" dxfId="21" priority="49" operator="equal">
      <formula>3</formula>
    </cfRule>
    <cfRule type="cellIs" dxfId="20" priority="50" operator="equal">
      <formula>2</formula>
    </cfRule>
    <cfRule type="cellIs" dxfId="19" priority="51" operator="equal">
      <formula>1</formula>
    </cfRule>
  </conditionalFormatting>
  <conditionalFormatting sqref="R31:T31">
    <cfRule type="cellIs" dxfId="18" priority="19" operator="greaterThan">
      <formula>0</formula>
    </cfRule>
  </conditionalFormatting>
  <conditionalFormatting sqref="R32:T32">
    <cfRule type="cellIs" dxfId="17" priority="18" operator="greaterThan">
      <formula>0</formula>
    </cfRule>
  </conditionalFormatting>
  <conditionalFormatting sqref="R30:T30">
    <cfRule type="cellIs" dxfId="16" priority="17" operator="greaterThan">
      <formula>0</formula>
    </cfRule>
  </conditionalFormatting>
  <conditionalFormatting sqref="N6:N26">
    <cfRule type="cellIs" dxfId="15" priority="1" operator="equal">
      <formula>16</formula>
    </cfRule>
    <cfRule type="cellIs" dxfId="14" priority="2" operator="equal">
      <formula>15</formula>
    </cfRule>
    <cfRule type="cellIs" dxfId="13" priority="3" operator="equal">
      <formula>14</formula>
    </cfRule>
    <cfRule type="cellIs" dxfId="12" priority="4" operator="equal">
      <formula>13</formula>
    </cfRule>
    <cfRule type="cellIs" dxfId="11" priority="5" operator="equal">
      <formula>12</formula>
    </cfRule>
    <cfRule type="cellIs" dxfId="10" priority="6" operator="equal">
      <formula>11</formula>
    </cfRule>
    <cfRule type="cellIs" dxfId="9" priority="7" operator="equal">
      <formula>10</formula>
    </cfRule>
    <cfRule type="cellIs" dxfId="8" priority="8" operator="equal">
      <formula>9</formula>
    </cfRule>
    <cfRule type="cellIs" dxfId="7" priority="9" operator="equal">
      <formula>8</formula>
    </cfRule>
    <cfRule type="cellIs" dxfId="6" priority="10" operator="equal">
      <formula>7</formula>
    </cfRule>
    <cfRule type="cellIs" dxfId="5" priority="11" operator="equal">
      <formula>6</formula>
    </cfRule>
    <cfRule type="cellIs" dxfId="4" priority="12" operator="equal">
      <formula>5</formula>
    </cfRule>
    <cfRule type="cellIs" dxfId="3" priority="13" operator="equal">
      <formula>4</formula>
    </cfRule>
    <cfRule type="cellIs" dxfId="2" priority="14" operator="equal">
      <formula>3</formula>
    </cfRule>
    <cfRule type="cellIs" dxfId="1" priority="15" operator="equal">
      <formula>2</formula>
    </cfRule>
    <cfRule type="cellIs" dxfId="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3" t="str">
        <f>Poor!A1</f>
        <v>ZA2XX: 59200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V.Poor!A3</f>
        <v>Sources of Food : Very Poor HHs</v>
      </c>
      <c r="C3" s="265"/>
      <c r="D3" s="265"/>
      <c r="E3" s="265"/>
      <c r="F3" s="244"/>
      <c r="G3" s="262" t="str">
        <f>Poor!A3</f>
        <v>Sources of Food : Poor HHs</v>
      </c>
      <c r="H3" s="262"/>
      <c r="I3" s="262"/>
      <c r="J3" s="262"/>
      <c r="K3" s="245"/>
      <c r="L3" s="262" t="str">
        <f>Middle!A3</f>
        <v>Sources of Food : Middle HHs</v>
      </c>
      <c r="M3" s="262"/>
      <c r="N3" s="262"/>
      <c r="O3" s="262"/>
      <c r="P3" s="262"/>
      <c r="Q3" s="246"/>
      <c r="R3" s="262" t="str">
        <f>Rich!A3</f>
        <v>Sources of Food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C57" workbookViewId="0">
      <selection activeCell="U83" sqref="U83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7" t="str">
        <f>Poor!A1</f>
        <v>ZA2XX: 59200</v>
      </c>
      <c r="L2" s="267"/>
      <c r="M2" s="267"/>
      <c r="N2" s="267"/>
      <c r="O2" s="267"/>
      <c r="P2" s="267"/>
      <c r="Q2" s="267"/>
      <c r="R2" s="87"/>
      <c r="S2" s="87"/>
      <c r="T2" s="87"/>
      <c r="U2" s="87"/>
      <c r="V2" s="87"/>
    </row>
    <row r="3" spans="1:22" s="92" customFormat="1" ht="17">
      <c r="A3" s="90"/>
      <c r="B3" s="89"/>
      <c r="C3" s="268" t="str">
        <f>V.Poor!A34</f>
        <v>Income : Very Poor HHs</v>
      </c>
      <c r="D3" s="268"/>
      <c r="E3" s="268"/>
      <c r="F3" s="90"/>
      <c r="G3" s="266" t="str">
        <f>Poor!A34</f>
        <v>Income : Poor HHs</v>
      </c>
      <c r="H3" s="266"/>
      <c r="I3" s="266"/>
      <c r="J3" s="266"/>
      <c r="K3" s="89"/>
      <c r="L3" s="266" t="str">
        <f>Middle!A34</f>
        <v>Income : Middle HHs</v>
      </c>
      <c r="M3" s="266"/>
      <c r="N3" s="266"/>
      <c r="O3" s="266"/>
      <c r="P3" s="266"/>
      <c r="Q3" s="91"/>
      <c r="R3" s="266" t="str">
        <f>Rich!A34</f>
        <v>Income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3341.4747240587867</v>
      </c>
      <c r="C72" s="109">
        <f>Poor!R7</f>
        <v>4523.1068643348763</v>
      </c>
      <c r="D72" s="109">
        <f>Middle!R7</f>
        <v>5835.0001358770542</v>
      </c>
      <c r="E72" s="109">
        <f>Rich!R7</f>
        <v>8224.1839802776612</v>
      </c>
      <c r="F72" s="109">
        <f>V.Poor!T7</f>
        <v>891.76654571003712</v>
      </c>
      <c r="G72" s="109">
        <f>Poor!T7</f>
        <v>1365.6805554831799</v>
      </c>
      <c r="H72" s="109">
        <f>Middle!T7</f>
        <v>1891.0626361323025</v>
      </c>
      <c r="I72" s="109">
        <f>Rich!T7</f>
        <v>2366.9558938711443</v>
      </c>
    </row>
    <row r="73" spans="1:9">
      <c r="A73" t="str">
        <f>V.Poor!Q8</f>
        <v>Own crops sold</v>
      </c>
      <c r="B73" s="109">
        <f>V.Poor!R8</f>
        <v>302.95954297718129</v>
      </c>
      <c r="C73" s="109">
        <f>Poor!R8</f>
        <v>836.92268590775336</v>
      </c>
      <c r="D73" s="109">
        <f>Middle!R8</f>
        <v>6532.5498876119191</v>
      </c>
      <c r="E73" s="109">
        <f>Rich!R8</f>
        <v>29538.128220935763</v>
      </c>
      <c r="F73" s="109">
        <f>V.Poor!T8</f>
        <v>10.971428571428575</v>
      </c>
      <c r="G73" s="109">
        <f>Poor!T8</f>
        <v>5.7999999999999954</v>
      </c>
      <c r="H73" s="109">
        <f>Middle!T8</f>
        <v>705.07870466546478</v>
      </c>
      <c r="I73" s="109">
        <f>Rich!T8</f>
        <v>6308.3782713473729</v>
      </c>
    </row>
    <row r="74" spans="1:9">
      <c r="A74" t="str">
        <f>V.Poor!Q9</f>
        <v>Animal products consumed</v>
      </c>
      <c r="B74" s="109">
        <f>V.Poor!R9</f>
        <v>446.73706902364438</v>
      </c>
      <c r="C74" s="109">
        <f>Poor!R9</f>
        <v>1115.7689497461563</v>
      </c>
      <c r="D74" s="109">
        <f>Middle!R9</f>
        <v>2349.8904945833574</v>
      </c>
      <c r="E74" s="109">
        <f>Rich!R9</f>
        <v>3569.9639619260679</v>
      </c>
      <c r="F74" s="109">
        <f>V.Poor!T9</f>
        <v>98.593204391897189</v>
      </c>
      <c r="G74" s="109">
        <f>Poor!T9</f>
        <v>246.24604436090095</v>
      </c>
      <c r="H74" s="109">
        <f>Middle!T9</f>
        <v>512.26501189185069</v>
      </c>
      <c r="I74" s="109">
        <f>Rich!T9</f>
        <v>786.97841686104789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2.1360966970590951</v>
      </c>
      <c r="D75" s="109">
        <f>Middle!R10</f>
        <v>1353.6749925934489</v>
      </c>
      <c r="E75" s="109">
        <f>Rich!R10</f>
        <v>2457.1215149599761</v>
      </c>
      <c r="F75" s="109">
        <f>V.Poor!T10</f>
        <v>0</v>
      </c>
      <c r="G75" s="109">
        <f>Poor!T10</f>
        <v>0.33714285714285719</v>
      </c>
      <c r="H75" s="109">
        <f>Middle!T10</f>
        <v>263.75645991501648</v>
      </c>
      <c r="I75" s="109">
        <f>Rich!T10</f>
        <v>393.49000208248066</v>
      </c>
    </row>
    <row r="76" spans="1:9">
      <c r="A76" t="str">
        <f>V.Poor!Q11</f>
        <v>Animals sold</v>
      </c>
      <c r="B76" s="109">
        <f>V.Poor!R11</f>
        <v>582.23892828410749</v>
      </c>
      <c r="C76" s="109">
        <f>Poor!R11</f>
        <v>4582.2478296963172</v>
      </c>
      <c r="D76" s="109">
        <f>Middle!R11</f>
        <v>18818.889838422219</v>
      </c>
      <c r="E76" s="109">
        <f>Rich!R11</f>
        <v>38310.100854410244</v>
      </c>
      <c r="F76" s="109">
        <f>V.Poor!T11</f>
        <v>275.49387755102038</v>
      </c>
      <c r="G76" s="109">
        <f>Poor!T11</f>
        <v>1735.569285714286</v>
      </c>
      <c r="H76" s="109">
        <f>Middle!T11</f>
        <v>6456.0604751538258</v>
      </c>
      <c r="I76" s="109">
        <f>Rich!T11</f>
        <v>15372.28270690874</v>
      </c>
    </row>
    <row r="77" spans="1:9">
      <c r="A77" t="str">
        <f>V.Poor!Q12</f>
        <v>Wild foods consumed and sold</v>
      </c>
      <c r="B77" s="109">
        <f>V.Poor!R12</f>
        <v>333.71108722934315</v>
      </c>
      <c r="C77" s="109">
        <f>Poor!R12</f>
        <v>261.67846338279497</v>
      </c>
      <c r="D77" s="109">
        <f>Middle!R12</f>
        <v>39.394324544774676</v>
      </c>
      <c r="E77" s="109">
        <f>Rich!R12</f>
        <v>31.033762813527726</v>
      </c>
      <c r="F77" s="109">
        <f>V.Poor!T12</f>
        <v>645.11762024323525</v>
      </c>
      <c r="G77" s="109">
        <f>Poor!T12</f>
        <v>379.32228644264376</v>
      </c>
      <c r="H77" s="109">
        <f>Middle!T12</f>
        <v>50.536957349212862</v>
      </c>
      <c r="I77" s="109">
        <f>Rich!T12</f>
        <v>34.665821622862381</v>
      </c>
    </row>
    <row r="78" spans="1:9">
      <c r="A78" t="str">
        <f>V.Poor!Q13</f>
        <v>Labour - casual</v>
      </c>
      <c r="B78" s="109">
        <f>V.Poor!R13</f>
        <v>8702.9667565955206</v>
      </c>
      <c r="C78" s="109">
        <f>Poor!R13</f>
        <v>10014.697008700983</v>
      </c>
      <c r="D78" s="109">
        <f>Middle!R13</f>
        <v>8485.6669962713222</v>
      </c>
      <c r="E78" s="109">
        <f>Rich!R13</f>
        <v>0</v>
      </c>
      <c r="F78" s="109">
        <f>V.Poor!T13</f>
        <v>3286.9154265812808</v>
      </c>
      <c r="G78" s="109">
        <f>Poor!T13</f>
        <v>3789.6470929628144</v>
      </c>
      <c r="H78" s="109">
        <f>Middle!T13</f>
        <v>3190.8479022955721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53170.498356510943</v>
      </c>
      <c r="E79" s="109">
        <f>Rich!R14</f>
        <v>192985.96125247487</v>
      </c>
      <c r="F79" s="109">
        <f>V.Poor!T14</f>
        <v>0</v>
      </c>
      <c r="G79" s="109">
        <f>Poor!T14</f>
        <v>0</v>
      </c>
      <c r="H79" s="109">
        <f>Middle!T14</f>
        <v>25175.902040816323</v>
      </c>
      <c r="I79" s="109">
        <f>Rich!T14</f>
        <v>91377.658775510194</v>
      </c>
    </row>
    <row r="80" spans="1:9">
      <c r="A80" t="str">
        <f>V.Poor!Q15</f>
        <v>Labour - public works</v>
      </c>
      <c r="B80" s="109">
        <f>V.Poor!R15</f>
        <v>4950.8618304409656</v>
      </c>
      <c r="C80" s="109">
        <f>Poor!R15</f>
        <v>2952.2992450053753</v>
      </c>
      <c r="D80" s="109">
        <f>Middle!R15</f>
        <v>5422.2678558148045</v>
      </c>
      <c r="E80" s="109">
        <f>Rich!R15</f>
        <v>1904.1776270926782</v>
      </c>
      <c r="F80" s="109">
        <f>V.Poor!T15</f>
        <v>3907.0040816326537</v>
      </c>
      <c r="G80" s="109">
        <f>Poor!T15</f>
        <v>2329.8257142857146</v>
      </c>
      <c r="H80" s="109">
        <f>Middle!T15</f>
        <v>4279.017142857143</v>
      </c>
      <c r="I80" s="109">
        <f>Rich!T15</f>
        <v>1502.6938775510205</v>
      </c>
    </row>
    <row r="81" spans="1:9">
      <c r="A81" t="str">
        <f>V.Poor!Q16</f>
        <v>Self - employment</v>
      </c>
      <c r="B81" s="109">
        <f>V.Poor!R16</f>
        <v>3573.9949308508735</v>
      </c>
      <c r="C81" s="109">
        <f>Poor!R16</f>
        <v>2516.3219091356141</v>
      </c>
      <c r="D81" s="109">
        <f>Middle!R16</f>
        <v>13414.443132194307</v>
      </c>
      <c r="E81" s="109">
        <f>Rich!R16</f>
        <v>1464.7520208405217</v>
      </c>
      <c r="F81" s="109">
        <f>V.Poor!T16</f>
        <v>2294.5959183673472</v>
      </c>
      <c r="G81" s="109">
        <f>Poor!T16</f>
        <v>1615.5428571428572</v>
      </c>
      <c r="H81" s="109">
        <f>Middle!T16</f>
        <v>8110.2924181089029</v>
      </c>
      <c r="I81" s="109">
        <f>Rich!T16</f>
        <v>791.37433696413848</v>
      </c>
    </row>
    <row r="82" spans="1:9">
      <c r="A82" t="str">
        <f>V.Poor!Q17</f>
        <v>Small business/petty trading</v>
      </c>
      <c r="B82" s="109">
        <f>V.Poor!R17</f>
        <v>878.85121250431325</v>
      </c>
      <c r="C82" s="109">
        <f>Poor!R17</f>
        <v>2999.0797626709691</v>
      </c>
      <c r="D82" s="109">
        <f>Middle!R17</f>
        <v>19891.332443014286</v>
      </c>
      <c r="E82" s="109">
        <f>Rich!R17</f>
        <v>63180.613666935067</v>
      </c>
      <c r="F82" s="109">
        <f>V.Poor!T17</f>
        <v>554.84081632653067</v>
      </c>
      <c r="G82" s="109">
        <f>Poor!T17</f>
        <v>1893.3942857142856</v>
      </c>
      <c r="H82" s="109">
        <f>Middle!T17</f>
        <v>12557.89714285714</v>
      </c>
      <c r="I82" s="109">
        <f>Rich!T17</f>
        <v>39887.506285714284</v>
      </c>
    </row>
    <row r="83" spans="1:9">
      <c r="A83" t="str">
        <f>V.Poor!Q18</f>
        <v>Food transfer - official</v>
      </c>
      <c r="B83" s="109">
        <f>V.Poor!R18</f>
        <v>2064.5211834646302</v>
      </c>
      <c r="C83" s="109">
        <f>Poor!R18</f>
        <v>2083.7806600068589</v>
      </c>
      <c r="D83" s="109">
        <f>Middle!R18</f>
        <v>1750.3511868212177</v>
      </c>
      <c r="E83" s="109">
        <f>Rich!R18</f>
        <v>995.90674281642259</v>
      </c>
      <c r="F83" s="109">
        <f>V.Poor!T18</f>
        <v>2278.1606131050276</v>
      </c>
      <c r="G83" s="109">
        <f>Poor!T18</f>
        <v>2299.4130861912531</v>
      </c>
      <c r="H83" s="109">
        <f>Middle!T18</f>
        <v>1931.4798825294079</v>
      </c>
      <c r="I83" s="109">
        <f>Rich!T18</f>
        <v>1098.9645124408878</v>
      </c>
    </row>
    <row r="84" spans="1:9">
      <c r="A84" t="str">
        <f>V.Poor!Q19</f>
        <v>Food transfer - gifts</v>
      </c>
      <c r="B84" s="109">
        <f>V.Poor!R19</f>
        <v>14.925919327655198</v>
      </c>
      <c r="C84" s="109">
        <f>Poor!R19</f>
        <v>14.925919327655205</v>
      </c>
      <c r="D84" s="109">
        <f>Middle!R19</f>
        <v>46.910346990817217</v>
      </c>
      <c r="E84" s="109">
        <f>Rich!R19</f>
        <v>141.77349312780316</v>
      </c>
      <c r="F84" s="109">
        <f>V.Poor!T19</f>
        <v>16.470473540786369</v>
      </c>
      <c r="G84" s="109">
        <f>Poor!T19</f>
        <v>16.470473540786369</v>
      </c>
      <c r="H84" s="109">
        <f>Middle!T19</f>
        <v>51.764692809896111</v>
      </c>
      <c r="I84" s="109">
        <f>Rich!T19</f>
        <v>156.4444049365749</v>
      </c>
    </row>
    <row r="85" spans="1:9">
      <c r="A85" t="str">
        <f>V.Poor!Q20</f>
        <v>Cash transfer - official</v>
      </c>
      <c r="B85" s="109">
        <f>V.Poor!R20</f>
        <v>33527.373876317448</v>
      </c>
      <c r="C85" s="109">
        <f>Poor!R20</f>
        <v>33512.701830892402</v>
      </c>
      <c r="D85" s="109">
        <f>Middle!R20</f>
        <v>23805.10767650275</v>
      </c>
      <c r="E85" s="109">
        <f>Rich!R20</f>
        <v>14854.008077146314</v>
      </c>
      <c r="F85" s="109">
        <f>V.Poor!T20</f>
        <v>0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2294.7781659834841</v>
      </c>
      <c r="C86" s="109">
        <f>Poor!R21</f>
        <v>3994.5008235005075</v>
      </c>
      <c r="D86" s="109">
        <f>Middle!R21</f>
        <v>6591.3840937823479</v>
      </c>
      <c r="E86" s="109">
        <f>Rich!R21</f>
        <v>10326.501746925682</v>
      </c>
      <c r="F86" s="109">
        <f>V.Poor!T21</f>
        <v>1703.5102040816328</v>
      </c>
      <c r="G86" s="109">
        <f>Poor!T21</f>
        <v>2965.2857142857147</v>
      </c>
      <c r="H86" s="109">
        <f>Middle!T21</f>
        <v>4893.0612244897957</v>
      </c>
      <c r="I86" s="109">
        <f>Rich!T21</f>
        <v>7665.7959183673474</v>
      </c>
    </row>
    <row r="87" spans="1:9">
      <c r="A87" t="str">
        <f>V.Poor!Q22</f>
        <v>Other</v>
      </c>
      <c r="B87" s="109">
        <f>V.Poor!R22</f>
        <v>109.85640156303916</v>
      </c>
      <c r="C87" s="109">
        <f>Poor!R22</f>
        <v>0</v>
      </c>
      <c r="D87" s="109">
        <f>Middle!R22</f>
        <v>390.60053889080581</v>
      </c>
      <c r="E87" s="109">
        <f>Rich!R22</f>
        <v>0</v>
      </c>
      <c r="F87" s="109">
        <f>V.Poor!T22</f>
        <v>73.469387755102048</v>
      </c>
      <c r="G87" s="109">
        <f>Poor!T22</f>
        <v>0</v>
      </c>
      <c r="H87" s="109">
        <f>Middle!T22</f>
        <v>261.22448979591837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61125.251628620994</v>
      </c>
      <c r="C88" s="109">
        <f>Poor!R23</f>
        <v>69410.168049005326</v>
      </c>
      <c r="D88" s="109">
        <f>Middle!R23</f>
        <v>167897.96230042638</v>
      </c>
      <c r="E88" s="109">
        <f>Rich!R23</f>
        <v>367984.22692268266</v>
      </c>
      <c r="F88" s="109">
        <f>V.Poor!T23</f>
        <v>16036.909597857979</v>
      </c>
      <c r="G88" s="109">
        <f>Poor!T23</f>
        <v>18642.534538981577</v>
      </c>
      <c r="H88" s="109">
        <f>Middle!T23</f>
        <v>70330.247181667772</v>
      </c>
      <c r="I88" s="109">
        <f>Rich!T23</f>
        <v>167743.18922417809</v>
      </c>
    </row>
    <row r="89" spans="1:9">
      <c r="A89" t="str">
        <f>V.Poor!Q24</f>
        <v>Food Poverty line</v>
      </c>
      <c r="B89" s="109">
        <f>V.Poor!R24</f>
        <v>37756.621173113177</v>
      </c>
      <c r="C89" s="109">
        <f>Poor!R24</f>
        <v>37756.62117311317</v>
      </c>
      <c r="D89" s="109">
        <f>Middle!R24</f>
        <v>37756.621173113177</v>
      </c>
      <c r="E89" s="109">
        <f>Rich!R24</f>
        <v>37756.621173113177</v>
      </c>
      <c r="F89" s="109">
        <f>V.Poor!T24</f>
        <v>37756.621173113177</v>
      </c>
      <c r="G89" s="109">
        <f>Poor!T24</f>
        <v>37756.62117311317</v>
      </c>
      <c r="H89" s="109">
        <f>Middle!T24</f>
        <v>37756.621173113177</v>
      </c>
      <c r="I89" s="109">
        <f>Rich!T24</f>
        <v>37756.621173113177</v>
      </c>
    </row>
    <row r="90" spans="1:9">
      <c r="A90" s="108" t="str">
        <f>V.Poor!Q25</f>
        <v>Lower Bound Poverty line</v>
      </c>
      <c r="B90" s="109">
        <f>V.Poor!R25</f>
        <v>56196.216275153995</v>
      </c>
      <c r="C90" s="109">
        <f>Poor!R25</f>
        <v>56196.216275154024</v>
      </c>
      <c r="D90" s="109">
        <f>Middle!R25</f>
        <v>56196.216275153995</v>
      </c>
      <c r="E90" s="109">
        <f>Rich!R25</f>
        <v>56196.216275153995</v>
      </c>
      <c r="F90" s="109">
        <f>V.Poor!T25</f>
        <v>56196.216275153995</v>
      </c>
      <c r="G90" s="109">
        <f>Poor!T25</f>
        <v>56196.216275154024</v>
      </c>
      <c r="H90" s="109">
        <f>Middle!T25</f>
        <v>56196.216275153995</v>
      </c>
      <c r="I90" s="109">
        <f>Rich!T25</f>
        <v>56196.216275153995</v>
      </c>
    </row>
    <row r="91" spans="1:9">
      <c r="A91" s="108" t="str">
        <f>V.Poor!Q26</f>
        <v>Upper Bound Poverty line</v>
      </c>
      <c r="B91" s="109">
        <f>V.Poor!R26</f>
        <v>90270.377907807037</v>
      </c>
      <c r="C91" s="109">
        <f>Poor!R26</f>
        <v>90270.377907807022</v>
      </c>
      <c r="D91" s="109">
        <f>Middle!R26</f>
        <v>90270.377907807037</v>
      </c>
      <c r="E91" s="109">
        <f>Rich!R26</f>
        <v>90270.377907807037</v>
      </c>
      <c r="F91" s="109">
        <f>V.Poor!T26</f>
        <v>90270.377907807037</v>
      </c>
      <c r="G91" s="109">
        <f>Poor!T26</f>
        <v>90270.377907807022</v>
      </c>
      <c r="H91" s="109">
        <f>Middle!T26</f>
        <v>90270.377907807037</v>
      </c>
      <c r="I91" s="109">
        <f>Rich!T26</f>
        <v>90270.377907807037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37756.621173113177</v>
      </c>
      <c r="G93" s="109">
        <f>Poor!T24</f>
        <v>37756.62117311317</v>
      </c>
      <c r="H93" s="109">
        <f>Middle!T24</f>
        <v>37756.621173113177</v>
      </c>
      <c r="I93" s="109">
        <f>Rich!T24</f>
        <v>37756.621173113177</v>
      </c>
    </row>
    <row r="94" spans="1:9">
      <c r="A94" t="str">
        <f>V.Poor!Q25</f>
        <v>Lower Bound Poverty line</v>
      </c>
      <c r="F94" s="109">
        <f>V.Poor!T25</f>
        <v>56196.216275153995</v>
      </c>
      <c r="G94" s="109">
        <f>Poor!T25</f>
        <v>56196.216275154024</v>
      </c>
      <c r="H94" s="109">
        <f>Middle!T25</f>
        <v>56196.216275153995</v>
      </c>
      <c r="I94" s="109">
        <f>Rich!T25</f>
        <v>56196.216275153995</v>
      </c>
    </row>
    <row r="95" spans="1:9">
      <c r="A95" t="str">
        <f>V.Poor!Q26</f>
        <v>Upper Bound Poverty line</v>
      </c>
      <c r="F95" s="109">
        <f>V.Poor!T26</f>
        <v>90270.377907807037</v>
      </c>
      <c r="G95" s="109">
        <f>Poor!T26</f>
        <v>90270.377907807022</v>
      </c>
      <c r="H95" s="109">
        <f>Middle!T26</f>
        <v>90270.377907807037</v>
      </c>
      <c r="I95" s="109">
        <f>Rich!T26</f>
        <v>90270.377907807037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21719.711575255198</v>
      </c>
      <c r="G98" s="238">
        <f t="shared" si="0"/>
        <v>19114.086634131592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0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40159.306677296016</v>
      </c>
      <c r="G99" s="238">
        <f t="shared" si="0"/>
        <v>37553.681736172446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29145.126279186043</v>
      </c>
      <c r="C100" s="238">
        <f t="shared" si="0"/>
        <v>20860.209858801696</v>
      </c>
      <c r="D100" s="238">
        <f t="shared" si="0"/>
        <v>0</v>
      </c>
      <c r="E100" s="238">
        <f t="shared" si="0"/>
        <v>0</v>
      </c>
      <c r="F100" s="238">
        <f t="shared" si="0"/>
        <v>74233.468309949065</v>
      </c>
      <c r="G100" s="238">
        <f t="shared" si="0"/>
        <v>71627.843368825444</v>
      </c>
      <c r="H100" s="238">
        <f t="shared" si="0"/>
        <v>19940.130726139265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3" t="str">
        <f>Poor!A1</f>
        <v>ZA2XX: 59200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V.Poor!A67</f>
        <v>Expenditure : Very Poor HHs</v>
      </c>
      <c r="C3" s="264"/>
      <c r="D3" s="264"/>
      <c r="E3" s="264"/>
      <c r="F3" s="249"/>
      <c r="G3" s="262" t="str">
        <f>Poor!A67</f>
        <v>Expenditure : Poor HHs</v>
      </c>
      <c r="H3" s="262"/>
      <c r="I3" s="262"/>
      <c r="J3" s="262"/>
      <c r="K3" s="245"/>
      <c r="L3" s="262" t="str">
        <f>Middle!A67</f>
        <v>Expenditure : Middle HHs</v>
      </c>
      <c r="M3" s="262"/>
      <c r="N3" s="262"/>
      <c r="O3" s="262"/>
      <c r="P3" s="262"/>
      <c r="Q3" s="246"/>
      <c r="R3" s="262" t="str">
        <f>Rich!A67</f>
        <v>Expenditure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80" sqref="A80:A83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v>0.35</v>
      </c>
      <c r="C2" s="202">
        <v>0.32714285714285712</v>
      </c>
      <c r="D2" s="202">
        <v>0.22999999999999998</v>
      </c>
      <c r="E2" s="202">
        <v>9.285714285714286E-2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3341.4747240587867</v>
      </c>
      <c r="C3" s="203">
        <f>Income!C72</f>
        <v>4523.1068643348763</v>
      </c>
      <c r="D3" s="203">
        <f>Income!D72</f>
        <v>5835.0001358770542</v>
      </c>
      <c r="E3" s="203">
        <f>Income!E72</f>
        <v>8224.1839802776612</v>
      </c>
      <c r="F3" s="204">
        <f>IF(F$2&lt;=($B$2+$C$2+$D$2),IF(F$2&lt;=($B$2+$C$2),IF(F$2&lt;=$B$2,$B3,$C3),$D3),$E3)</f>
        <v>3341.4747240587867</v>
      </c>
      <c r="G3" s="204">
        <f t="shared" ref="G3:AW7" si="0">IF(G$2&lt;=($B$2+$C$2+$D$2),IF(G$2&lt;=($B$2+$C$2),IF(G$2&lt;=$B$2,$B3,$C3),$D3),$E3)</f>
        <v>3341.4747240587867</v>
      </c>
      <c r="H3" s="204">
        <f t="shared" si="0"/>
        <v>3341.4747240587867</v>
      </c>
      <c r="I3" s="204">
        <f t="shared" si="0"/>
        <v>3341.4747240587867</v>
      </c>
      <c r="J3" s="204">
        <f t="shared" si="0"/>
        <v>3341.4747240587867</v>
      </c>
      <c r="K3" s="204">
        <f t="shared" si="0"/>
        <v>3341.4747240587867</v>
      </c>
      <c r="L3" s="204">
        <f t="shared" si="0"/>
        <v>3341.4747240587867</v>
      </c>
      <c r="M3" s="204">
        <f t="shared" si="0"/>
        <v>3341.4747240587867</v>
      </c>
      <c r="N3" s="204">
        <f t="shared" si="0"/>
        <v>3341.4747240587867</v>
      </c>
      <c r="O3" s="204">
        <f t="shared" si="0"/>
        <v>3341.4747240587867</v>
      </c>
      <c r="P3" s="204">
        <f t="shared" si="0"/>
        <v>3341.4747240587867</v>
      </c>
      <c r="Q3" s="204">
        <f t="shared" si="0"/>
        <v>3341.4747240587867</v>
      </c>
      <c r="R3" s="204">
        <f t="shared" si="0"/>
        <v>3341.4747240587867</v>
      </c>
      <c r="S3" s="204">
        <f t="shared" si="0"/>
        <v>3341.4747240587867</v>
      </c>
      <c r="T3" s="204">
        <f t="shared" si="0"/>
        <v>3341.4747240587867</v>
      </c>
      <c r="U3" s="204">
        <f t="shared" si="0"/>
        <v>3341.4747240587867</v>
      </c>
      <c r="V3" s="204">
        <f t="shared" si="0"/>
        <v>3341.4747240587867</v>
      </c>
      <c r="W3" s="204">
        <f t="shared" si="0"/>
        <v>3341.4747240587867</v>
      </c>
      <c r="X3" s="204">
        <f t="shared" si="0"/>
        <v>3341.4747240587867</v>
      </c>
      <c r="Y3" s="204">
        <f t="shared" si="0"/>
        <v>3341.4747240587867</v>
      </c>
      <c r="Z3" s="204">
        <f t="shared" si="0"/>
        <v>3341.4747240587867</v>
      </c>
      <c r="AA3" s="204">
        <f t="shared" si="0"/>
        <v>3341.4747240587867</v>
      </c>
      <c r="AB3" s="204">
        <f t="shared" si="0"/>
        <v>3341.4747240587867</v>
      </c>
      <c r="AC3" s="204">
        <f t="shared" si="0"/>
        <v>3341.4747240587867</v>
      </c>
      <c r="AD3" s="204">
        <f t="shared" si="0"/>
        <v>3341.4747240587867</v>
      </c>
      <c r="AE3" s="204">
        <f t="shared" si="0"/>
        <v>3341.4747240587867</v>
      </c>
      <c r="AF3" s="204">
        <f t="shared" si="0"/>
        <v>3341.4747240587867</v>
      </c>
      <c r="AG3" s="204">
        <f t="shared" si="0"/>
        <v>3341.4747240587867</v>
      </c>
      <c r="AH3" s="204">
        <f t="shared" si="0"/>
        <v>3341.4747240587867</v>
      </c>
      <c r="AI3" s="204">
        <f t="shared" si="0"/>
        <v>3341.4747240587867</v>
      </c>
      <c r="AJ3" s="204">
        <f t="shared" si="0"/>
        <v>3341.4747240587867</v>
      </c>
      <c r="AK3" s="204">
        <f t="shared" si="0"/>
        <v>3341.4747240587867</v>
      </c>
      <c r="AL3" s="204">
        <f t="shared" si="0"/>
        <v>3341.4747240587867</v>
      </c>
      <c r="AM3" s="204">
        <f t="shared" si="0"/>
        <v>3341.4747240587867</v>
      </c>
      <c r="AN3" s="204">
        <f t="shared" si="0"/>
        <v>3341.4747240587867</v>
      </c>
      <c r="AO3" s="204">
        <f t="shared" si="0"/>
        <v>4523.1068643348763</v>
      </c>
      <c r="AP3" s="204">
        <f t="shared" si="0"/>
        <v>4523.1068643348763</v>
      </c>
      <c r="AQ3" s="204">
        <f t="shared" si="0"/>
        <v>4523.1068643348763</v>
      </c>
      <c r="AR3" s="204">
        <f t="shared" si="0"/>
        <v>4523.1068643348763</v>
      </c>
      <c r="AS3" s="204">
        <f t="shared" si="0"/>
        <v>4523.1068643348763</v>
      </c>
      <c r="AT3" s="204">
        <f t="shared" si="0"/>
        <v>4523.1068643348763</v>
      </c>
      <c r="AU3" s="204">
        <f t="shared" si="0"/>
        <v>4523.1068643348763</v>
      </c>
      <c r="AV3" s="204">
        <f t="shared" si="0"/>
        <v>4523.1068643348763</v>
      </c>
      <c r="AW3" s="204">
        <f t="shared" si="0"/>
        <v>4523.1068643348763</v>
      </c>
      <c r="AX3" s="204">
        <f t="shared" ref="AX3:BZ10" si="1">IF(AX$2&lt;=($B$2+$C$2+$D$2),IF(AX$2&lt;=($B$2+$C$2),IF(AX$2&lt;=$B$2,$B3,$C3),$D3),$E3)</f>
        <v>4523.1068643348763</v>
      </c>
      <c r="AY3" s="204">
        <f t="shared" si="1"/>
        <v>4523.1068643348763</v>
      </c>
      <c r="AZ3" s="204">
        <f t="shared" si="1"/>
        <v>4523.1068643348763</v>
      </c>
      <c r="BA3" s="204">
        <f t="shared" si="1"/>
        <v>4523.1068643348763</v>
      </c>
      <c r="BB3" s="204">
        <f t="shared" si="1"/>
        <v>4523.1068643348763</v>
      </c>
      <c r="BC3" s="204">
        <f t="shared" si="1"/>
        <v>4523.1068643348763</v>
      </c>
      <c r="BD3" s="204">
        <f t="shared" si="1"/>
        <v>4523.1068643348763</v>
      </c>
      <c r="BE3" s="204">
        <f t="shared" si="1"/>
        <v>4523.1068643348763</v>
      </c>
      <c r="BF3" s="204">
        <f t="shared" si="1"/>
        <v>4523.1068643348763</v>
      </c>
      <c r="BG3" s="204">
        <f t="shared" si="1"/>
        <v>4523.1068643348763</v>
      </c>
      <c r="BH3" s="204">
        <f t="shared" si="1"/>
        <v>4523.1068643348763</v>
      </c>
      <c r="BI3" s="204">
        <f t="shared" si="1"/>
        <v>4523.1068643348763</v>
      </c>
      <c r="BJ3" s="204">
        <f t="shared" si="1"/>
        <v>4523.1068643348763</v>
      </c>
      <c r="BK3" s="204">
        <f t="shared" si="1"/>
        <v>4523.1068643348763</v>
      </c>
      <c r="BL3" s="204">
        <f t="shared" si="1"/>
        <v>4523.1068643348763</v>
      </c>
      <c r="BM3" s="204">
        <f t="shared" si="1"/>
        <v>4523.1068643348763</v>
      </c>
      <c r="BN3" s="204">
        <f t="shared" si="1"/>
        <v>4523.1068643348763</v>
      </c>
      <c r="BO3" s="204">
        <f t="shared" si="1"/>
        <v>4523.1068643348763</v>
      </c>
      <c r="BP3" s="204">
        <f t="shared" si="1"/>
        <v>4523.1068643348763</v>
      </c>
      <c r="BQ3" s="204">
        <f t="shared" si="1"/>
        <v>4523.1068643348763</v>
      </c>
      <c r="BR3" s="204">
        <f t="shared" si="1"/>
        <v>4523.1068643348763</v>
      </c>
      <c r="BS3" s="204">
        <f t="shared" si="1"/>
        <v>4523.1068643348763</v>
      </c>
      <c r="BT3" s="204">
        <f t="shared" si="1"/>
        <v>4523.1068643348763</v>
      </c>
      <c r="BU3" s="204">
        <f t="shared" si="1"/>
        <v>5835.0001358770542</v>
      </c>
      <c r="BV3" s="204">
        <f t="shared" si="1"/>
        <v>5835.0001358770542</v>
      </c>
      <c r="BW3" s="204">
        <f t="shared" si="1"/>
        <v>5835.0001358770542</v>
      </c>
      <c r="BX3" s="204">
        <f t="shared" si="1"/>
        <v>5835.0001358770542</v>
      </c>
      <c r="BY3" s="204">
        <f t="shared" si="1"/>
        <v>5835.0001358770542</v>
      </c>
      <c r="BZ3" s="204">
        <f t="shared" si="1"/>
        <v>5835.0001358770542</v>
      </c>
      <c r="CA3" s="204">
        <f t="shared" ref="CA3:CR15" si="2">IF(CA$2&lt;=($B$2+$C$2+$D$2),IF(CA$2&lt;=($B$2+$C$2),IF(CA$2&lt;=$B$2,$B3,$C3),$D3),$E3)</f>
        <v>5835.0001358770542</v>
      </c>
      <c r="CB3" s="204">
        <f t="shared" si="2"/>
        <v>5835.0001358770542</v>
      </c>
      <c r="CC3" s="204">
        <f t="shared" si="2"/>
        <v>5835.0001358770542</v>
      </c>
      <c r="CD3" s="204">
        <f t="shared" si="2"/>
        <v>5835.0001358770542</v>
      </c>
      <c r="CE3" s="204">
        <f t="shared" si="2"/>
        <v>5835.0001358770542</v>
      </c>
      <c r="CF3" s="204">
        <f t="shared" si="2"/>
        <v>5835.0001358770542</v>
      </c>
      <c r="CG3" s="204">
        <f t="shared" si="2"/>
        <v>5835.0001358770542</v>
      </c>
      <c r="CH3" s="204">
        <f t="shared" si="2"/>
        <v>5835.0001358770542</v>
      </c>
      <c r="CI3" s="204">
        <f t="shared" si="2"/>
        <v>5835.0001358770542</v>
      </c>
      <c r="CJ3" s="204">
        <f t="shared" si="2"/>
        <v>5835.0001358770542</v>
      </c>
      <c r="CK3" s="204">
        <f t="shared" si="2"/>
        <v>5835.0001358770542</v>
      </c>
      <c r="CL3" s="204">
        <f t="shared" si="2"/>
        <v>5835.0001358770542</v>
      </c>
      <c r="CM3" s="204">
        <f t="shared" si="2"/>
        <v>5835.0001358770542</v>
      </c>
      <c r="CN3" s="204">
        <f t="shared" si="2"/>
        <v>5835.0001358770542</v>
      </c>
      <c r="CO3" s="204">
        <f t="shared" si="2"/>
        <v>5835.0001358770542</v>
      </c>
      <c r="CP3" s="204">
        <f t="shared" si="2"/>
        <v>5835.0001358770542</v>
      </c>
      <c r="CQ3" s="204">
        <f t="shared" si="2"/>
        <v>5835.0001358770542</v>
      </c>
      <c r="CR3" s="204">
        <f t="shared" si="2"/>
        <v>8224.1839802776612</v>
      </c>
      <c r="CS3" s="204">
        <f t="shared" ref="CS3:DA15" si="3">IF(CS$2&lt;=($B$2+$C$2+$D$2),IF(CS$2&lt;=($B$2+$C$2),IF(CS$2&lt;=$B$2,$B3,$C3),$D3),$E3)</f>
        <v>8224.1839802776612</v>
      </c>
      <c r="CT3" s="204">
        <f t="shared" si="3"/>
        <v>8224.1839802776612</v>
      </c>
      <c r="CU3" s="204">
        <f t="shared" si="3"/>
        <v>8224.1839802776612</v>
      </c>
      <c r="CV3" s="204">
        <f t="shared" si="3"/>
        <v>8224.1839802776612</v>
      </c>
      <c r="CW3" s="204">
        <f t="shared" si="3"/>
        <v>8224.1839802776612</v>
      </c>
      <c r="CX3" s="204">
        <f t="shared" si="3"/>
        <v>8224.1839802776612</v>
      </c>
      <c r="CY3" s="204">
        <f t="shared" si="3"/>
        <v>8224.1839802776612</v>
      </c>
      <c r="CZ3" s="204">
        <f t="shared" si="3"/>
        <v>8224.1839802776612</v>
      </c>
      <c r="DA3" s="204">
        <f t="shared" si="3"/>
        <v>8224.1839802776612</v>
      </c>
      <c r="DB3" s="204"/>
    </row>
    <row r="4" spans="1:106">
      <c r="A4" s="201" t="str">
        <f>Income!A73</f>
        <v>Own crops sold</v>
      </c>
      <c r="B4" s="203">
        <f>Income!B73</f>
        <v>302.95954297718129</v>
      </c>
      <c r="C4" s="203">
        <f>Income!C73</f>
        <v>836.92268590775336</v>
      </c>
      <c r="D4" s="203">
        <f>Income!D73</f>
        <v>6532.5498876119191</v>
      </c>
      <c r="E4" s="203">
        <f>Income!E73</f>
        <v>29538.128220935763</v>
      </c>
      <c r="F4" s="204">
        <f t="shared" ref="F4:U17" si="4">IF(F$2&lt;=($B$2+$C$2+$D$2),IF(F$2&lt;=($B$2+$C$2),IF(F$2&lt;=$B$2,$B4,$C4),$D4),$E4)</f>
        <v>302.95954297718129</v>
      </c>
      <c r="G4" s="204">
        <f t="shared" si="0"/>
        <v>302.95954297718129</v>
      </c>
      <c r="H4" s="204">
        <f t="shared" si="0"/>
        <v>302.95954297718129</v>
      </c>
      <c r="I4" s="204">
        <f t="shared" si="0"/>
        <v>302.95954297718129</v>
      </c>
      <c r="J4" s="204">
        <f t="shared" si="0"/>
        <v>302.95954297718129</v>
      </c>
      <c r="K4" s="204">
        <f t="shared" si="0"/>
        <v>302.95954297718129</v>
      </c>
      <c r="L4" s="204">
        <f t="shared" si="0"/>
        <v>302.95954297718129</v>
      </c>
      <c r="M4" s="204">
        <f t="shared" si="0"/>
        <v>302.95954297718129</v>
      </c>
      <c r="N4" s="204">
        <f t="shared" si="0"/>
        <v>302.95954297718129</v>
      </c>
      <c r="O4" s="204">
        <f t="shared" si="0"/>
        <v>302.95954297718129</v>
      </c>
      <c r="P4" s="204">
        <f t="shared" si="0"/>
        <v>302.95954297718129</v>
      </c>
      <c r="Q4" s="204">
        <f t="shared" si="0"/>
        <v>302.95954297718129</v>
      </c>
      <c r="R4" s="204">
        <f t="shared" si="0"/>
        <v>302.95954297718129</v>
      </c>
      <c r="S4" s="204">
        <f t="shared" si="0"/>
        <v>302.95954297718129</v>
      </c>
      <c r="T4" s="204">
        <f t="shared" si="0"/>
        <v>302.95954297718129</v>
      </c>
      <c r="U4" s="204">
        <f t="shared" si="0"/>
        <v>302.95954297718129</v>
      </c>
      <c r="V4" s="204">
        <f t="shared" si="0"/>
        <v>302.95954297718129</v>
      </c>
      <c r="W4" s="204">
        <f t="shared" si="0"/>
        <v>302.95954297718129</v>
      </c>
      <c r="X4" s="204">
        <f t="shared" si="0"/>
        <v>302.95954297718129</v>
      </c>
      <c r="Y4" s="204">
        <f t="shared" si="0"/>
        <v>302.95954297718129</v>
      </c>
      <c r="Z4" s="204">
        <f t="shared" si="0"/>
        <v>302.95954297718129</v>
      </c>
      <c r="AA4" s="204">
        <f t="shared" si="0"/>
        <v>302.95954297718129</v>
      </c>
      <c r="AB4" s="204">
        <f t="shared" si="0"/>
        <v>302.95954297718129</v>
      </c>
      <c r="AC4" s="204">
        <f t="shared" si="0"/>
        <v>302.95954297718129</v>
      </c>
      <c r="AD4" s="204">
        <f t="shared" si="0"/>
        <v>302.95954297718129</v>
      </c>
      <c r="AE4" s="204">
        <f t="shared" si="0"/>
        <v>302.95954297718129</v>
      </c>
      <c r="AF4" s="204">
        <f t="shared" si="0"/>
        <v>302.95954297718129</v>
      </c>
      <c r="AG4" s="204">
        <f t="shared" si="0"/>
        <v>302.95954297718129</v>
      </c>
      <c r="AH4" s="204">
        <f t="shared" si="0"/>
        <v>302.95954297718129</v>
      </c>
      <c r="AI4" s="204">
        <f t="shared" si="0"/>
        <v>302.95954297718129</v>
      </c>
      <c r="AJ4" s="204">
        <f t="shared" si="0"/>
        <v>302.95954297718129</v>
      </c>
      <c r="AK4" s="204">
        <f t="shared" si="0"/>
        <v>302.95954297718129</v>
      </c>
      <c r="AL4" s="204">
        <f t="shared" si="0"/>
        <v>302.95954297718129</v>
      </c>
      <c r="AM4" s="204">
        <f t="shared" si="0"/>
        <v>302.95954297718129</v>
      </c>
      <c r="AN4" s="204">
        <f t="shared" si="0"/>
        <v>302.95954297718129</v>
      </c>
      <c r="AO4" s="204">
        <f t="shared" si="0"/>
        <v>836.92268590775336</v>
      </c>
      <c r="AP4" s="204">
        <f t="shared" si="0"/>
        <v>836.92268590775336</v>
      </c>
      <c r="AQ4" s="204">
        <f t="shared" si="0"/>
        <v>836.92268590775336</v>
      </c>
      <c r="AR4" s="204">
        <f t="shared" si="0"/>
        <v>836.92268590775336</v>
      </c>
      <c r="AS4" s="204">
        <f t="shared" si="0"/>
        <v>836.92268590775336</v>
      </c>
      <c r="AT4" s="204">
        <f t="shared" si="0"/>
        <v>836.92268590775336</v>
      </c>
      <c r="AU4" s="204">
        <f t="shared" si="0"/>
        <v>836.92268590775336</v>
      </c>
      <c r="AV4" s="204">
        <f t="shared" si="0"/>
        <v>836.92268590775336</v>
      </c>
      <c r="AW4" s="204">
        <f t="shared" si="0"/>
        <v>836.92268590775336</v>
      </c>
      <c r="AX4" s="204">
        <f t="shared" si="1"/>
        <v>836.92268590775336</v>
      </c>
      <c r="AY4" s="204">
        <f t="shared" si="1"/>
        <v>836.92268590775336</v>
      </c>
      <c r="AZ4" s="204">
        <f t="shared" si="1"/>
        <v>836.92268590775336</v>
      </c>
      <c r="BA4" s="204">
        <f t="shared" si="1"/>
        <v>836.92268590775336</v>
      </c>
      <c r="BB4" s="204">
        <f t="shared" si="1"/>
        <v>836.92268590775336</v>
      </c>
      <c r="BC4" s="204">
        <f t="shared" si="1"/>
        <v>836.92268590775336</v>
      </c>
      <c r="BD4" s="204">
        <f t="shared" si="1"/>
        <v>836.92268590775336</v>
      </c>
      <c r="BE4" s="204">
        <f t="shared" si="1"/>
        <v>836.92268590775336</v>
      </c>
      <c r="BF4" s="204">
        <f t="shared" si="1"/>
        <v>836.92268590775336</v>
      </c>
      <c r="BG4" s="204">
        <f t="shared" si="1"/>
        <v>836.92268590775336</v>
      </c>
      <c r="BH4" s="204">
        <f t="shared" si="1"/>
        <v>836.92268590775336</v>
      </c>
      <c r="BI4" s="204">
        <f t="shared" si="1"/>
        <v>836.92268590775336</v>
      </c>
      <c r="BJ4" s="204">
        <f t="shared" si="1"/>
        <v>836.92268590775336</v>
      </c>
      <c r="BK4" s="204">
        <f t="shared" si="1"/>
        <v>836.92268590775336</v>
      </c>
      <c r="BL4" s="204">
        <f t="shared" si="1"/>
        <v>836.92268590775336</v>
      </c>
      <c r="BM4" s="204">
        <f t="shared" si="1"/>
        <v>836.92268590775336</v>
      </c>
      <c r="BN4" s="204">
        <f t="shared" si="1"/>
        <v>836.92268590775336</v>
      </c>
      <c r="BO4" s="204">
        <f t="shared" si="1"/>
        <v>836.92268590775336</v>
      </c>
      <c r="BP4" s="204">
        <f t="shared" si="1"/>
        <v>836.92268590775336</v>
      </c>
      <c r="BQ4" s="204">
        <f t="shared" si="1"/>
        <v>836.92268590775336</v>
      </c>
      <c r="BR4" s="204">
        <f t="shared" si="1"/>
        <v>836.92268590775336</v>
      </c>
      <c r="BS4" s="204">
        <f t="shared" si="1"/>
        <v>836.92268590775336</v>
      </c>
      <c r="BT4" s="204">
        <f t="shared" si="1"/>
        <v>836.92268590775336</v>
      </c>
      <c r="BU4" s="204">
        <f t="shared" si="1"/>
        <v>6532.5498876119191</v>
      </c>
      <c r="BV4" s="204">
        <f t="shared" si="1"/>
        <v>6532.5498876119191</v>
      </c>
      <c r="BW4" s="204">
        <f t="shared" si="1"/>
        <v>6532.5498876119191</v>
      </c>
      <c r="BX4" s="204">
        <f t="shared" si="1"/>
        <v>6532.5498876119191</v>
      </c>
      <c r="BY4" s="204">
        <f t="shared" si="1"/>
        <v>6532.5498876119191</v>
      </c>
      <c r="BZ4" s="204">
        <f t="shared" si="1"/>
        <v>6532.5498876119191</v>
      </c>
      <c r="CA4" s="204">
        <f t="shared" si="2"/>
        <v>6532.5498876119191</v>
      </c>
      <c r="CB4" s="204">
        <f t="shared" si="2"/>
        <v>6532.5498876119191</v>
      </c>
      <c r="CC4" s="204">
        <f t="shared" si="2"/>
        <v>6532.5498876119191</v>
      </c>
      <c r="CD4" s="204">
        <f t="shared" si="2"/>
        <v>6532.5498876119191</v>
      </c>
      <c r="CE4" s="204">
        <f t="shared" si="2"/>
        <v>6532.5498876119191</v>
      </c>
      <c r="CF4" s="204">
        <f t="shared" si="2"/>
        <v>6532.5498876119191</v>
      </c>
      <c r="CG4" s="204">
        <f t="shared" si="2"/>
        <v>6532.5498876119191</v>
      </c>
      <c r="CH4" s="204">
        <f t="shared" si="2"/>
        <v>6532.5498876119191</v>
      </c>
      <c r="CI4" s="204">
        <f t="shared" si="2"/>
        <v>6532.5498876119191</v>
      </c>
      <c r="CJ4" s="204">
        <f t="shared" si="2"/>
        <v>6532.5498876119191</v>
      </c>
      <c r="CK4" s="204">
        <f t="shared" si="2"/>
        <v>6532.5498876119191</v>
      </c>
      <c r="CL4" s="204">
        <f t="shared" si="2"/>
        <v>6532.5498876119191</v>
      </c>
      <c r="CM4" s="204">
        <f t="shared" si="2"/>
        <v>6532.5498876119191</v>
      </c>
      <c r="CN4" s="204">
        <f t="shared" si="2"/>
        <v>6532.5498876119191</v>
      </c>
      <c r="CO4" s="204">
        <f t="shared" si="2"/>
        <v>6532.5498876119191</v>
      </c>
      <c r="CP4" s="204">
        <f t="shared" si="2"/>
        <v>6532.5498876119191</v>
      </c>
      <c r="CQ4" s="204">
        <f t="shared" si="2"/>
        <v>6532.5498876119191</v>
      </c>
      <c r="CR4" s="204">
        <f t="shared" si="2"/>
        <v>29538.128220935763</v>
      </c>
      <c r="CS4" s="204">
        <f t="shared" si="3"/>
        <v>29538.128220935763</v>
      </c>
      <c r="CT4" s="204">
        <f t="shared" si="3"/>
        <v>29538.128220935763</v>
      </c>
      <c r="CU4" s="204">
        <f t="shared" si="3"/>
        <v>29538.128220935763</v>
      </c>
      <c r="CV4" s="204">
        <f t="shared" si="3"/>
        <v>29538.128220935763</v>
      </c>
      <c r="CW4" s="204">
        <f t="shared" si="3"/>
        <v>29538.128220935763</v>
      </c>
      <c r="CX4" s="204">
        <f t="shared" si="3"/>
        <v>29538.128220935763</v>
      </c>
      <c r="CY4" s="204">
        <f t="shared" si="3"/>
        <v>29538.128220935763</v>
      </c>
      <c r="CZ4" s="204">
        <f t="shared" si="3"/>
        <v>29538.128220935763</v>
      </c>
      <c r="DA4" s="204">
        <f t="shared" si="3"/>
        <v>29538.128220935763</v>
      </c>
      <c r="DB4" s="204"/>
    </row>
    <row r="5" spans="1:106">
      <c r="A5" s="201" t="str">
        <f>Income!A74</f>
        <v>Animal products consumed</v>
      </c>
      <c r="B5" s="203">
        <f>Income!B74</f>
        <v>446.73706902364438</v>
      </c>
      <c r="C5" s="203">
        <f>Income!C74</f>
        <v>1115.7689497461563</v>
      </c>
      <c r="D5" s="203">
        <f>Income!D74</f>
        <v>2349.8904945833574</v>
      </c>
      <c r="E5" s="203">
        <f>Income!E74</f>
        <v>3569.9639619260679</v>
      </c>
      <c r="F5" s="204">
        <f t="shared" si="4"/>
        <v>446.73706902364438</v>
      </c>
      <c r="G5" s="204">
        <f t="shared" si="0"/>
        <v>446.73706902364438</v>
      </c>
      <c r="H5" s="204">
        <f t="shared" si="0"/>
        <v>446.73706902364438</v>
      </c>
      <c r="I5" s="204">
        <f t="shared" si="0"/>
        <v>446.73706902364438</v>
      </c>
      <c r="J5" s="204">
        <f t="shared" si="0"/>
        <v>446.73706902364438</v>
      </c>
      <c r="K5" s="204">
        <f t="shared" si="0"/>
        <v>446.73706902364438</v>
      </c>
      <c r="L5" s="204">
        <f t="shared" si="0"/>
        <v>446.73706902364438</v>
      </c>
      <c r="M5" s="204">
        <f t="shared" si="0"/>
        <v>446.73706902364438</v>
      </c>
      <c r="N5" s="204">
        <f t="shared" si="0"/>
        <v>446.73706902364438</v>
      </c>
      <c r="O5" s="204">
        <f t="shared" si="0"/>
        <v>446.73706902364438</v>
      </c>
      <c r="P5" s="204">
        <f t="shared" si="0"/>
        <v>446.73706902364438</v>
      </c>
      <c r="Q5" s="204">
        <f t="shared" si="0"/>
        <v>446.73706902364438</v>
      </c>
      <c r="R5" s="204">
        <f t="shared" si="0"/>
        <v>446.73706902364438</v>
      </c>
      <c r="S5" s="204">
        <f t="shared" si="0"/>
        <v>446.73706902364438</v>
      </c>
      <c r="T5" s="204">
        <f t="shared" si="0"/>
        <v>446.73706902364438</v>
      </c>
      <c r="U5" s="204">
        <f t="shared" si="0"/>
        <v>446.73706902364438</v>
      </c>
      <c r="V5" s="204">
        <f t="shared" si="0"/>
        <v>446.73706902364438</v>
      </c>
      <c r="W5" s="204">
        <f t="shared" si="0"/>
        <v>446.73706902364438</v>
      </c>
      <c r="X5" s="204">
        <f t="shared" si="0"/>
        <v>446.73706902364438</v>
      </c>
      <c r="Y5" s="204">
        <f t="shared" si="0"/>
        <v>446.73706902364438</v>
      </c>
      <c r="Z5" s="204">
        <f t="shared" si="0"/>
        <v>446.73706902364438</v>
      </c>
      <c r="AA5" s="204">
        <f t="shared" si="0"/>
        <v>446.73706902364438</v>
      </c>
      <c r="AB5" s="204">
        <f t="shared" si="0"/>
        <v>446.73706902364438</v>
      </c>
      <c r="AC5" s="204">
        <f t="shared" si="0"/>
        <v>446.73706902364438</v>
      </c>
      <c r="AD5" s="204">
        <f t="shared" si="0"/>
        <v>446.73706902364438</v>
      </c>
      <c r="AE5" s="204">
        <f t="shared" si="0"/>
        <v>446.73706902364438</v>
      </c>
      <c r="AF5" s="204">
        <f t="shared" si="0"/>
        <v>446.73706902364438</v>
      </c>
      <c r="AG5" s="204">
        <f t="shared" si="0"/>
        <v>446.73706902364438</v>
      </c>
      <c r="AH5" s="204">
        <f t="shared" si="0"/>
        <v>446.73706902364438</v>
      </c>
      <c r="AI5" s="204">
        <f t="shared" si="0"/>
        <v>446.73706902364438</v>
      </c>
      <c r="AJ5" s="204">
        <f t="shared" si="0"/>
        <v>446.73706902364438</v>
      </c>
      <c r="AK5" s="204">
        <f t="shared" si="0"/>
        <v>446.73706902364438</v>
      </c>
      <c r="AL5" s="204">
        <f t="shared" si="0"/>
        <v>446.73706902364438</v>
      </c>
      <c r="AM5" s="204">
        <f t="shared" si="0"/>
        <v>446.73706902364438</v>
      </c>
      <c r="AN5" s="204">
        <f t="shared" si="0"/>
        <v>446.73706902364438</v>
      </c>
      <c r="AO5" s="204">
        <f t="shared" si="0"/>
        <v>1115.7689497461563</v>
      </c>
      <c r="AP5" s="204">
        <f t="shared" si="0"/>
        <v>1115.7689497461563</v>
      </c>
      <c r="AQ5" s="204">
        <f t="shared" si="0"/>
        <v>1115.7689497461563</v>
      </c>
      <c r="AR5" s="204">
        <f t="shared" si="0"/>
        <v>1115.7689497461563</v>
      </c>
      <c r="AS5" s="204">
        <f t="shared" si="0"/>
        <v>1115.7689497461563</v>
      </c>
      <c r="AT5" s="204">
        <f t="shared" si="0"/>
        <v>1115.7689497461563</v>
      </c>
      <c r="AU5" s="204">
        <f t="shared" si="0"/>
        <v>1115.7689497461563</v>
      </c>
      <c r="AV5" s="204">
        <f t="shared" si="0"/>
        <v>1115.7689497461563</v>
      </c>
      <c r="AW5" s="204">
        <f t="shared" si="0"/>
        <v>1115.7689497461563</v>
      </c>
      <c r="AX5" s="204">
        <f t="shared" si="1"/>
        <v>1115.7689497461563</v>
      </c>
      <c r="AY5" s="204">
        <f t="shared" si="1"/>
        <v>1115.7689497461563</v>
      </c>
      <c r="AZ5" s="204">
        <f t="shared" si="1"/>
        <v>1115.7689497461563</v>
      </c>
      <c r="BA5" s="204">
        <f t="shared" si="1"/>
        <v>1115.7689497461563</v>
      </c>
      <c r="BB5" s="204">
        <f t="shared" si="1"/>
        <v>1115.7689497461563</v>
      </c>
      <c r="BC5" s="204">
        <f t="shared" si="1"/>
        <v>1115.7689497461563</v>
      </c>
      <c r="BD5" s="204">
        <f t="shared" si="1"/>
        <v>1115.7689497461563</v>
      </c>
      <c r="BE5" s="204">
        <f t="shared" si="1"/>
        <v>1115.7689497461563</v>
      </c>
      <c r="BF5" s="204">
        <f t="shared" si="1"/>
        <v>1115.7689497461563</v>
      </c>
      <c r="BG5" s="204">
        <f t="shared" si="1"/>
        <v>1115.7689497461563</v>
      </c>
      <c r="BH5" s="204">
        <f t="shared" si="1"/>
        <v>1115.7689497461563</v>
      </c>
      <c r="BI5" s="204">
        <f t="shared" si="1"/>
        <v>1115.7689497461563</v>
      </c>
      <c r="BJ5" s="204">
        <f t="shared" si="1"/>
        <v>1115.7689497461563</v>
      </c>
      <c r="BK5" s="204">
        <f t="shared" si="1"/>
        <v>1115.7689497461563</v>
      </c>
      <c r="BL5" s="204">
        <f t="shared" si="1"/>
        <v>1115.7689497461563</v>
      </c>
      <c r="BM5" s="204">
        <f t="shared" si="1"/>
        <v>1115.7689497461563</v>
      </c>
      <c r="BN5" s="204">
        <f t="shared" si="1"/>
        <v>1115.7689497461563</v>
      </c>
      <c r="BO5" s="204">
        <f t="shared" si="1"/>
        <v>1115.7689497461563</v>
      </c>
      <c r="BP5" s="204">
        <f t="shared" si="1"/>
        <v>1115.7689497461563</v>
      </c>
      <c r="BQ5" s="204">
        <f t="shared" si="1"/>
        <v>1115.7689497461563</v>
      </c>
      <c r="BR5" s="204">
        <f t="shared" si="1"/>
        <v>1115.7689497461563</v>
      </c>
      <c r="BS5" s="204">
        <f t="shared" si="1"/>
        <v>1115.7689497461563</v>
      </c>
      <c r="BT5" s="204">
        <f t="shared" si="1"/>
        <v>1115.7689497461563</v>
      </c>
      <c r="BU5" s="204">
        <f t="shared" si="1"/>
        <v>2349.8904945833574</v>
      </c>
      <c r="BV5" s="204">
        <f t="shared" si="1"/>
        <v>2349.8904945833574</v>
      </c>
      <c r="BW5" s="204">
        <f t="shared" si="1"/>
        <v>2349.8904945833574</v>
      </c>
      <c r="BX5" s="204">
        <f t="shared" si="1"/>
        <v>2349.8904945833574</v>
      </c>
      <c r="BY5" s="204">
        <f t="shared" si="1"/>
        <v>2349.8904945833574</v>
      </c>
      <c r="BZ5" s="204">
        <f t="shared" si="1"/>
        <v>2349.8904945833574</v>
      </c>
      <c r="CA5" s="204">
        <f t="shared" si="2"/>
        <v>2349.8904945833574</v>
      </c>
      <c r="CB5" s="204">
        <f t="shared" si="2"/>
        <v>2349.8904945833574</v>
      </c>
      <c r="CC5" s="204">
        <f t="shared" si="2"/>
        <v>2349.8904945833574</v>
      </c>
      <c r="CD5" s="204">
        <f t="shared" si="2"/>
        <v>2349.8904945833574</v>
      </c>
      <c r="CE5" s="204">
        <f t="shared" si="2"/>
        <v>2349.8904945833574</v>
      </c>
      <c r="CF5" s="204">
        <f t="shared" si="2"/>
        <v>2349.8904945833574</v>
      </c>
      <c r="CG5" s="204">
        <f t="shared" si="2"/>
        <v>2349.8904945833574</v>
      </c>
      <c r="CH5" s="204">
        <f t="shared" si="2"/>
        <v>2349.8904945833574</v>
      </c>
      <c r="CI5" s="204">
        <f t="shared" si="2"/>
        <v>2349.8904945833574</v>
      </c>
      <c r="CJ5" s="204">
        <f t="shared" si="2"/>
        <v>2349.8904945833574</v>
      </c>
      <c r="CK5" s="204">
        <f t="shared" si="2"/>
        <v>2349.8904945833574</v>
      </c>
      <c r="CL5" s="204">
        <f t="shared" si="2"/>
        <v>2349.8904945833574</v>
      </c>
      <c r="CM5" s="204">
        <f t="shared" si="2"/>
        <v>2349.8904945833574</v>
      </c>
      <c r="CN5" s="204">
        <f t="shared" si="2"/>
        <v>2349.8904945833574</v>
      </c>
      <c r="CO5" s="204">
        <f t="shared" si="2"/>
        <v>2349.8904945833574</v>
      </c>
      <c r="CP5" s="204">
        <f t="shared" si="2"/>
        <v>2349.8904945833574</v>
      </c>
      <c r="CQ5" s="204">
        <f t="shared" si="2"/>
        <v>2349.8904945833574</v>
      </c>
      <c r="CR5" s="204">
        <f t="shared" si="2"/>
        <v>3569.9639619260679</v>
      </c>
      <c r="CS5" s="204">
        <f t="shared" si="3"/>
        <v>3569.9639619260679</v>
      </c>
      <c r="CT5" s="204">
        <f t="shared" si="3"/>
        <v>3569.9639619260679</v>
      </c>
      <c r="CU5" s="204">
        <f t="shared" si="3"/>
        <v>3569.9639619260679</v>
      </c>
      <c r="CV5" s="204">
        <f t="shared" si="3"/>
        <v>3569.9639619260679</v>
      </c>
      <c r="CW5" s="204">
        <f t="shared" si="3"/>
        <v>3569.9639619260679</v>
      </c>
      <c r="CX5" s="204">
        <f t="shared" si="3"/>
        <v>3569.9639619260679</v>
      </c>
      <c r="CY5" s="204">
        <f t="shared" si="3"/>
        <v>3569.9639619260679</v>
      </c>
      <c r="CZ5" s="204">
        <f t="shared" si="3"/>
        <v>3569.9639619260679</v>
      </c>
      <c r="DA5" s="204">
        <f t="shared" si="3"/>
        <v>3569.9639619260679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2.1360966970590951</v>
      </c>
      <c r="D6" s="203">
        <f>Income!D75</f>
        <v>1353.6749925934489</v>
      </c>
      <c r="E6" s="203">
        <f>Income!E75</f>
        <v>2457.1215149599761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2.1360966970590951</v>
      </c>
      <c r="AP6" s="204">
        <f t="shared" si="0"/>
        <v>2.1360966970590951</v>
      </c>
      <c r="AQ6" s="204">
        <f t="shared" si="0"/>
        <v>2.1360966970590951</v>
      </c>
      <c r="AR6" s="204">
        <f t="shared" si="0"/>
        <v>2.1360966970590951</v>
      </c>
      <c r="AS6" s="204">
        <f t="shared" si="0"/>
        <v>2.1360966970590951</v>
      </c>
      <c r="AT6" s="204">
        <f t="shared" si="0"/>
        <v>2.1360966970590951</v>
      </c>
      <c r="AU6" s="204">
        <f t="shared" si="0"/>
        <v>2.1360966970590951</v>
      </c>
      <c r="AV6" s="204">
        <f t="shared" si="0"/>
        <v>2.1360966970590951</v>
      </c>
      <c r="AW6" s="204">
        <f t="shared" si="0"/>
        <v>2.1360966970590951</v>
      </c>
      <c r="AX6" s="204">
        <f t="shared" si="1"/>
        <v>2.1360966970590951</v>
      </c>
      <c r="AY6" s="204">
        <f t="shared" si="1"/>
        <v>2.1360966970590951</v>
      </c>
      <c r="AZ6" s="204">
        <f t="shared" si="1"/>
        <v>2.1360966970590951</v>
      </c>
      <c r="BA6" s="204">
        <f t="shared" si="1"/>
        <v>2.1360966970590951</v>
      </c>
      <c r="BB6" s="204">
        <f t="shared" si="1"/>
        <v>2.1360966970590951</v>
      </c>
      <c r="BC6" s="204">
        <f t="shared" si="1"/>
        <v>2.1360966970590951</v>
      </c>
      <c r="BD6" s="204">
        <f t="shared" si="1"/>
        <v>2.1360966970590951</v>
      </c>
      <c r="BE6" s="204">
        <f t="shared" si="1"/>
        <v>2.1360966970590951</v>
      </c>
      <c r="BF6" s="204">
        <f t="shared" si="1"/>
        <v>2.1360966970590951</v>
      </c>
      <c r="BG6" s="204">
        <f t="shared" si="1"/>
        <v>2.1360966970590951</v>
      </c>
      <c r="BH6" s="204">
        <f t="shared" si="1"/>
        <v>2.1360966970590951</v>
      </c>
      <c r="BI6" s="204">
        <f t="shared" si="1"/>
        <v>2.1360966970590951</v>
      </c>
      <c r="BJ6" s="204">
        <f t="shared" si="1"/>
        <v>2.1360966970590951</v>
      </c>
      <c r="BK6" s="204">
        <f t="shared" si="1"/>
        <v>2.1360966970590951</v>
      </c>
      <c r="BL6" s="204">
        <f t="shared" si="1"/>
        <v>2.1360966970590951</v>
      </c>
      <c r="BM6" s="204">
        <f t="shared" si="1"/>
        <v>2.1360966970590951</v>
      </c>
      <c r="BN6" s="204">
        <f t="shared" si="1"/>
        <v>2.1360966970590951</v>
      </c>
      <c r="BO6" s="204">
        <f t="shared" si="1"/>
        <v>2.1360966970590951</v>
      </c>
      <c r="BP6" s="204">
        <f t="shared" si="1"/>
        <v>2.1360966970590951</v>
      </c>
      <c r="BQ6" s="204">
        <f t="shared" si="1"/>
        <v>2.1360966970590951</v>
      </c>
      <c r="BR6" s="204">
        <f t="shared" si="1"/>
        <v>2.1360966970590951</v>
      </c>
      <c r="BS6" s="204">
        <f t="shared" si="1"/>
        <v>2.1360966970590951</v>
      </c>
      <c r="BT6" s="204">
        <f t="shared" si="1"/>
        <v>2.1360966970590951</v>
      </c>
      <c r="BU6" s="204">
        <f t="shared" si="1"/>
        <v>1353.6749925934489</v>
      </c>
      <c r="BV6" s="204">
        <f t="shared" si="1"/>
        <v>1353.6749925934489</v>
      </c>
      <c r="BW6" s="204">
        <f t="shared" si="1"/>
        <v>1353.6749925934489</v>
      </c>
      <c r="BX6" s="204">
        <f t="shared" si="1"/>
        <v>1353.6749925934489</v>
      </c>
      <c r="BY6" s="204">
        <f t="shared" si="1"/>
        <v>1353.6749925934489</v>
      </c>
      <c r="BZ6" s="204">
        <f t="shared" si="1"/>
        <v>1353.6749925934489</v>
      </c>
      <c r="CA6" s="204">
        <f t="shared" si="2"/>
        <v>1353.6749925934489</v>
      </c>
      <c r="CB6" s="204">
        <f t="shared" si="2"/>
        <v>1353.6749925934489</v>
      </c>
      <c r="CC6" s="204">
        <f t="shared" si="2"/>
        <v>1353.6749925934489</v>
      </c>
      <c r="CD6" s="204">
        <f t="shared" si="2"/>
        <v>1353.6749925934489</v>
      </c>
      <c r="CE6" s="204">
        <f t="shared" si="2"/>
        <v>1353.6749925934489</v>
      </c>
      <c r="CF6" s="204">
        <f t="shared" si="2"/>
        <v>1353.6749925934489</v>
      </c>
      <c r="CG6" s="204">
        <f t="shared" si="2"/>
        <v>1353.6749925934489</v>
      </c>
      <c r="CH6" s="204">
        <f t="shared" si="2"/>
        <v>1353.6749925934489</v>
      </c>
      <c r="CI6" s="204">
        <f t="shared" si="2"/>
        <v>1353.6749925934489</v>
      </c>
      <c r="CJ6" s="204">
        <f t="shared" si="2"/>
        <v>1353.6749925934489</v>
      </c>
      <c r="CK6" s="204">
        <f t="shared" si="2"/>
        <v>1353.6749925934489</v>
      </c>
      <c r="CL6" s="204">
        <f t="shared" si="2"/>
        <v>1353.6749925934489</v>
      </c>
      <c r="CM6" s="204">
        <f t="shared" si="2"/>
        <v>1353.6749925934489</v>
      </c>
      <c r="CN6" s="204">
        <f t="shared" si="2"/>
        <v>1353.6749925934489</v>
      </c>
      <c r="CO6" s="204">
        <f t="shared" si="2"/>
        <v>1353.6749925934489</v>
      </c>
      <c r="CP6" s="204">
        <f t="shared" si="2"/>
        <v>1353.6749925934489</v>
      </c>
      <c r="CQ6" s="204">
        <f t="shared" si="2"/>
        <v>1353.6749925934489</v>
      </c>
      <c r="CR6" s="204">
        <f t="shared" si="2"/>
        <v>2457.1215149599761</v>
      </c>
      <c r="CS6" s="204">
        <f t="shared" si="3"/>
        <v>2457.1215149599761</v>
      </c>
      <c r="CT6" s="204">
        <f t="shared" si="3"/>
        <v>2457.1215149599761</v>
      </c>
      <c r="CU6" s="204">
        <f t="shared" si="3"/>
        <v>2457.1215149599761</v>
      </c>
      <c r="CV6" s="204">
        <f t="shared" si="3"/>
        <v>2457.1215149599761</v>
      </c>
      <c r="CW6" s="204">
        <f t="shared" si="3"/>
        <v>2457.1215149599761</v>
      </c>
      <c r="CX6" s="204">
        <f t="shared" si="3"/>
        <v>2457.1215149599761</v>
      </c>
      <c r="CY6" s="204">
        <f t="shared" si="3"/>
        <v>2457.1215149599761</v>
      </c>
      <c r="CZ6" s="204">
        <f t="shared" si="3"/>
        <v>2457.1215149599761</v>
      </c>
      <c r="DA6" s="204">
        <f t="shared" si="3"/>
        <v>2457.1215149599761</v>
      </c>
      <c r="DB6" s="204"/>
    </row>
    <row r="7" spans="1:106">
      <c r="A7" s="201" t="str">
        <f>Income!A76</f>
        <v>Animals sold</v>
      </c>
      <c r="B7" s="203">
        <f>Income!B76</f>
        <v>582.23892828410749</v>
      </c>
      <c r="C7" s="203">
        <f>Income!C76</f>
        <v>4582.2478296963172</v>
      </c>
      <c r="D7" s="203">
        <f>Income!D76</f>
        <v>18818.889838422219</v>
      </c>
      <c r="E7" s="203">
        <f>Income!E76</f>
        <v>38310.100854410244</v>
      </c>
      <c r="F7" s="204">
        <f t="shared" si="4"/>
        <v>582.23892828410749</v>
      </c>
      <c r="G7" s="204">
        <f t="shared" si="0"/>
        <v>582.23892828410749</v>
      </c>
      <c r="H7" s="204">
        <f t="shared" si="0"/>
        <v>582.23892828410749</v>
      </c>
      <c r="I7" s="204">
        <f t="shared" si="0"/>
        <v>582.23892828410749</v>
      </c>
      <c r="J7" s="204">
        <f t="shared" si="0"/>
        <v>582.23892828410749</v>
      </c>
      <c r="K7" s="204">
        <f t="shared" si="0"/>
        <v>582.23892828410749</v>
      </c>
      <c r="L7" s="204">
        <f t="shared" si="0"/>
        <v>582.23892828410749</v>
      </c>
      <c r="M7" s="204">
        <f t="shared" si="0"/>
        <v>582.23892828410749</v>
      </c>
      <c r="N7" s="204">
        <f t="shared" si="0"/>
        <v>582.23892828410749</v>
      </c>
      <c r="O7" s="204">
        <f t="shared" si="0"/>
        <v>582.23892828410749</v>
      </c>
      <c r="P7" s="204">
        <f t="shared" si="0"/>
        <v>582.23892828410749</v>
      </c>
      <c r="Q7" s="204">
        <f t="shared" si="0"/>
        <v>582.23892828410749</v>
      </c>
      <c r="R7" s="204">
        <f t="shared" si="0"/>
        <v>582.23892828410749</v>
      </c>
      <c r="S7" s="204">
        <f t="shared" si="0"/>
        <v>582.23892828410749</v>
      </c>
      <c r="T7" s="204">
        <f t="shared" si="0"/>
        <v>582.23892828410749</v>
      </c>
      <c r="U7" s="204">
        <f t="shared" si="0"/>
        <v>582.23892828410749</v>
      </c>
      <c r="V7" s="204">
        <f t="shared" si="0"/>
        <v>582.23892828410749</v>
      </c>
      <c r="W7" s="204">
        <f t="shared" si="0"/>
        <v>582.23892828410749</v>
      </c>
      <c r="X7" s="204">
        <f t="shared" si="0"/>
        <v>582.23892828410749</v>
      </c>
      <c r="Y7" s="204">
        <f t="shared" si="0"/>
        <v>582.23892828410749</v>
      </c>
      <c r="Z7" s="204">
        <f t="shared" si="0"/>
        <v>582.23892828410749</v>
      </c>
      <c r="AA7" s="204">
        <f t="shared" si="0"/>
        <v>582.23892828410749</v>
      </c>
      <c r="AB7" s="204">
        <f t="shared" si="0"/>
        <v>582.23892828410749</v>
      </c>
      <c r="AC7" s="204">
        <f t="shared" si="0"/>
        <v>582.23892828410749</v>
      </c>
      <c r="AD7" s="204">
        <f t="shared" si="0"/>
        <v>582.23892828410749</v>
      </c>
      <c r="AE7" s="204">
        <f t="shared" si="0"/>
        <v>582.23892828410749</v>
      </c>
      <c r="AF7" s="204">
        <f t="shared" si="0"/>
        <v>582.23892828410749</v>
      </c>
      <c r="AG7" s="204">
        <f t="shared" si="0"/>
        <v>582.23892828410749</v>
      </c>
      <c r="AH7" s="204">
        <f t="shared" si="0"/>
        <v>582.23892828410749</v>
      </c>
      <c r="AI7" s="204">
        <f t="shared" si="0"/>
        <v>582.23892828410749</v>
      </c>
      <c r="AJ7" s="204">
        <f t="shared" si="0"/>
        <v>582.23892828410749</v>
      </c>
      <c r="AK7" s="204">
        <f t="shared" si="0"/>
        <v>582.23892828410749</v>
      </c>
      <c r="AL7" s="204">
        <f t="shared" si="0"/>
        <v>582.23892828410749</v>
      </c>
      <c r="AM7" s="204">
        <f t="shared" si="0"/>
        <v>582.23892828410749</v>
      </c>
      <c r="AN7" s="204">
        <f t="shared" si="0"/>
        <v>582.23892828410749</v>
      </c>
      <c r="AO7" s="204">
        <f t="shared" si="0"/>
        <v>4582.2478296963172</v>
      </c>
      <c r="AP7" s="204">
        <f t="shared" si="0"/>
        <v>4582.2478296963172</v>
      </c>
      <c r="AQ7" s="204">
        <f t="shared" si="0"/>
        <v>4582.2478296963172</v>
      </c>
      <c r="AR7" s="204">
        <f t="shared" si="0"/>
        <v>4582.2478296963172</v>
      </c>
      <c r="AS7" s="204">
        <f t="shared" si="0"/>
        <v>4582.2478296963172</v>
      </c>
      <c r="AT7" s="204">
        <f t="shared" si="0"/>
        <v>4582.2478296963172</v>
      </c>
      <c r="AU7" s="204">
        <f t="shared" ref="AU7:BJ8" si="5">IF(AU$2&lt;=($B$2+$C$2+$D$2),IF(AU$2&lt;=($B$2+$C$2),IF(AU$2&lt;=$B$2,$B7,$C7),$D7),$E7)</f>
        <v>4582.2478296963172</v>
      </c>
      <c r="AV7" s="204">
        <f t="shared" si="5"/>
        <v>4582.2478296963172</v>
      </c>
      <c r="AW7" s="204">
        <f t="shared" si="5"/>
        <v>4582.2478296963172</v>
      </c>
      <c r="AX7" s="204">
        <f t="shared" si="5"/>
        <v>4582.2478296963172</v>
      </c>
      <c r="AY7" s="204">
        <f t="shared" si="5"/>
        <v>4582.2478296963172</v>
      </c>
      <c r="AZ7" s="204">
        <f t="shared" si="5"/>
        <v>4582.2478296963172</v>
      </c>
      <c r="BA7" s="204">
        <f t="shared" si="5"/>
        <v>4582.2478296963172</v>
      </c>
      <c r="BB7" s="204">
        <f t="shared" si="5"/>
        <v>4582.2478296963172</v>
      </c>
      <c r="BC7" s="204">
        <f t="shared" si="5"/>
        <v>4582.2478296963172</v>
      </c>
      <c r="BD7" s="204">
        <f t="shared" si="5"/>
        <v>4582.2478296963172</v>
      </c>
      <c r="BE7" s="204">
        <f t="shared" si="5"/>
        <v>4582.2478296963172</v>
      </c>
      <c r="BF7" s="204">
        <f t="shared" si="5"/>
        <v>4582.2478296963172</v>
      </c>
      <c r="BG7" s="204">
        <f t="shared" si="5"/>
        <v>4582.2478296963172</v>
      </c>
      <c r="BH7" s="204">
        <f t="shared" si="5"/>
        <v>4582.2478296963172</v>
      </c>
      <c r="BI7" s="204">
        <f t="shared" si="5"/>
        <v>4582.2478296963172</v>
      </c>
      <c r="BJ7" s="204">
        <f t="shared" si="5"/>
        <v>4582.2478296963172</v>
      </c>
      <c r="BK7" s="204">
        <f t="shared" si="1"/>
        <v>4582.2478296963172</v>
      </c>
      <c r="BL7" s="204">
        <f t="shared" si="1"/>
        <v>4582.2478296963172</v>
      </c>
      <c r="BM7" s="204">
        <f t="shared" si="1"/>
        <v>4582.2478296963172</v>
      </c>
      <c r="BN7" s="204">
        <f t="shared" si="1"/>
        <v>4582.2478296963172</v>
      </c>
      <c r="BO7" s="204">
        <f t="shared" si="1"/>
        <v>4582.2478296963172</v>
      </c>
      <c r="BP7" s="204">
        <f t="shared" si="1"/>
        <v>4582.2478296963172</v>
      </c>
      <c r="BQ7" s="204">
        <f t="shared" si="1"/>
        <v>4582.2478296963172</v>
      </c>
      <c r="BR7" s="204">
        <f t="shared" si="1"/>
        <v>4582.2478296963172</v>
      </c>
      <c r="BS7" s="204">
        <f t="shared" si="1"/>
        <v>4582.2478296963172</v>
      </c>
      <c r="BT7" s="204">
        <f t="shared" si="1"/>
        <v>4582.2478296963172</v>
      </c>
      <c r="BU7" s="204">
        <f t="shared" si="1"/>
        <v>18818.889838422219</v>
      </c>
      <c r="BV7" s="204">
        <f t="shared" si="1"/>
        <v>18818.889838422219</v>
      </c>
      <c r="BW7" s="204">
        <f t="shared" si="1"/>
        <v>18818.889838422219</v>
      </c>
      <c r="BX7" s="204">
        <f t="shared" si="1"/>
        <v>18818.889838422219</v>
      </c>
      <c r="BY7" s="204">
        <f t="shared" si="1"/>
        <v>18818.889838422219</v>
      </c>
      <c r="BZ7" s="204">
        <f t="shared" si="1"/>
        <v>18818.889838422219</v>
      </c>
      <c r="CA7" s="204">
        <f t="shared" si="2"/>
        <v>18818.889838422219</v>
      </c>
      <c r="CB7" s="204">
        <f t="shared" si="2"/>
        <v>18818.889838422219</v>
      </c>
      <c r="CC7" s="204">
        <f t="shared" si="2"/>
        <v>18818.889838422219</v>
      </c>
      <c r="CD7" s="204">
        <f t="shared" si="2"/>
        <v>18818.889838422219</v>
      </c>
      <c r="CE7" s="204">
        <f t="shared" si="2"/>
        <v>18818.889838422219</v>
      </c>
      <c r="CF7" s="204">
        <f t="shared" si="2"/>
        <v>18818.889838422219</v>
      </c>
      <c r="CG7" s="204">
        <f t="shared" si="2"/>
        <v>18818.889838422219</v>
      </c>
      <c r="CH7" s="204">
        <f t="shared" si="2"/>
        <v>18818.889838422219</v>
      </c>
      <c r="CI7" s="204">
        <f t="shared" si="2"/>
        <v>18818.889838422219</v>
      </c>
      <c r="CJ7" s="204">
        <f t="shared" si="2"/>
        <v>18818.889838422219</v>
      </c>
      <c r="CK7" s="204">
        <f t="shared" si="2"/>
        <v>18818.889838422219</v>
      </c>
      <c r="CL7" s="204">
        <f t="shared" si="2"/>
        <v>18818.889838422219</v>
      </c>
      <c r="CM7" s="204">
        <f t="shared" si="2"/>
        <v>18818.889838422219</v>
      </c>
      <c r="CN7" s="204">
        <f t="shared" si="2"/>
        <v>18818.889838422219</v>
      </c>
      <c r="CO7" s="204">
        <f t="shared" si="2"/>
        <v>18818.889838422219</v>
      </c>
      <c r="CP7" s="204">
        <f t="shared" si="2"/>
        <v>18818.889838422219</v>
      </c>
      <c r="CQ7" s="204">
        <f t="shared" si="2"/>
        <v>18818.889838422219</v>
      </c>
      <c r="CR7" s="204">
        <f t="shared" si="2"/>
        <v>38310.100854410244</v>
      </c>
      <c r="CS7" s="204">
        <f t="shared" si="3"/>
        <v>38310.100854410244</v>
      </c>
      <c r="CT7" s="204">
        <f t="shared" si="3"/>
        <v>38310.100854410244</v>
      </c>
      <c r="CU7" s="204">
        <f t="shared" si="3"/>
        <v>38310.100854410244</v>
      </c>
      <c r="CV7" s="204">
        <f t="shared" si="3"/>
        <v>38310.100854410244</v>
      </c>
      <c r="CW7" s="204">
        <f t="shared" si="3"/>
        <v>38310.100854410244</v>
      </c>
      <c r="CX7" s="204">
        <f t="shared" si="3"/>
        <v>38310.100854410244</v>
      </c>
      <c r="CY7" s="204">
        <f t="shared" si="3"/>
        <v>38310.100854410244</v>
      </c>
      <c r="CZ7" s="204">
        <f t="shared" si="3"/>
        <v>38310.100854410244</v>
      </c>
      <c r="DA7" s="204">
        <f t="shared" si="3"/>
        <v>38310.100854410244</v>
      </c>
      <c r="DB7" s="204"/>
    </row>
    <row r="8" spans="1:106">
      <c r="A8" s="201" t="str">
        <f>Income!A77</f>
        <v>Wild foods consumed and sold</v>
      </c>
      <c r="B8" s="203">
        <f>Income!B77</f>
        <v>333.71108722934315</v>
      </c>
      <c r="C8" s="203">
        <f>Income!C77</f>
        <v>261.67846338279497</v>
      </c>
      <c r="D8" s="203">
        <f>Income!D77</f>
        <v>39.394324544774676</v>
      </c>
      <c r="E8" s="203">
        <f>Income!E77</f>
        <v>31.033762813527726</v>
      </c>
      <c r="F8" s="204">
        <f t="shared" si="4"/>
        <v>333.71108722934315</v>
      </c>
      <c r="G8" s="204">
        <f t="shared" si="4"/>
        <v>333.71108722934315</v>
      </c>
      <c r="H8" s="204">
        <f t="shared" si="4"/>
        <v>333.71108722934315</v>
      </c>
      <c r="I8" s="204">
        <f t="shared" si="4"/>
        <v>333.71108722934315</v>
      </c>
      <c r="J8" s="204">
        <f t="shared" si="4"/>
        <v>333.71108722934315</v>
      </c>
      <c r="K8" s="204">
        <f t="shared" si="4"/>
        <v>333.71108722934315</v>
      </c>
      <c r="L8" s="204">
        <f t="shared" si="4"/>
        <v>333.71108722934315</v>
      </c>
      <c r="M8" s="204">
        <f t="shared" si="4"/>
        <v>333.71108722934315</v>
      </c>
      <c r="N8" s="204">
        <f t="shared" si="4"/>
        <v>333.71108722934315</v>
      </c>
      <c r="O8" s="204">
        <f t="shared" si="4"/>
        <v>333.71108722934315</v>
      </c>
      <c r="P8" s="204">
        <f t="shared" si="4"/>
        <v>333.71108722934315</v>
      </c>
      <c r="Q8" s="204">
        <f t="shared" si="4"/>
        <v>333.71108722934315</v>
      </c>
      <c r="R8" s="204">
        <f t="shared" si="4"/>
        <v>333.71108722934315</v>
      </c>
      <c r="S8" s="204">
        <f t="shared" si="4"/>
        <v>333.71108722934315</v>
      </c>
      <c r="T8" s="204">
        <f t="shared" si="4"/>
        <v>333.71108722934315</v>
      </c>
      <c r="U8" s="204">
        <f t="shared" si="4"/>
        <v>333.71108722934315</v>
      </c>
      <c r="V8" s="204">
        <f t="shared" ref="V8:AK18" si="6">IF(V$2&lt;=($B$2+$C$2+$D$2),IF(V$2&lt;=($B$2+$C$2),IF(V$2&lt;=$B$2,$B8,$C8),$D8),$E8)</f>
        <v>333.71108722934315</v>
      </c>
      <c r="W8" s="204">
        <f t="shared" si="6"/>
        <v>333.71108722934315</v>
      </c>
      <c r="X8" s="204">
        <f t="shared" si="6"/>
        <v>333.71108722934315</v>
      </c>
      <c r="Y8" s="204">
        <f t="shared" si="6"/>
        <v>333.71108722934315</v>
      </c>
      <c r="Z8" s="204">
        <f t="shared" si="6"/>
        <v>333.71108722934315</v>
      </c>
      <c r="AA8" s="204">
        <f t="shared" si="6"/>
        <v>333.71108722934315</v>
      </c>
      <c r="AB8" s="204">
        <f t="shared" si="6"/>
        <v>333.71108722934315</v>
      </c>
      <c r="AC8" s="204">
        <f t="shared" si="6"/>
        <v>333.71108722934315</v>
      </c>
      <c r="AD8" s="204">
        <f t="shared" si="6"/>
        <v>333.71108722934315</v>
      </c>
      <c r="AE8" s="204">
        <f t="shared" si="6"/>
        <v>333.71108722934315</v>
      </c>
      <c r="AF8" s="204">
        <f t="shared" si="6"/>
        <v>333.71108722934315</v>
      </c>
      <c r="AG8" s="204">
        <f t="shared" si="6"/>
        <v>333.71108722934315</v>
      </c>
      <c r="AH8" s="204">
        <f t="shared" si="6"/>
        <v>333.71108722934315</v>
      </c>
      <c r="AI8" s="204">
        <f t="shared" si="6"/>
        <v>333.71108722934315</v>
      </c>
      <c r="AJ8" s="204">
        <f t="shared" si="6"/>
        <v>333.71108722934315</v>
      </c>
      <c r="AK8" s="204">
        <f t="shared" si="6"/>
        <v>333.71108722934315</v>
      </c>
      <c r="AL8" s="204">
        <f t="shared" ref="AL8:BA18" si="7">IF(AL$2&lt;=($B$2+$C$2+$D$2),IF(AL$2&lt;=($B$2+$C$2),IF(AL$2&lt;=$B$2,$B8,$C8),$D8),$E8)</f>
        <v>333.71108722934315</v>
      </c>
      <c r="AM8" s="204">
        <f t="shared" si="7"/>
        <v>333.71108722934315</v>
      </c>
      <c r="AN8" s="204">
        <f t="shared" si="7"/>
        <v>333.71108722934315</v>
      </c>
      <c r="AO8" s="204">
        <f t="shared" si="7"/>
        <v>261.67846338279497</v>
      </c>
      <c r="AP8" s="204">
        <f t="shared" si="7"/>
        <v>261.67846338279497</v>
      </c>
      <c r="AQ8" s="204">
        <f t="shared" si="7"/>
        <v>261.67846338279497</v>
      </c>
      <c r="AR8" s="204">
        <f t="shared" si="7"/>
        <v>261.67846338279497</v>
      </c>
      <c r="AS8" s="204">
        <f t="shared" si="7"/>
        <v>261.67846338279497</v>
      </c>
      <c r="AT8" s="204">
        <f t="shared" si="7"/>
        <v>261.67846338279497</v>
      </c>
      <c r="AU8" s="204">
        <f t="shared" si="7"/>
        <v>261.67846338279497</v>
      </c>
      <c r="AV8" s="204">
        <f t="shared" si="7"/>
        <v>261.67846338279497</v>
      </c>
      <c r="AW8" s="204">
        <f t="shared" si="7"/>
        <v>261.67846338279497</v>
      </c>
      <c r="AX8" s="204">
        <f t="shared" si="7"/>
        <v>261.67846338279497</v>
      </c>
      <c r="AY8" s="204">
        <f t="shared" si="7"/>
        <v>261.67846338279497</v>
      </c>
      <c r="AZ8" s="204">
        <f t="shared" si="7"/>
        <v>261.67846338279497</v>
      </c>
      <c r="BA8" s="204">
        <f t="shared" si="7"/>
        <v>261.67846338279497</v>
      </c>
      <c r="BB8" s="204">
        <f t="shared" si="5"/>
        <v>261.67846338279497</v>
      </c>
      <c r="BC8" s="204">
        <f t="shared" si="5"/>
        <v>261.67846338279497</v>
      </c>
      <c r="BD8" s="204">
        <f t="shared" si="5"/>
        <v>261.67846338279497</v>
      </c>
      <c r="BE8" s="204">
        <f t="shared" si="5"/>
        <v>261.67846338279497</v>
      </c>
      <c r="BF8" s="204">
        <f t="shared" si="5"/>
        <v>261.67846338279497</v>
      </c>
      <c r="BG8" s="204">
        <f t="shared" si="5"/>
        <v>261.67846338279497</v>
      </c>
      <c r="BH8" s="204">
        <f t="shared" si="5"/>
        <v>261.67846338279497</v>
      </c>
      <c r="BI8" s="204">
        <f t="shared" si="5"/>
        <v>261.67846338279497</v>
      </c>
      <c r="BJ8" s="204">
        <f t="shared" si="5"/>
        <v>261.67846338279497</v>
      </c>
      <c r="BK8" s="204">
        <f t="shared" si="1"/>
        <v>261.67846338279497</v>
      </c>
      <c r="BL8" s="204">
        <f t="shared" si="1"/>
        <v>261.67846338279497</v>
      </c>
      <c r="BM8" s="204">
        <f t="shared" si="1"/>
        <v>261.67846338279497</v>
      </c>
      <c r="BN8" s="204">
        <f t="shared" si="1"/>
        <v>261.67846338279497</v>
      </c>
      <c r="BO8" s="204">
        <f t="shared" si="1"/>
        <v>261.67846338279497</v>
      </c>
      <c r="BP8" s="204">
        <f t="shared" si="1"/>
        <v>261.67846338279497</v>
      </c>
      <c r="BQ8" s="204">
        <f t="shared" si="1"/>
        <v>261.67846338279497</v>
      </c>
      <c r="BR8" s="204">
        <f t="shared" si="1"/>
        <v>261.67846338279497</v>
      </c>
      <c r="BS8" s="204">
        <f t="shared" si="1"/>
        <v>261.67846338279497</v>
      </c>
      <c r="BT8" s="204">
        <f t="shared" si="1"/>
        <v>261.67846338279497</v>
      </c>
      <c r="BU8" s="204">
        <f t="shared" si="1"/>
        <v>39.394324544774676</v>
      </c>
      <c r="BV8" s="204">
        <f t="shared" si="1"/>
        <v>39.394324544774676</v>
      </c>
      <c r="BW8" s="204">
        <f t="shared" si="1"/>
        <v>39.394324544774676</v>
      </c>
      <c r="BX8" s="204">
        <f t="shared" si="1"/>
        <v>39.394324544774676</v>
      </c>
      <c r="BY8" s="204">
        <f t="shared" si="1"/>
        <v>39.394324544774676</v>
      </c>
      <c r="BZ8" s="204">
        <f t="shared" si="1"/>
        <v>39.394324544774676</v>
      </c>
      <c r="CA8" s="204">
        <f t="shared" si="2"/>
        <v>39.394324544774676</v>
      </c>
      <c r="CB8" s="204">
        <f t="shared" si="2"/>
        <v>39.394324544774676</v>
      </c>
      <c r="CC8" s="204">
        <f t="shared" si="2"/>
        <v>39.394324544774676</v>
      </c>
      <c r="CD8" s="204">
        <f t="shared" si="2"/>
        <v>39.394324544774676</v>
      </c>
      <c r="CE8" s="204">
        <f t="shared" si="2"/>
        <v>39.394324544774676</v>
      </c>
      <c r="CF8" s="204">
        <f t="shared" si="2"/>
        <v>39.394324544774676</v>
      </c>
      <c r="CG8" s="204">
        <f t="shared" si="2"/>
        <v>39.394324544774676</v>
      </c>
      <c r="CH8" s="204">
        <f t="shared" si="2"/>
        <v>39.394324544774676</v>
      </c>
      <c r="CI8" s="204">
        <f t="shared" si="2"/>
        <v>39.394324544774676</v>
      </c>
      <c r="CJ8" s="204">
        <f t="shared" si="2"/>
        <v>39.394324544774676</v>
      </c>
      <c r="CK8" s="204">
        <f t="shared" si="2"/>
        <v>39.394324544774676</v>
      </c>
      <c r="CL8" s="204">
        <f t="shared" si="2"/>
        <v>39.394324544774676</v>
      </c>
      <c r="CM8" s="204">
        <f t="shared" si="2"/>
        <v>39.394324544774676</v>
      </c>
      <c r="CN8" s="204">
        <f t="shared" si="2"/>
        <v>39.394324544774676</v>
      </c>
      <c r="CO8" s="204">
        <f t="shared" si="2"/>
        <v>39.394324544774676</v>
      </c>
      <c r="CP8" s="204">
        <f t="shared" si="2"/>
        <v>39.394324544774676</v>
      </c>
      <c r="CQ8" s="204">
        <f t="shared" si="2"/>
        <v>39.394324544774676</v>
      </c>
      <c r="CR8" s="204">
        <f t="shared" si="2"/>
        <v>31.033762813527726</v>
      </c>
      <c r="CS8" s="204">
        <f t="shared" si="3"/>
        <v>31.033762813527726</v>
      </c>
      <c r="CT8" s="204">
        <f t="shared" si="3"/>
        <v>31.033762813527726</v>
      </c>
      <c r="CU8" s="204">
        <f t="shared" si="3"/>
        <v>31.033762813527726</v>
      </c>
      <c r="CV8" s="204">
        <f t="shared" si="3"/>
        <v>31.033762813527726</v>
      </c>
      <c r="CW8" s="204">
        <f t="shared" si="3"/>
        <v>31.033762813527726</v>
      </c>
      <c r="CX8" s="204">
        <f t="shared" si="3"/>
        <v>31.033762813527726</v>
      </c>
      <c r="CY8" s="204">
        <f t="shared" si="3"/>
        <v>31.033762813527726</v>
      </c>
      <c r="CZ8" s="204">
        <f t="shared" si="3"/>
        <v>31.033762813527726</v>
      </c>
      <c r="DA8" s="204">
        <f t="shared" si="3"/>
        <v>31.033762813527726</v>
      </c>
      <c r="DB8" s="204"/>
    </row>
    <row r="9" spans="1:106">
      <c r="A9" s="201" t="str">
        <f>Income!A78</f>
        <v>Labour - casual</v>
      </c>
      <c r="B9" s="203">
        <f>Income!B78</f>
        <v>8702.9667565955206</v>
      </c>
      <c r="C9" s="203">
        <f>Income!C78</f>
        <v>10014.697008700983</v>
      </c>
      <c r="D9" s="203">
        <f>Income!D78</f>
        <v>8485.6669962713222</v>
      </c>
      <c r="E9" s="203">
        <f>Income!E78</f>
        <v>0</v>
      </c>
      <c r="F9" s="204">
        <f t="shared" si="4"/>
        <v>8702.9667565955206</v>
      </c>
      <c r="G9" s="204">
        <f t="shared" si="4"/>
        <v>8702.9667565955206</v>
      </c>
      <c r="H9" s="204">
        <f t="shared" si="4"/>
        <v>8702.9667565955206</v>
      </c>
      <c r="I9" s="204">
        <f t="shared" si="4"/>
        <v>8702.9667565955206</v>
      </c>
      <c r="J9" s="204">
        <f t="shared" si="4"/>
        <v>8702.9667565955206</v>
      </c>
      <c r="K9" s="204">
        <f t="shared" si="4"/>
        <v>8702.9667565955206</v>
      </c>
      <c r="L9" s="204">
        <f t="shared" si="4"/>
        <v>8702.9667565955206</v>
      </c>
      <c r="M9" s="204">
        <f t="shared" si="4"/>
        <v>8702.9667565955206</v>
      </c>
      <c r="N9" s="204">
        <f t="shared" si="4"/>
        <v>8702.9667565955206</v>
      </c>
      <c r="O9" s="204">
        <f t="shared" si="4"/>
        <v>8702.9667565955206</v>
      </c>
      <c r="P9" s="204">
        <f t="shared" si="4"/>
        <v>8702.9667565955206</v>
      </c>
      <c r="Q9" s="204">
        <f t="shared" si="4"/>
        <v>8702.9667565955206</v>
      </c>
      <c r="R9" s="204">
        <f t="shared" si="4"/>
        <v>8702.9667565955206</v>
      </c>
      <c r="S9" s="204">
        <f t="shared" si="4"/>
        <v>8702.9667565955206</v>
      </c>
      <c r="T9" s="204">
        <f t="shared" si="4"/>
        <v>8702.9667565955206</v>
      </c>
      <c r="U9" s="204">
        <f t="shared" si="4"/>
        <v>8702.9667565955206</v>
      </c>
      <c r="V9" s="204">
        <f t="shared" si="6"/>
        <v>8702.9667565955206</v>
      </c>
      <c r="W9" s="204">
        <f t="shared" si="6"/>
        <v>8702.9667565955206</v>
      </c>
      <c r="X9" s="204">
        <f t="shared" si="6"/>
        <v>8702.9667565955206</v>
      </c>
      <c r="Y9" s="204">
        <f t="shared" si="6"/>
        <v>8702.9667565955206</v>
      </c>
      <c r="Z9" s="204">
        <f t="shared" si="6"/>
        <v>8702.9667565955206</v>
      </c>
      <c r="AA9" s="204">
        <f t="shared" si="6"/>
        <v>8702.9667565955206</v>
      </c>
      <c r="AB9" s="204">
        <f t="shared" si="6"/>
        <v>8702.9667565955206</v>
      </c>
      <c r="AC9" s="204">
        <f t="shared" si="6"/>
        <v>8702.9667565955206</v>
      </c>
      <c r="AD9" s="204">
        <f t="shared" si="6"/>
        <v>8702.9667565955206</v>
      </c>
      <c r="AE9" s="204">
        <f t="shared" si="6"/>
        <v>8702.9667565955206</v>
      </c>
      <c r="AF9" s="204">
        <f t="shared" si="6"/>
        <v>8702.9667565955206</v>
      </c>
      <c r="AG9" s="204">
        <f t="shared" si="6"/>
        <v>8702.9667565955206</v>
      </c>
      <c r="AH9" s="204">
        <f t="shared" si="6"/>
        <v>8702.9667565955206</v>
      </c>
      <c r="AI9" s="204">
        <f t="shared" si="6"/>
        <v>8702.9667565955206</v>
      </c>
      <c r="AJ9" s="204">
        <f t="shared" si="6"/>
        <v>8702.9667565955206</v>
      </c>
      <c r="AK9" s="204">
        <f t="shared" si="6"/>
        <v>8702.9667565955206</v>
      </c>
      <c r="AL9" s="204">
        <f t="shared" si="7"/>
        <v>8702.9667565955206</v>
      </c>
      <c r="AM9" s="204">
        <f t="shared" si="7"/>
        <v>8702.9667565955206</v>
      </c>
      <c r="AN9" s="204">
        <f t="shared" si="7"/>
        <v>8702.9667565955206</v>
      </c>
      <c r="AO9" s="204">
        <f t="shared" si="7"/>
        <v>10014.697008700983</v>
      </c>
      <c r="AP9" s="204">
        <f t="shared" si="7"/>
        <v>10014.697008700983</v>
      </c>
      <c r="AQ9" s="204">
        <f t="shared" si="7"/>
        <v>10014.697008700983</v>
      </c>
      <c r="AR9" s="204">
        <f t="shared" si="7"/>
        <v>10014.697008700983</v>
      </c>
      <c r="AS9" s="204">
        <f t="shared" si="7"/>
        <v>10014.697008700983</v>
      </c>
      <c r="AT9" s="204">
        <f t="shared" si="7"/>
        <v>10014.697008700983</v>
      </c>
      <c r="AU9" s="204">
        <f t="shared" si="7"/>
        <v>10014.697008700983</v>
      </c>
      <c r="AV9" s="204">
        <f t="shared" si="7"/>
        <v>10014.697008700983</v>
      </c>
      <c r="AW9" s="204">
        <f t="shared" si="7"/>
        <v>10014.697008700983</v>
      </c>
      <c r="AX9" s="204">
        <f t="shared" si="1"/>
        <v>10014.697008700983</v>
      </c>
      <c r="AY9" s="204">
        <f t="shared" si="1"/>
        <v>10014.697008700983</v>
      </c>
      <c r="AZ9" s="204">
        <f t="shared" si="1"/>
        <v>10014.697008700983</v>
      </c>
      <c r="BA9" s="204">
        <f t="shared" si="1"/>
        <v>10014.697008700983</v>
      </c>
      <c r="BB9" s="204">
        <f t="shared" si="1"/>
        <v>10014.697008700983</v>
      </c>
      <c r="BC9" s="204">
        <f t="shared" si="1"/>
        <v>10014.697008700983</v>
      </c>
      <c r="BD9" s="204">
        <f t="shared" si="1"/>
        <v>10014.697008700983</v>
      </c>
      <c r="BE9" s="204">
        <f t="shared" si="1"/>
        <v>10014.697008700983</v>
      </c>
      <c r="BF9" s="204">
        <f t="shared" si="1"/>
        <v>10014.697008700983</v>
      </c>
      <c r="BG9" s="204">
        <f t="shared" si="1"/>
        <v>10014.697008700983</v>
      </c>
      <c r="BH9" s="204">
        <f t="shared" si="1"/>
        <v>10014.697008700983</v>
      </c>
      <c r="BI9" s="204">
        <f t="shared" si="1"/>
        <v>10014.697008700983</v>
      </c>
      <c r="BJ9" s="204">
        <f t="shared" si="1"/>
        <v>10014.697008700983</v>
      </c>
      <c r="BK9" s="204">
        <f t="shared" si="1"/>
        <v>10014.697008700983</v>
      </c>
      <c r="BL9" s="204">
        <f t="shared" si="1"/>
        <v>10014.697008700983</v>
      </c>
      <c r="BM9" s="204">
        <f t="shared" si="1"/>
        <v>10014.697008700983</v>
      </c>
      <c r="BN9" s="204">
        <f t="shared" si="1"/>
        <v>10014.697008700983</v>
      </c>
      <c r="BO9" s="204">
        <f t="shared" si="1"/>
        <v>10014.697008700983</v>
      </c>
      <c r="BP9" s="204">
        <f t="shared" si="1"/>
        <v>10014.697008700983</v>
      </c>
      <c r="BQ9" s="204">
        <f t="shared" si="1"/>
        <v>10014.697008700983</v>
      </c>
      <c r="BR9" s="204">
        <f t="shared" si="1"/>
        <v>10014.697008700983</v>
      </c>
      <c r="BS9" s="204">
        <f t="shared" si="1"/>
        <v>10014.697008700983</v>
      </c>
      <c r="BT9" s="204">
        <f t="shared" si="1"/>
        <v>10014.697008700983</v>
      </c>
      <c r="BU9" s="204">
        <f t="shared" si="1"/>
        <v>8485.6669962713222</v>
      </c>
      <c r="BV9" s="204">
        <f t="shared" si="1"/>
        <v>8485.6669962713222</v>
      </c>
      <c r="BW9" s="204">
        <f t="shared" si="1"/>
        <v>8485.6669962713222</v>
      </c>
      <c r="BX9" s="204">
        <f t="shared" si="1"/>
        <v>8485.6669962713222</v>
      </c>
      <c r="BY9" s="204">
        <f t="shared" si="1"/>
        <v>8485.6669962713222</v>
      </c>
      <c r="BZ9" s="204">
        <f t="shared" si="1"/>
        <v>8485.6669962713222</v>
      </c>
      <c r="CA9" s="204">
        <f t="shared" si="2"/>
        <v>8485.6669962713222</v>
      </c>
      <c r="CB9" s="204">
        <f t="shared" si="2"/>
        <v>8485.6669962713222</v>
      </c>
      <c r="CC9" s="204">
        <f t="shared" si="2"/>
        <v>8485.6669962713222</v>
      </c>
      <c r="CD9" s="204">
        <f t="shared" si="2"/>
        <v>8485.6669962713222</v>
      </c>
      <c r="CE9" s="204">
        <f t="shared" si="2"/>
        <v>8485.6669962713222</v>
      </c>
      <c r="CF9" s="204">
        <f t="shared" si="2"/>
        <v>8485.6669962713222</v>
      </c>
      <c r="CG9" s="204">
        <f t="shared" si="2"/>
        <v>8485.6669962713222</v>
      </c>
      <c r="CH9" s="204">
        <f t="shared" si="2"/>
        <v>8485.6669962713222</v>
      </c>
      <c r="CI9" s="204">
        <f t="shared" si="2"/>
        <v>8485.6669962713222</v>
      </c>
      <c r="CJ9" s="204">
        <f t="shared" si="2"/>
        <v>8485.6669962713222</v>
      </c>
      <c r="CK9" s="204">
        <f t="shared" si="2"/>
        <v>8485.6669962713222</v>
      </c>
      <c r="CL9" s="204">
        <f t="shared" si="2"/>
        <v>8485.6669962713222</v>
      </c>
      <c r="CM9" s="204">
        <f t="shared" si="2"/>
        <v>8485.6669962713222</v>
      </c>
      <c r="CN9" s="204">
        <f t="shared" si="2"/>
        <v>8485.6669962713222</v>
      </c>
      <c r="CO9" s="204">
        <f t="shared" si="2"/>
        <v>8485.6669962713222</v>
      </c>
      <c r="CP9" s="204">
        <f t="shared" si="2"/>
        <v>8485.6669962713222</v>
      </c>
      <c r="CQ9" s="204">
        <f t="shared" si="2"/>
        <v>8485.6669962713222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53170.498356510943</v>
      </c>
      <c r="E10" s="203">
        <f>Income!E79</f>
        <v>192985.96125247487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53170.498356510943</v>
      </c>
      <c r="BV10" s="204">
        <f t="shared" si="8"/>
        <v>53170.498356510943</v>
      </c>
      <c r="BW10" s="204">
        <f t="shared" si="8"/>
        <v>53170.498356510943</v>
      </c>
      <c r="BX10" s="204">
        <f t="shared" si="8"/>
        <v>53170.498356510943</v>
      </c>
      <c r="BY10" s="204">
        <f t="shared" si="8"/>
        <v>53170.498356510943</v>
      </c>
      <c r="BZ10" s="204">
        <f t="shared" si="8"/>
        <v>53170.498356510943</v>
      </c>
      <c r="CA10" s="204">
        <f t="shared" si="2"/>
        <v>53170.498356510943</v>
      </c>
      <c r="CB10" s="204">
        <f t="shared" si="2"/>
        <v>53170.498356510943</v>
      </c>
      <c r="CC10" s="204">
        <f t="shared" si="2"/>
        <v>53170.498356510943</v>
      </c>
      <c r="CD10" s="204">
        <f t="shared" si="2"/>
        <v>53170.498356510943</v>
      </c>
      <c r="CE10" s="204">
        <f t="shared" si="2"/>
        <v>53170.498356510943</v>
      </c>
      <c r="CF10" s="204">
        <f t="shared" si="2"/>
        <v>53170.498356510943</v>
      </c>
      <c r="CG10" s="204">
        <f t="shared" si="2"/>
        <v>53170.498356510943</v>
      </c>
      <c r="CH10" s="204">
        <f t="shared" si="2"/>
        <v>53170.498356510943</v>
      </c>
      <c r="CI10" s="204">
        <f t="shared" si="2"/>
        <v>53170.498356510943</v>
      </c>
      <c r="CJ10" s="204">
        <f t="shared" si="2"/>
        <v>53170.498356510943</v>
      </c>
      <c r="CK10" s="204">
        <f t="shared" si="2"/>
        <v>53170.498356510943</v>
      </c>
      <c r="CL10" s="204">
        <f t="shared" si="2"/>
        <v>53170.498356510943</v>
      </c>
      <c r="CM10" s="204">
        <f t="shared" si="2"/>
        <v>53170.498356510943</v>
      </c>
      <c r="CN10" s="204">
        <f t="shared" si="2"/>
        <v>53170.498356510943</v>
      </c>
      <c r="CO10" s="204">
        <f t="shared" si="2"/>
        <v>53170.498356510943</v>
      </c>
      <c r="CP10" s="204">
        <f t="shared" si="2"/>
        <v>53170.498356510943</v>
      </c>
      <c r="CQ10" s="204">
        <f t="shared" si="2"/>
        <v>53170.498356510943</v>
      </c>
      <c r="CR10" s="204">
        <f t="shared" si="2"/>
        <v>192985.96125247487</v>
      </c>
      <c r="CS10" s="204">
        <f t="shared" si="3"/>
        <v>192985.96125247487</v>
      </c>
      <c r="CT10" s="204">
        <f t="shared" si="3"/>
        <v>192985.96125247487</v>
      </c>
      <c r="CU10" s="204">
        <f t="shared" si="3"/>
        <v>192985.96125247487</v>
      </c>
      <c r="CV10" s="204">
        <f t="shared" si="3"/>
        <v>192985.96125247487</v>
      </c>
      <c r="CW10" s="204">
        <f t="shared" si="3"/>
        <v>192985.96125247487</v>
      </c>
      <c r="CX10" s="204">
        <f t="shared" si="3"/>
        <v>192985.96125247487</v>
      </c>
      <c r="CY10" s="204">
        <f t="shared" si="3"/>
        <v>192985.96125247487</v>
      </c>
      <c r="CZ10" s="204">
        <f t="shared" si="3"/>
        <v>192985.96125247487</v>
      </c>
      <c r="DA10" s="204">
        <f t="shared" si="3"/>
        <v>192985.96125247487</v>
      </c>
      <c r="DB10" s="204"/>
    </row>
    <row r="11" spans="1:106">
      <c r="A11" s="201" t="str">
        <f>Income!A81</f>
        <v>Self - employment</v>
      </c>
      <c r="B11" s="203">
        <f>Income!B81</f>
        <v>3573.9949308508735</v>
      </c>
      <c r="C11" s="203">
        <f>Income!C81</f>
        <v>2516.3219091356141</v>
      </c>
      <c r="D11" s="203">
        <f>Income!D81</f>
        <v>13414.443132194307</v>
      </c>
      <c r="E11" s="203">
        <f>Income!E81</f>
        <v>1464.7520208405217</v>
      </c>
      <c r="F11" s="204">
        <f t="shared" si="4"/>
        <v>3573.9949308508735</v>
      </c>
      <c r="G11" s="204">
        <f t="shared" si="4"/>
        <v>3573.9949308508735</v>
      </c>
      <c r="H11" s="204">
        <f t="shared" si="4"/>
        <v>3573.9949308508735</v>
      </c>
      <c r="I11" s="204">
        <f t="shared" si="4"/>
        <v>3573.9949308508735</v>
      </c>
      <c r="J11" s="204">
        <f t="shared" si="4"/>
        <v>3573.9949308508735</v>
      </c>
      <c r="K11" s="204">
        <f t="shared" si="4"/>
        <v>3573.9949308508735</v>
      </c>
      <c r="L11" s="204">
        <f t="shared" si="4"/>
        <v>3573.9949308508735</v>
      </c>
      <c r="M11" s="204">
        <f t="shared" si="4"/>
        <v>3573.9949308508735</v>
      </c>
      <c r="N11" s="204">
        <f t="shared" si="4"/>
        <v>3573.9949308508735</v>
      </c>
      <c r="O11" s="204">
        <f t="shared" si="4"/>
        <v>3573.9949308508735</v>
      </c>
      <c r="P11" s="204">
        <f t="shared" si="4"/>
        <v>3573.9949308508735</v>
      </c>
      <c r="Q11" s="204">
        <f t="shared" si="4"/>
        <v>3573.9949308508735</v>
      </c>
      <c r="R11" s="204">
        <f t="shared" si="4"/>
        <v>3573.9949308508735</v>
      </c>
      <c r="S11" s="204">
        <f t="shared" si="4"/>
        <v>3573.9949308508735</v>
      </c>
      <c r="T11" s="204">
        <f t="shared" si="4"/>
        <v>3573.9949308508735</v>
      </c>
      <c r="U11" s="204">
        <f t="shared" si="4"/>
        <v>3573.9949308508735</v>
      </c>
      <c r="V11" s="204">
        <f t="shared" si="6"/>
        <v>3573.9949308508735</v>
      </c>
      <c r="W11" s="204">
        <f t="shared" si="6"/>
        <v>3573.9949308508735</v>
      </c>
      <c r="X11" s="204">
        <f t="shared" si="6"/>
        <v>3573.9949308508735</v>
      </c>
      <c r="Y11" s="204">
        <f t="shared" si="6"/>
        <v>3573.9949308508735</v>
      </c>
      <c r="Z11" s="204">
        <f t="shared" si="6"/>
        <v>3573.9949308508735</v>
      </c>
      <c r="AA11" s="204">
        <f t="shared" si="6"/>
        <v>3573.9949308508735</v>
      </c>
      <c r="AB11" s="204">
        <f t="shared" si="6"/>
        <v>3573.9949308508735</v>
      </c>
      <c r="AC11" s="204">
        <f t="shared" si="6"/>
        <v>3573.9949308508735</v>
      </c>
      <c r="AD11" s="204">
        <f t="shared" si="6"/>
        <v>3573.9949308508735</v>
      </c>
      <c r="AE11" s="204">
        <f t="shared" si="6"/>
        <v>3573.9949308508735</v>
      </c>
      <c r="AF11" s="204">
        <f t="shared" si="6"/>
        <v>3573.9949308508735</v>
      </c>
      <c r="AG11" s="204">
        <f t="shared" si="6"/>
        <v>3573.9949308508735</v>
      </c>
      <c r="AH11" s="204">
        <f t="shared" si="6"/>
        <v>3573.9949308508735</v>
      </c>
      <c r="AI11" s="204">
        <f t="shared" si="6"/>
        <v>3573.9949308508735</v>
      </c>
      <c r="AJ11" s="204">
        <f t="shared" si="6"/>
        <v>3573.9949308508735</v>
      </c>
      <c r="AK11" s="204">
        <f t="shared" si="6"/>
        <v>3573.9949308508735</v>
      </c>
      <c r="AL11" s="204">
        <f t="shared" si="7"/>
        <v>3573.9949308508735</v>
      </c>
      <c r="AM11" s="204">
        <f t="shared" si="7"/>
        <v>3573.9949308508735</v>
      </c>
      <c r="AN11" s="204">
        <f t="shared" si="7"/>
        <v>3573.9949308508735</v>
      </c>
      <c r="AO11" s="204">
        <f t="shared" si="7"/>
        <v>2516.3219091356141</v>
      </c>
      <c r="AP11" s="204">
        <f t="shared" si="7"/>
        <v>2516.3219091356141</v>
      </c>
      <c r="AQ11" s="204">
        <f t="shared" si="7"/>
        <v>2516.3219091356141</v>
      </c>
      <c r="AR11" s="204">
        <f t="shared" si="7"/>
        <v>2516.3219091356141</v>
      </c>
      <c r="AS11" s="204">
        <f t="shared" si="7"/>
        <v>2516.3219091356141</v>
      </c>
      <c r="AT11" s="204">
        <f t="shared" si="7"/>
        <v>2516.3219091356141</v>
      </c>
      <c r="AU11" s="204">
        <f t="shared" si="7"/>
        <v>2516.3219091356141</v>
      </c>
      <c r="AV11" s="204">
        <f t="shared" si="7"/>
        <v>2516.3219091356141</v>
      </c>
      <c r="AW11" s="204">
        <f t="shared" si="7"/>
        <v>2516.3219091356141</v>
      </c>
      <c r="AX11" s="204">
        <f t="shared" si="8"/>
        <v>2516.3219091356141</v>
      </c>
      <c r="AY11" s="204">
        <f t="shared" si="8"/>
        <v>2516.3219091356141</v>
      </c>
      <c r="AZ11" s="204">
        <f t="shared" si="8"/>
        <v>2516.3219091356141</v>
      </c>
      <c r="BA11" s="204">
        <f t="shared" si="8"/>
        <v>2516.3219091356141</v>
      </c>
      <c r="BB11" s="204">
        <f t="shared" si="8"/>
        <v>2516.3219091356141</v>
      </c>
      <c r="BC11" s="204">
        <f t="shared" si="8"/>
        <v>2516.3219091356141</v>
      </c>
      <c r="BD11" s="204">
        <f t="shared" si="8"/>
        <v>2516.3219091356141</v>
      </c>
      <c r="BE11" s="204">
        <f t="shared" si="8"/>
        <v>2516.3219091356141</v>
      </c>
      <c r="BF11" s="204">
        <f t="shared" si="8"/>
        <v>2516.3219091356141</v>
      </c>
      <c r="BG11" s="204">
        <f t="shared" si="8"/>
        <v>2516.3219091356141</v>
      </c>
      <c r="BH11" s="204">
        <f t="shared" si="8"/>
        <v>2516.3219091356141</v>
      </c>
      <c r="BI11" s="204">
        <f t="shared" si="8"/>
        <v>2516.3219091356141</v>
      </c>
      <c r="BJ11" s="204">
        <f t="shared" si="8"/>
        <v>2516.3219091356141</v>
      </c>
      <c r="BK11" s="204">
        <f t="shared" si="8"/>
        <v>2516.3219091356141</v>
      </c>
      <c r="BL11" s="204">
        <f t="shared" si="8"/>
        <v>2516.3219091356141</v>
      </c>
      <c r="BM11" s="204">
        <f t="shared" si="8"/>
        <v>2516.3219091356141</v>
      </c>
      <c r="BN11" s="204">
        <f t="shared" si="8"/>
        <v>2516.3219091356141</v>
      </c>
      <c r="BO11" s="204">
        <f t="shared" si="8"/>
        <v>2516.3219091356141</v>
      </c>
      <c r="BP11" s="204">
        <f t="shared" si="8"/>
        <v>2516.3219091356141</v>
      </c>
      <c r="BQ11" s="204">
        <f t="shared" si="8"/>
        <v>2516.3219091356141</v>
      </c>
      <c r="BR11" s="204">
        <f t="shared" si="8"/>
        <v>2516.3219091356141</v>
      </c>
      <c r="BS11" s="204">
        <f t="shared" si="8"/>
        <v>2516.3219091356141</v>
      </c>
      <c r="BT11" s="204">
        <f t="shared" si="8"/>
        <v>2516.3219091356141</v>
      </c>
      <c r="BU11" s="204">
        <f t="shared" si="8"/>
        <v>13414.443132194307</v>
      </c>
      <c r="BV11" s="204">
        <f t="shared" si="8"/>
        <v>13414.443132194307</v>
      </c>
      <c r="BW11" s="204">
        <f t="shared" si="8"/>
        <v>13414.443132194307</v>
      </c>
      <c r="BX11" s="204">
        <f t="shared" si="8"/>
        <v>13414.443132194307</v>
      </c>
      <c r="BY11" s="204">
        <f t="shared" si="8"/>
        <v>13414.443132194307</v>
      </c>
      <c r="BZ11" s="204">
        <f t="shared" si="8"/>
        <v>13414.443132194307</v>
      </c>
      <c r="CA11" s="204">
        <f t="shared" si="2"/>
        <v>13414.443132194307</v>
      </c>
      <c r="CB11" s="204">
        <f t="shared" si="2"/>
        <v>13414.443132194307</v>
      </c>
      <c r="CC11" s="204">
        <f t="shared" si="2"/>
        <v>13414.443132194307</v>
      </c>
      <c r="CD11" s="204">
        <f t="shared" si="2"/>
        <v>13414.443132194307</v>
      </c>
      <c r="CE11" s="204">
        <f t="shared" si="2"/>
        <v>13414.443132194307</v>
      </c>
      <c r="CF11" s="204">
        <f t="shared" si="2"/>
        <v>13414.443132194307</v>
      </c>
      <c r="CG11" s="204">
        <f t="shared" si="2"/>
        <v>13414.443132194307</v>
      </c>
      <c r="CH11" s="204">
        <f t="shared" si="2"/>
        <v>13414.443132194307</v>
      </c>
      <c r="CI11" s="204">
        <f t="shared" si="2"/>
        <v>13414.443132194307</v>
      </c>
      <c r="CJ11" s="204">
        <f t="shared" si="2"/>
        <v>13414.443132194307</v>
      </c>
      <c r="CK11" s="204">
        <f t="shared" si="2"/>
        <v>13414.443132194307</v>
      </c>
      <c r="CL11" s="204">
        <f t="shared" si="2"/>
        <v>13414.443132194307</v>
      </c>
      <c r="CM11" s="204">
        <f t="shared" si="2"/>
        <v>13414.443132194307</v>
      </c>
      <c r="CN11" s="204">
        <f t="shared" si="2"/>
        <v>13414.443132194307</v>
      </c>
      <c r="CO11" s="204">
        <f t="shared" si="2"/>
        <v>13414.443132194307</v>
      </c>
      <c r="CP11" s="204">
        <f t="shared" si="2"/>
        <v>13414.443132194307</v>
      </c>
      <c r="CQ11" s="204">
        <f t="shared" si="2"/>
        <v>13414.443132194307</v>
      </c>
      <c r="CR11" s="204">
        <f t="shared" si="2"/>
        <v>1464.7520208405217</v>
      </c>
      <c r="CS11" s="204">
        <f t="shared" si="3"/>
        <v>1464.7520208405217</v>
      </c>
      <c r="CT11" s="204">
        <f t="shared" si="3"/>
        <v>1464.7520208405217</v>
      </c>
      <c r="CU11" s="204">
        <f t="shared" si="3"/>
        <v>1464.7520208405217</v>
      </c>
      <c r="CV11" s="204">
        <f t="shared" si="3"/>
        <v>1464.7520208405217</v>
      </c>
      <c r="CW11" s="204">
        <f t="shared" si="3"/>
        <v>1464.7520208405217</v>
      </c>
      <c r="CX11" s="204">
        <f t="shared" si="3"/>
        <v>1464.7520208405217</v>
      </c>
      <c r="CY11" s="204">
        <f t="shared" si="3"/>
        <v>1464.7520208405217</v>
      </c>
      <c r="CZ11" s="204">
        <f t="shared" si="3"/>
        <v>1464.7520208405217</v>
      </c>
      <c r="DA11" s="204">
        <f t="shared" si="3"/>
        <v>1464.7520208405217</v>
      </c>
      <c r="DB11" s="204"/>
    </row>
    <row r="12" spans="1:106">
      <c r="A12" s="201" t="str">
        <f>Income!A82</f>
        <v>Small business/petty trading</v>
      </c>
      <c r="B12" s="203">
        <f>Income!B82</f>
        <v>878.85121250431325</v>
      </c>
      <c r="C12" s="203">
        <f>Income!C82</f>
        <v>2999.0797626709691</v>
      </c>
      <c r="D12" s="203">
        <f>Income!D82</f>
        <v>19891.332443014286</v>
      </c>
      <c r="E12" s="203">
        <f>Income!E82</f>
        <v>63180.613666935067</v>
      </c>
      <c r="F12" s="204">
        <f t="shared" si="4"/>
        <v>878.85121250431325</v>
      </c>
      <c r="G12" s="204">
        <f t="shared" si="4"/>
        <v>878.85121250431325</v>
      </c>
      <c r="H12" s="204">
        <f t="shared" si="4"/>
        <v>878.85121250431325</v>
      </c>
      <c r="I12" s="204">
        <f t="shared" si="4"/>
        <v>878.85121250431325</v>
      </c>
      <c r="J12" s="204">
        <f t="shared" si="4"/>
        <v>878.85121250431325</v>
      </c>
      <c r="K12" s="204">
        <f t="shared" si="4"/>
        <v>878.85121250431325</v>
      </c>
      <c r="L12" s="204">
        <f t="shared" si="4"/>
        <v>878.85121250431325</v>
      </c>
      <c r="M12" s="204">
        <f t="shared" si="4"/>
        <v>878.85121250431325</v>
      </c>
      <c r="N12" s="204">
        <f t="shared" si="4"/>
        <v>878.85121250431325</v>
      </c>
      <c r="O12" s="204">
        <f t="shared" si="4"/>
        <v>878.85121250431325</v>
      </c>
      <c r="P12" s="204">
        <f t="shared" si="4"/>
        <v>878.85121250431325</v>
      </c>
      <c r="Q12" s="204">
        <f t="shared" si="4"/>
        <v>878.85121250431325</v>
      </c>
      <c r="R12" s="204">
        <f t="shared" si="4"/>
        <v>878.85121250431325</v>
      </c>
      <c r="S12" s="204">
        <f t="shared" si="4"/>
        <v>878.85121250431325</v>
      </c>
      <c r="T12" s="204">
        <f t="shared" si="4"/>
        <v>878.85121250431325</v>
      </c>
      <c r="U12" s="204">
        <f t="shared" si="4"/>
        <v>878.85121250431325</v>
      </c>
      <c r="V12" s="204">
        <f t="shared" si="6"/>
        <v>878.85121250431325</v>
      </c>
      <c r="W12" s="204">
        <f t="shared" si="6"/>
        <v>878.85121250431325</v>
      </c>
      <c r="X12" s="204">
        <f t="shared" si="6"/>
        <v>878.85121250431325</v>
      </c>
      <c r="Y12" s="204">
        <f t="shared" si="6"/>
        <v>878.85121250431325</v>
      </c>
      <c r="Z12" s="204">
        <f t="shared" si="6"/>
        <v>878.85121250431325</v>
      </c>
      <c r="AA12" s="204">
        <f t="shared" si="6"/>
        <v>878.85121250431325</v>
      </c>
      <c r="AB12" s="204">
        <f t="shared" si="6"/>
        <v>878.85121250431325</v>
      </c>
      <c r="AC12" s="204">
        <f t="shared" si="6"/>
        <v>878.85121250431325</v>
      </c>
      <c r="AD12" s="204">
        <f t="shared" si="6"/>
        <v>878.85121250431325</v>
      </c>
      <c r="AE12" s="204">
        <f t="shared" si="6"/>
        <v>878.85121250431325</v>
      </c>
      <c r="AF12" s="204">
        <f t="shared" si="6"/>
        <v>878.85121250431325</v>
      </c>
      <c r="AG12" s="204">
        <f t="shared" si="6"/>
        <v>878.85121250431325</v>
      </c>
      <c r="AH12" s="204">
        <f t="shared" si="6"/>
        <v>878.85121250431325</v>
      </c>
      <c r="AI12" s="204">
        <f t="shared" si="6"/>
        <v>878.85121250431325</v>
      </c>
      <c r="AJ12" s="204">
        <f t="shared" si="6"/>
        <v>878.85121250431325</v>
      </c>
      <c r="AK12" s="204">
        <f t="shared" si="6"/>
        <v>878.85121250431325</v>
      </c>
      <c r="AL12" s="204">
        <f t="shared" si="7"/>
        <v>878.85121250431325</v>
      </c>
      <c r="AM12" s="204">
        <f t="shared" si="7"/>
        <v>878.85121250431325</v>
      </c>
      <c r="AN12" s="204">
        <f t="shared" si="7"/>
        <v>878.85121250431325</v>
      </c>
      <c r="AO12" s="204">
        <f t="shared" si="7"/>
        <v>2999.0797626709691</v>
      </c>
      <c r="AP12" s="204">
        <f t="shared" si="7"/>
        <v>2999.0797626709691</v>
      </c>
      <c r="AQ12" s="204">
        <f t="shared" si="7"/>
        <v>2999.0797626709691</v>
      </c>
      <c r="AR12" s="204">
        <f t="shared" si="7"/>
        <v>2999.0797626709691</v>
      </c>
      <c r="AS12" s="204">
        <f t="shared" si="7"/>
        <v>2999.0797626709691</v>
      </c>
      <c r="AT12" s="204">
        <f t="shared" si="7"/>
        <v>2999.0797626709691</v>
      </c>
      <c r="AU12" s="204">
        <f t="shared" si="7"/>
        <v>2999.0797626709691</v>
      </c>
      <c r="AV12" s="204">
        <f t="shared" si="7"/>
        <v>2999.0797626709691</v>
      </c>
      <c r="AW12" s="204">
        <f t="shared" si="7"/>
        <v>2999.0797626709691</v>
      </c>
      <c r="AX12" s="204">
        <f t="shared" si="8"/>
        <v>2999.0797626709691</v>
      </c>
      <c r="AY12" s="204">
        <f t="shared" si="8"/>
        <v>2999.0797626709691</v>
      </c>
      <c r="AZ12" s="204">
        <f t="shared" si="8"/>
        <v>2999.0797626709691</v>
      </c>
      <c r="BA12" s="204">
        <f t="shared" si="8"/>
        <v>2999.0797626709691</v>
      </c>
      <c r="BB12" s="204">
        <f t="shared" si="8"/>
        <v>2999.0797626709691</v>
      </c>
      <c r="BC12" s="204">
        <f t="shared" si="8"/>
        <v>2999.0797626709691</v>
      </c>
      <c r="BD12" s="204">
        <f t="shared" si="8"/>
        <v>2999.0797626709691</v>
      </c>
      <c r="BE12" s="204">
        <f t="shared" si="8"/>
        <v>2999.0797626709691</v>
      </c>
      <c r="BF12" s="204">
        <f t="shared" si="8"/>
        <v>2999.0797626709691</v>
      </c>
      <c r="BG12" s="204">
        <f t="shared" si="8"/>
        <v>2999.0797626709691</v>
      </c>
      <c r="BH12" s="204">
        <f t="shared" si="8"/>
        <v>2999.0797626709691</v>
      </c>
      <c r="BI12" s="204">
        <f t="shared" si="8"/>
        <v>2999.0797626709691</v>
      </c>
      <c r="BJ12" s="204">
        <f t="shared" si="8"/>
        <v>2999.0797626709691</v>
      </c>
      <c r="BK12" s="204">
        <f t="shared" si="8"/>
        <v>2999.0797626709691</v>
      </c>
      <c r="BL12" s="204">
        <f t="shared" si="8"/>
        <v>2999.0797626709691</v>
      </c>
      <c r="BM12" s="204">
        <f t="shared" si="8"/>
        <v>2999.0797626709691</v>
      </c>
      <c r="BN12" s="204">
        <f t="shared" si="8"/>
        <v>2999.0797626709691</v>
      </c>
      <c r="BO12" s="204">
        <f t="shared" si="8"/>
        <v>2999.0797626709691</v>
      </c>
      <c r="BP12" s="204">
        <f t="shared" si="8"/>
        <v>2999.0797626709691</v>
      </c>
      <c r="BQ12" s="204">
        <f t="shared" si="8"/>
        <v>2999.0797626709691</v>
      </c>
      <c r="BR12" s="204">
        <f t="shared" si="8"/>
        <v>2999.0797626709691</v>
      </c>
      <c r="BS12" s="204">
        <f t="shared" si="8"/>
        <v>2999.0797626709691</v>
      </c>
      <c r="BT12" s="204">
        <f t="shared" si="8"/>
        <v>2999.0797626709691</v>
      </c>
      <c r="BU12" s="204">
        <f t="shared" si="8"/>
        <v>19891.332443014286</v>
      </c>
      <c r="BV12" s="204">
        <f t="shared" si="8"/>
        <v>19891.332443014286</v>
      </c>
      <c r="BW12" s="204">
        <f t="shared" si="8"/>
        <v>19891.332443014286</v>
      </c>
      <c r="BX12" s="204">
        <f t="shared" si="8"/>
        <v>19891.332443014286</v>
      </c>
      <c r="BY12" s="204">
        <f t="shared" si="8"/>
        <v>19891.332443014286</v>
      </c>
      <c r="BZ12" s="204">
        <f t="shared" si="8"/>
        <v>19891.332443014286</v>
      </c>
      <c r="CA12" s="204">
        <f t="shared" si="2"/>
        <v>19891.332443014286</v>
      </c>
      <c r="CB12" s="204">
        <f t="shared" si="2"/>
        <v>19891.332443014286</v>
      </c>
      <c r="CC12" s="204">
        <f t="shared" si="2"/>
        <v>19891.332443014286</v>
      </c>
      <c r="CD12" s="204">
        <f t="shared" si="2"/>
        <v>19891.332443014286</v>
      </c>
      <c r="CE12" s="204">
        <f t="shared" si="2"/>
        <v>19891.332443014286</v>
      </c>
      <c r="CF12" s="204">
        <f t="shared" si="2"/>
        <v>19891.332443014286</v>
      </c>
      <c r="CG12" s="204">
        <f t="shared" si="2"/>
        <v>19891.332443014286</v>
      </c>
      <c r="CH12" s="204">
        <f t="shared" si="2"/>
        <v>19891.332443014286</v>
      </c>
      <c r="CI12" s="204">
        <f t="shared" si="2"/>
        <v>19891.332443014286</v>
      </c>
      <c r="CJ12" s="204">
        <f t="shared" si="2"/>
        <v>19891.332443014286</v>
      </c>
      <c r="CK12" s="204">
        <f t="shared" si="2"/>
        <v>19891.332443014286</v>
      </c>
      <c r="CL12" s="204">
        <f t="shared" si="2"/>
        <v>19891.332443014286</v>
      </c>
      <c r="CM12" s="204">
        <f t="shared" si="2"/>
        <v>19891.332443014286</v>
      </c>
      <c r="CN12" s="204">
        <f t="shared" si="2"/>
        <v>19891.332443014286</v>
      </c>
      <c r="CO12" s="204">
        <f t="shared" si="2"/>
        <v>19891.332443014286</v>
      </c>
      <c r="CP12" s="204">
        <f t="shared" si="2"/>
        <v>19891.332443014286</v>
      </c>
      <c r="CQ12" s="204">
        <f t="shared" si="2"/>
        <v>19891.332443014286</v>
      </c>
      <c r="CR12" s="204">
        <f t="shared" si="2"/>
        <v>63180.613666935067</v>
      </c>
      <c r="CS12" s="204">
        <f t="shared" si="3"/>
        <v>63180.613666935067</v>
      </c>
      <c r="CT12" s="204">
        <f t="shared" si="3"/>
        <v>63180.613666935067</v>
      </c>
      <c r="CU12" s="204">
        <f t="shared" si="3"/>
        <v>63180.613666935067</v>
      </c>
      <c r="CV12" s="204">
        <f t="shared" si="3"/>
        <v>63180.613666935067</v>
      </c>
      <c r="CW12" s="204">
        <f t="shared" si="3"/>
        <v>63180.613666935067</v>
      </c>
      <c r="CX12" s="204">
        <f t="shared" si="3"/>
        <v>63180.613666935067</v>
      </c>
      <c r="CY12" s="204">
        <f t="shared" si="3"/>
        <v>63180.613666935067</v>
      </c>
      <c r="CZ12" s="204">
        <f t="shared" si="3"/>
        <v>63180.613666935067</v>
      </c>
      <c r="DA12" s="204">
        <f t="shared" si="3"/>
        <v>63180.613666935067</v>
      </c>
      <c r="DB12" s="204"/>
    </row>
    <row r="13" spans="1:106">
      <c r="A13" s="201" t="str">
        <f>Income!A83</f>
        <v>Food transfer - official</v>
      </c>
      <c r="B13" s="203">
        <f>Income!B83</f>
        <v>2064.5211834646302</v>
      </c>
      <c r="C13" s="203">
        <f>Income!C83</f>
        <v>2083.7806600068589</v>
      </c>
      <c r="D13" s="203">
        <f>Income!D83</f>
        <v>1750.3511868212177</v>
      </c>
      <c r="E13" s="203">
        <f>Income!E83</f>
        <v>995.90674281642259</v>
      </c>
      <c r="F13" s="204">
        <f t="shared" si="4"/>
        <v>2064.5211834646302</v>
      </c>
      <c r="G13" s="204">
        <f t="shared" si="4"/>
        <v>2064.5211834646302</v>
      </c>
      <c r="H13" s="204">
        <f t="shared" si="4"/>
        <v>2064.5211834646302</v>
      </c>
      <c r="I13" s="204">
        <f t="shared" si="4"/>
        <v>2064.5211834646302</v>
      </c>
      <c r="J13" s="204">
        <f t="shared" si="4"/>
        <v>2064.5211834646302</v>
      </c>
      <c r="K13" s="204">
        <f t="shared" si="4"/>
        <v>2064.5211834646302</v>
      </c>
      <c r="L13" s="204">
        <f t="shared" si="4"/>
        <v>2064.5211834646302</v>
      </c>
      <c r="M13" s="204">
        <f t="shared" si="4"/>
        <v>2064.5211834646302</v>
      </c>
      <c r="N13" s="204">
        <f t="shared" si="4"/>
        <v>2064.5211834646302</v>
      </c>
      <c r="O13" s="204">
        <f t="shared" si="4"/>
        <v>2064.5211834646302</v>
      </c>
      <c r="P13" s="204">
        <f t="shared" si="4"/>
        <v>2064.5211834646302</v>
      </c>
      <c r="Q13" s="204">
        <f t="shared" si="4"/>
        <v>2064.5211834646302</v>
      </c>
      <c r="R13" s="204">
        <f t="shared" si="4"/>
        <v>2064.5211834646302</v>
      </c>
      <c r="S13" s="204">
        <f t="shared" si="4"/>
        <v>2064.5211834646302</v>
      </c>
      <c r="T13" s="204">
        <f t="shared" si="4"/>
        <v>2064.5211834646302</v>
      </c>
      <c r="U13" s="204">
        <f t="shared" si="4"/>
        <v>2064.5211834646302</v>
      </c>
      <c r="V13" s="204">
        <f t="shared" si="6"/>
        <v>2064.5211834646302</v>
      </c>
      <c r="W13" s="204">
        <f t="shared" si="6"/>
        <v>2064.5211834646302</v>
      </c>
      <c r="X13" s="204">
        <f t="shared" si="6"/>
        <v>2064.5211834646302</v>
      </c>
      <c r="Y13" s="204">
        <f t="shared" si="6"/>
        <v>2064.5211834646302</v>
      </c>
      <c r="Z13" s="204">
        <f t="shared" si="6"/>
        <v>2064.5211834646302</v>
      </c>
      <c r="AA13" s="204">
        <f t="shared" si="6"/>
        <v>2064.5211834646302</v>
      </c>
      <c r="AB13" s="204">
        <f t="shared" si="6"/>
        <v>2064.5211834646302</v>
      </c>
      <c r="AC13" s="204">
        <f t="shared" si="6"/>
        <v>2064.5211834646302</v>
      </c>
      <c r="AD13" s="204">
        <f t="shared" si="6"/>
        <v>2064.5211834646302</v>
      </c>
      <c r="AE13" s="204">
        <f t="shared" si="6"/>
        <v>2064.5211834646302</v>
      </c>
      <c r="AF13" s="204">
        <f t="shared" si="6"/>
        <v>2064.5211834646302</v>
      </c>
      <c r="AG13" s="204">
        <f t="shared" si="6"/>
        <v>2064.5211834646302</v>
      </c>
      <c r="AH13" s="204">
        <f t="shared" si="6"/>
        <v>2064.5211834646302</v>
      </c>
      <c r="AI13" s="204">
        <f t="shared" si="6"/>
        <v>2064.5211834646302</v>
      </c>
      <c r="AJ13" s="204">
        <f t="shared" si="6"/>
        <v>2064.5211834646302</v>
      </c>
      <c r="AK13" s="204">
        <f t="shared" si="6"/>
        <v>2064.5211834646302</v>
      </c>
      <c r="AL13" s="204">
        <f t="shared" si="7"/>
        <v>2064.5211834646302</v>
      </c>
      <c r="AM13" s="204">
        <f t="shared" si="7"/>
        <v>2064.5211834646302</v>
      </c>
      <c r="AN13" s="204">
        <f t="shared" si="7"/>
        <v>2064.5211834646302</v>
      </c>
      <c r="AO13" s="204">
        <f t="shared" si="7"/>
        <v>2083.7806600068589</v>
      </c>
      <c r="AP13" s="204">
        <f t="shared" si="7"/>
        <v>2083.7806600068589</v>
      </c>
      <c r="AQ13" s="204">
        <f t="shared" si="7"/>
        <v>2083.7806600068589</v>
      </c>
      <c r="AR13" s="204">
        <f t="shared" si="7"/>
        <v>2083.7806600068589</v>
      </c>
      <c r="AS13" s="204">
        <f t="shared" si="7"/>
        <v>2083.7806600068589</v>
      </c>
      <c r="AT13" s="204">
        <f t="shared" si="7"/>
        <v>2083.7806600068589</v>
      </c>
      <c r="AU13" s="204">
        <f t="shared" si="7"/>
        <v>2083.7806600068589</v>
      </c>
      <c r="AV13" s="204">
        <f t="shared" si="7"/>
        <v>2083.7806600068589</v>
      </c>
      <c r="AW13" s="204">
        <f t="shared" si="7"/>
        <v>2083.7806600068589</v>
      </c>
      <c r="AX13" s="204">
        <f t="shared" si="8"/>
        <v>2083.7806600068589</v>
      </c>
      <c r="AY13" s="204">
        <f t="shared" si="8"/>
        <v>2083.7806600068589</v>
      </c>
      <c r="AZ13" s="204">
        <f t="shared" si="8"/>
        <v>2083.7806600068589</v>
      </c>
      <c r="BA13" s="204">
        <f t="shared" si="8"/>
        <v>2083.7806600068589</v>
      </c>
      <c r="BB13" s="204">
        <f t="shared" si="8"/>
        <v>2083.7806600068589</v>
      </c>
      <c r="BC13" s="204">
        <f t="shared" si="8"/>
        <v>2083.7806600068589</v>
      </c>
      <c r="BD13" s="204">
        <f t="shared" si="8"/>
        <v>2083.7806600068589</v>
      </c>
      <c r="BE13" s="204">
        <f t="shared" si="8"/>
        <v>2083.7806600068589</v>
      </c>
      <c r="BF13" s="204">
        <f t="shared" si="8"/>
        <v>2083.7806600068589</v>
      </c>
      <c r="BG13" s="204">
        <f t="shared" si="8"/>
        <v>2083.7806600068589</v>
      </c>
      <c r="BH13" s="204">
        <f t="shared" si="8"/>
        <v>2083.7806600068589</v>
      </c>
      <c r="BI13" s="204">
        <f t="shared" si="8"/>
        <v>2083.7806600068589</v>
      </c>
      <c r="BJ13" s="204">
        <f t="shared" si="8"/>
        <v>2083.7806600068589</v>
      </c>
      <c r="BK13" s="204">
        <f t="shared" si="8"/>
        <v>2083.7806600068589</v>
      </c>
      <c r="BL13" s="204">
        <f t="shared" si="8"/>
        <v>2083.7806600068589</v>
      </c>
      <c r="BM13" s="204">
        <f t="shared" si="8"/>
        <v>2083.7806600068589</v>
      </c>
      <c r="BN13" s="204">
        <f t="shared" si="8"/>
        <v>2083.7806600068589</v>
      </c>
      <c r="BO13" s="204">
        <f t="shared" si="8"/>
        <v>2083.7806600068589</v>
      </c>
      <c r="BP13" s="204">
        <f t="shared" si="8"/>
        <v>2083.7806600068589</v>
      </c>
      <c r="BQ13" s="204">
        <f t="shared" si="8"/>
        <v>2083.7806600068589</v>
      </c>
      <c r="BR13" s="204">
        <f t="shared" si="8"/>
        <v>2083.7806600068589</v>
      </c>
      <c r="BS13" s="204">
        <f t="shared" si="8"/>
        <v>2083.7806600068589</v>
      </c>
      <c r="BT13" s="204">
        <f t="shared" si="8"/>
        <v>2083.7806600068589</v>
      </c>
      <c r="BU13" s="204">
        <f t="shared" si="8"/>
        <v>1750.3511868212177</v>
      </c>
      <c r="BV13" s="204">
        <f t="shared" si="8"/>
        <v>1750.3511868212177</v>
      </c>
      <c r="BW13" s="204">
        <f t="shared" si="8"/>
        <v>1750.3511868212177</v>
      </c>
      <c r="BX13" s="204">
        <f t="shared" si="8"/>
        <v>1750.3511868212177</v>
      </c>
      <c r="BY13" s="204">
        <f t="shared" si="8"/>
        <v>1750.3511868212177</v>
      </c>
      <c r="BZ13" s="204">
        <f t="shared" si="8"/>
        <v>1750.3511868212177</v>
      </c>
      <c r="CA13" s="204">
        <f t="shared" si="2"/>
        <v>1750.3511868212177</v>
      </c>
      <c r="CB13" s="204">
        <f t="shared" si="2"/>
        <v>1750.3511868212177</v>
      </c>
      <c r="CC13" s="204">
        <f t="shared" si="2"/>
        <v>1750.3511868212177</v>
      </c>
      <c r="CD13" s="204">
        <f t="shared" si="2"/>
        <v>1750.3511868212177</v>
      </c>
      <c r="CE13" s="204">
        <f t="shared" si="2"/>
        <v>1750.3511868212177</v>
      </c>
      <c r="CF13" s="204">
        <f t="shared" si="2"/>
        <v>1750.3511868212177</v>
      </c>
      <c r="CG13" s="204">
        <f t="shared" si="2"/>
        <v>1750.3511868212177</v>
      </c>
      <c r="CH13" s="204">
        <f t="shared" si="2"/>
        <v>1750.3511868212177</v>
      </c>
      <c r="CI13" s="204">
        <f t="shared" si="2"/>
        <v>1750.3511868212177</v>
      </c>
      <c r="CJ13" s="204">
        <f t="shared" si="2"/>
        <v>1750.3511868212177</v>
      </c>
      <c r="CK13" s="204">
        <f t="shared" si="2"/>
        <v>1750.3511868212177</v>
      </c>
      <c r="CL13" s="204">
        <f t="shared" si="2"/>
        <v>1750.3511868212177</v>
      </c>
      <c r="CM13" s="204">
        <f t="shared" si="2"/>
        <v>1750.3511868212177</v>
      </c>
      <c r="CN13" s="204">
        <f t="shared" si="2"/>
        <v>1750.3511868212177</v>
      </c>
      <c r="CO13" s="204">
        <f t="shared" si="2"/>
        <v>1750.3511868212177</v>
      </c>
      <c r="CP13" s="204">
        <f t="shared" si="2"/>
        <v>1750.3511868212177</v>
      </c>
      <c r="CQ13" s="204">
        <f t="shared" si="2"/>
        <v>1750.3511868212177</v>
      </c>
      <c r="CR13" s="204">
        <f t="shared" si="2"/>
        <v>995.90674281642259</v>
      </c>
      <c r="CS13" s="204">
        <f t="shared" si="3"/>
        <v>995.90674281642259</v>
      </c>
      <c r="CT13" s="204">
        <f t="shared" si="3"/>
        <v>995.90674281642259</v>
      </c>
      <c r="CU13" s="204">
        <f t="shared" si="3"/>
        <v>995.90674281642259</v>
      </c>
      <c r="CV13" s="204">
        <f t="shared" si="3"/>
        <v>995.90674281642259</v>
      </c>
      <c r="CW13" s="204">
        <f t="shared" si="3"/>
        <v>995.90674281642259</v>
      </c>
      <c r="CX13" s="204">
        <f t="shared" si="3"/>
        <v>995.90674281642259</v>
      </c>
      <c r="CY13" s="204">
        <f t="shared" si="3"/>
        <v>995.90674281642259</v>
      </c>
      <c r="CZ13" s="204">
        <f t="shared" si="3"/>
        <v>995.90674281642259</v>
      </c>
      <c r="DA13" s="204">
        <f t="shared" si="3"/>
        <v>995.90674281642259</v>
      </c>
      <c r="DB13" s="204"/>
    </row>
    <row r="14" spans="1:106">
      <c r="A14" s="201" t="str">
        <f>Income!A85</f>
        <v>Cash transfer - official</v>
      </c>
      <c r="B14" s="203">
        <f>Income!B85</f>
        <v>33527.373876317448</v>
      </c>
      <c r="C14" s="203">
        <f>Income!C85</f>
        <v>33512.701830892402</v>
      </c>
      <c r="D14" s="203">
        <f>Income!D85</f>
        <v>23805.10767650275</v>
      </c>
      <c r="E14" s="203">
        <f>Income!E85</f>
        <v>14854.008077146314</v>
      </c>
      <c r="F14" s="204">
        <f t="shared" si="4"/>
        <v>33527.373876317448</v>
      </c>
      <c r="G14" s="204">
        <f t="shared" si="4"/>
        <v>33527.373876317448</v>
      </c>
      <c r="H14" s="204">
        <f t="shared" si="4"/>
        <v>33527.373876317448</v>
      </c>
      <c r="I14" s="204">
        <f t="shared" si="4"/>
        <v>33527.373876317448</v>
      </c>
      <c r="J14" s="204">
        <f t="shared" si="4"/>
        <v>33527.373876317448</v>
      </c>
      <c r="K14" s="204">
        <f t="shared" si="4"/>
        <v>33527.373876317448</v>
      </c>
      <c r="L14" s="204">
        <f t="shared" si="4"/>
        <v>33527.373876317448</v>
      </c>
      <c r="M14" s="204">
        <f t="shared" si="4"/>
        <v>33527.373876317448</v>
      </c>
      <c r="N14" s="204">
        <f t="shared" si="4"/>
        <v>33527.373876317448</v>
      </c>
      <c r="O14" s="204">
        <f t="shared" si="4"/>
        <v>33527.373876317448</v>
      </c>
      <c r="P14" s="204">
        <f t="shared" si="4"/>
        <v>33527.373876317448</v>
      </c>
      <c r="Q14" s="204">
        <f t="shared" si="4"/>
        <v>33527.373876317448</v>
      </c>
      <c r="R14" s="204">
        <f t="shared" si="4"/>
        <v>33527.373876317448</v>
      </c>
      <c r="S14" s="204">
        <f t="shared" si="4"/>
        <v>33527.373876317448</v>
      </c>
      <c r="T14" s="204">
        <f t="shared" si="4"/>
        <v>33527.373876317448</v>
      </c>
      <c r="U14" s="204">
        <f t="shared" si="4"/>
        <v>33527.373876317448</v>
      </c>
      <c r="V14" s="204">
        <f t="shared" si="6"/>
        <v>33527.373876317448</v>
      </c>
      <c r="W14" s="204">
        <f t="shared" si="6"/>
        <v>33527.373876317448</v>
      </c>
      <c r="X14" s="204">
        <f t="shared" si="6"/>
        <v>33527.373876317448</v>
      </c>
      <c r="Y14" s="204">
        <f t="shared" si="6"/>
        <v>33527.373876317448</v>
      </c>
      <c r="Z14" s="204">
        <f t="shared" si="6"/>
        <v>33527.373876317448</v>
      </c>
      <c r="AA14" s="204">
        <f t="shared" si="6"/>
        <v>33527.373876317448</v>
      </c>
      <c r="AB14" s="204">
        <f t="shared" si="6"/>
        <v>33527.373876317448</v>
      </c>
      <c r="AC14" s="204">
        <f t="shared" si="6"/>
        <v>33527.373876317448</v>
      </c>
      <c r="AD14" s="204">
        <f t="shared" si="6"/>
        <v>33527.373876317448</v>
      </c>
      <c r="AE14" s="204">
        <f t="shared" si="6"/>
        <v>33527.373876317448</v>
      </c>
      <c r="AF14" s="204">
        <f t="shared" si="6"/>
        <v>33527.373876317448</v>
      </c>
      <c r="AG14" s="204">
        <f t="shared" si="6"/>
        <v>33527.373876317448</v>
      </c>
      <c r="AH14" s="204">
        <f t="shared" si="6"/>
        <v>33527.373876317448</v>
      </c>
      <c r="AI14" s="204">
        <f t="shared" si="6"/>
        <v>33527.373876317448</v>
      </c>
      <c r="AJ14" s="204">
        <f t="shared" si="6"/>
        <v>33527.373876317448</v>
      </c>
      <c r="AK14" s="204">
        <f t="shared" si="6"/>
        <v>33527.373876317448</v>
      </c>
      <c r="AL14" s="204">
        <f t="shared" si="7"/>
        <v>33527.373876317448</v>
      </c>
      <c r="AM14" s="204">
        <f t="shared" si="7"/>
        <v>33527.373876317448</v>
      </c>
      <c r="AN14" s="204">
        <f t="shared" si="7"/>
        <v>33527.373876317448</v>
      </c>
      <c r="AO14" s="204">
        <f t="shared" si="7"/>
        <v>33512.701830892402</v>
      </c>
      <c r="AP14" s="204">
        <f t="shared" si="7"/>
        <v>33512.701830892402</v>
      </c>
      <c r="AQ14" s="204">
        <f t="shared" si="7"/>
        <v>33512.701830892402</v>
      </c>
      <c r="AR14" s="204">
        <f t="shared" si="7"/>
        <v>33512.701830892402</v>
      </c>
      <c r="AS14" s="204">
        <f t="shared" si="7"/>
        <v>33512.701830892402</v>
      </c>
      <c r="AT14" s="204">
        <f t="shared" si="7"/>
        <v>33512.701830892402</v>
      </c>
      <c r="AU14" s="204">
        <f t="shared" si="7"/>
        <v>33512.701830892402</v>
      </c>
      <c r="AV14" s="204">
        <f t="shared" si="7"/>
        <v>33512.701830892402</v>
      </c>
      <c r="AW14" s="204">
        <f t="shared" si="7"/>
        <v>33512.701830892402</v>
      </c>
      <c r="AX14" s="204">
        <f t="shared" si="7"/>
        <v>33512.701830892402</v>
      </c>
      <c r="AY14" s="204">
        <f t="shared" si="7"/>
        <v>33512.701830892402</v>
      </c>
      <c r="AZ14" s="204">
        <f t="shared" si="7"/>
        <v>33512.701830892402</v>
      </c>
      <c r="BA14" s="204">
        <f t="shared" si="7"/>
        <v>33512.701830892402</v>
      </c>
      <c r="BB14" s="204">
        <f t="shared" si="8"/>
        <v>33512.701830892402</v>
      </c>
      <c r="BC14" s="204">
        <f t="shared" si="8"/>
        <v>33512.701830892402</v>
      </c>
      <c r="BD14" s="204">
        <f t="shared" si="8"/>
        <v>33512.701830892402</v>
      </c>
      <c r="BE14" s="204">
        <f t="shared" si="8"/>
        <v>33512.701830892402</v>
      </c>
      <c r="BF14" s="204">
        <f t="shared" si="8"/>
        <v>33512.701830892402</v>
      </c>
      <c r="BG14" s="204">
        <f t="shared" si="8"/>
        <v>33512.701830892402</v>
      </c>
      <c r="BH14" s="204">
        <f t="shared" si="8"/>
        <v>33512.701830892402</v>
      </c>
      <c r="BI14" s="204">
        <f t="shared" si="8"/>
        <v>33512.701830892402</v>
      </c>
      <c r="BJ14" s="204">
        <f t="shared" si="8"/>
        <v>33512.701830892402</v>
      </c>
      <c r="BK14" s="204">
        <f t="shared" si="8"/>
        <v>33512.701830892402</v>
      </c>
      <c r="BL14" s="204">
        <f t="shared" si="8"/>
        <v>33512.701830892402</v>
      </c>
      <c r="BM14" s="204">
        <f t="shared" si="8"/>
        <v>33512.701830892402</v>
      </c>
      <c r="BN14" s="204">
        <f t="shared" si="8"/>
        <v>33512.701830892402</v>
      </c>
      <c r="BO14" s="204">
        <f t="shared" si="8"/>
        <v>33512.701830892402</v>
      </c>
      <c r="BP14" s="204">
        <f t="shared" si="8"/>
        <v>33512.701830892402</v>
      </c>
      <c r="BQ14" s="204">
        <f t="shared" si="8"/>
        <v>33512.701830892402</v>
      </c>
      <c r="BR14" s="204">
        <f t="shared" si="8"/>
        <v>33512.701830892402</v>
      </c>
      <c r="BS14" s="204">
        <f t="shared" si="8"/>
        <v>33512.701830892402</v>
      </c>
      <c r="BT14" s="204">
        <f t="shared" si="8"/>
        <v>33512.701830892402</v>
      </c>
      <c r="BU14" s="204">
        <f t="shared" si="8"/>
        <v>23805.10767650275</v>
      </c>
      <c r="BV14" s="204">
        <f t="shared" si="8"/>
        <v>23805.10767650275</v>
      </c>
      <c r="BW14" s="204">
        <f t="shared" si="8"/>
        <v>23805.10767650275</v>
      </c>
      <c r="BX14" s="204">
        <f t="shared" si="8"/>
        <v>23805.10767650275</v>
      </c>
      <c r="BY14" s="204">
        <f t="shared" si="8"/>
        <v>23805.10767650275</v>
      </c>
      <c r="BZ14" s="204">
        <f t="shared" si="8"/>
        <v>23805.10767650275</v>
      </c>
      <c r="CA14" s="204">
        <f t="shared" si="2"/>
        <v>23805.10767650275</v>
      </c>
      <c r="CB14" s="204">
        <f t="shared" si="2"/>
        <v>23805.10767650275</v>
      </c>
      <c r="CC14" s="204">
        <f t="shared" si="2"/>
        <v>23805.10767650275</v>
      </c>
      <c r="CD14" s="204">
        <f t="shared" si="2"/>
        <v>23805.10767650275</v>
      </c>
      <c r="CE14" s="204">
        <f t="shared" si="2"/>
        <v>23805.10767650275</v>
      </c>
      <c r="CF14" s="204">
        <f t="shared" si="2"/>
        <v>23805.10767650275</v>
      </c>
      <c r="CG14" s="204">
        <f t="shared" si="2"/>
        <v>23805.10767650275</v>
      </c>
      <c r="CH14" s="204">
        <f t="shared" si="2"/>
        <v>23805.10767650275</v>
      </c>
      <c r="CI14" s="204">
        <f t="shared" si="2"/>
        <v>23805.10767650275</v>
      </c>
      <c r="CJ14" s="204">
        <f t="shared" si="2"/>
        <v>23805.10767650275</v>
      </c>
      <c r="CK14" s="204">
        <f t="shared" si="2"/>
        <v>23805.10767650275</v>
      </c>
      <c r="CL14" s="204">
        <f t="shared" si="2"/>
        <v>23805.10767650275</v>
      </c>
      <c r="CM14" s="204">
        <f t="shared" si="2"/>
        <v>23805.10767650275</v>
      </c>
      <c r="CN14" s="204">
        <f t="shared" si="2"/>
        <v>23805.10767650275</v>
      </c>
      <c r="CO14" s="204">
        <f t="shared" si="2"/>
        <v>23805.10767650275</v>
      </c>
      <c r="CP14" s="204">
        <f t="shared" si="2"/>
        <v>23805.10767650275</v>
      </c>
      <c r="CQ14" s="204">
        <f t="shared" si="2"/>
        <v>23805.10767650275</v>
      </c>
      <c r="CR14" s="204">
        <f t="shared" si="2"/>
        <v>14854.008077146314</v>
      </c>
      <c r="CS14" s="204">
        <f t="shared" si="3"/>
        <v>14854.008077146314</v>
      </c>
      <c r="CT14" s="204">
        <f t="shared" si="3"/>
        <v>14854.008077146314</v>
      </c>
      <c r="CU14" s="204">
        <f t="shared" si="3"/>
        <v>14854.008077146314</v>
      </c>
      <c r="CV14" s="204">
        <f t="shared" si="3"/>
        <v>14854.008077146314</v>
      </c>
      <c r="CW14" s="204">
        <f t="shared" si="3"/>
        <v>14854.008077146314</v>
      </c>
      <c r="CX14" s="204">
        <f t="shared" si="3"/>
        <v>14854.008077146314</v>
      </c>
      <c r="CY14" s="204">
        <f t="shared" si="3"/>
        <v>14854.008077146314</v>
      </c>
      <c r="CZ14" s="204">
        <f t="shared" si="3"/>
        <v>14854.008077146314</v>
      </c>
      <c r="DA14" s="204">
        <f t="shared" si="3"/>
        <v>14854.008077146314</v>
      </c>
      <c r="DB14" s="204"/>
    </row>
    <row r="15" spans="1:106">
      <c r="A15" s="201" t="str">
        <f>Income!A86</f>
        <v>Cash transfer - gifts</v>
      </c>
      <c r="B15" s="203">
        <f>Income!B86</f>
        <v>2294.7781659834841</v>
      </c>
      <c r="C15" s="203">
        <f>Income!C86</f>
        <v>3994.5008235005075</v>
      </c>
      <c r="D15" s="203">
        <f>Income!D86</f>
        <v>6591.3840937823479</v>
      </c>
      <c r="E15" s="203">
        <f>Income!E86</f>
        <v>10326.501746925682</v>
      </c>
      <c r="F15" s="204">
        <f t="shared" si="4"/>
        <v>2294.7781659834841</v>
      </c>
      <c r="G15" s="204">
        <f t="shared" si="4"/>
        <v>2294.7781659834841</v>
      </c>
      <c r="H15" s="204">
        <f t="shared" si="4"/>
        <v>2294.7781659834841</v>
      </c>
      <c r="I15" s="204">
        <f t="shared" si="4"/>
        <v>2294.7781659834841</v>
      </c>
      <c r="J15" s="204">
        <f t="shared" si="4"/>
        <v>2294.7781659834841</v>
      </c>
      <c r="K15" s="204">
        <f t="shared" si="4"/>
        <v>2294.7781659834841</v>
      </c>
      <c r="L15" s="204">
        <f t="shared" si="4"/>
        <v>2294.7781659834841</v>
      </c>
      <c r="M15" s="204">
        <f t="shared" si="4"/>
        <v>2294.7781659834841</v>
      </c>
      <c r="N15" s="204">
        <f t="shared" si="4"/>
        <v>2294.7781659834841</v>
      </c>
      <c r="O15" s="204">
        <f t="shared" si="4"/>
        <v>2294.7781659834841</v>
      </c>
      <c r="P15" s="204">
        <f t="shared" si="4"/>
        <v>2294.7781659834841</v>
      </c>
      <c r="Q15" s="204">
        <f t="shared" si="4"/>
        <v>2294.7781659834841</v>
      </c>
      <c r="R15" s="204">
        <f t="shared" si="4"/>
        <v>2294.7781659834841</v>
      </c>
      <c r="S15" s="204">
        <f t="shared" si="4"/>
        <v>2294.7781659834841</v>
      </c>
      <c r="T15" s="204">
        <f t="shared" si="4"/>
        <v>2294.7781659834841</v>
      </c>
      <c r="U15" s="204">
        <f t="shared" si="4"/>
        <v>2294.7781659834841</v>
      </c>
      <c r="V15" s="204">
        <f t="shared" si="6"/>
        <v>2294.7781659834841</v>
      </c>
      <c r="W15" s="204">
        <f t="shared" si="6"/>
        <v>2294.7781659834841</v>
      </c>
      <c r="X15" s="204">
        <f t="shared" si="6"/>
        <v>2294.7781659834841</v>
      </c>
      <c r="Y15" s="204">
        <f t="shared" si="6"/>
        <v>2294.7781659834841</v>
      </c>
      <c r="Z15" s="204">
        <f t="shared" si="6"/>
        <v>2294.7781659834841</v>
      </c>
      <c r="AA15" s="204">
        <f t="shared" si="6"/>
        <v>2294.7781659834841</v>
      </c>
      <c r="AB15" s="204">
        <f t="shared" si="6"/>
        <v>2294.7781659834841</v>
      </c>
      <c r="AC15" s="204">
        <f t="shared" si="6"/>
        <v>2294.7781659834841</v>
      </c>
      <c r="AD15" s="204">
        <f t="shared" si="6"/>
        <v>2294.7781659834841</v>
      </c>
      <c r="AE15" s="204">
        <f t="shared" si="6"/>
        <v>2294.7781659834841</v>
      </c>
      <c r="AF15" s="204">
        <f t="shared" si="6"/>
        <v>2294.7781659834841</v>
      </c>
      <c r="AG15" s="204">
        <f t="shared" si="6"/>
        <v>2294.7781659834841</v>
      </c>
      <c r="AH15" s="204">
        <f t="shared" si="6"/>
        <v>2294.7781659834841</v>
      </c>
      <c r="AI15" s="204">
        <f t="shared" si="6"/>
        <v>2294.7781659834841</v>
      </c>
      <c r="AJ15" s="204">
        <f t="shared" si="6"/>
        <v>2294.7781659834841</v>
      </c>
      <c r="AK15" s="204">
        <f t="shared" si="6"/>
        <v>2294.7781659834841</v>
      </c>
      <c r="AL15" s="204">
        <f t="shared" si="7"/>
        <v>2294.7781659834841</v>
      </c>
      <c r="AM15" s="204">
        <f t="shared" si="7"/>
        <v>2294.7781659834841</v>
      </c>
      <c r="AN15" s="204">
        <f t="shared" si="7"/>
        <v>2294.7781659834841</v>
      </c>
      <c r="AO15" s="204">
        <f t="shared" si="7"/>
        <v>3994.5008235005075</v>
      </c>
      <c r="AP15" s="204">
        <f t="shared" si="7"/>
        <v>3994.5008235005075</v>
      </c>
      <c r="AQ15" s="204">
        <f t="shared" si="7"/>
        <v>3994.5008235005075</v>
      </c>
      <c r="AR15" s="204">
        <f t="shared" si="7"/>
        <v>3994.5008235005075</v>
      </c>
      <c r="AS15" s="204">
        <f t="shared" si="7"/>
        <v>3994.5008235005075</v>
      </c>
      <c r="AT15" s="204">
        <f t="shared" si="7"/>
        <v>3994.5008235005075</v>
      </c>
      <c r="AU15" s="204">
        <f t="shared" si="7"/>
        <v>3994.5008235005075</v>
      </c>
      <c r="AV15" s="204">
        <f t="shared" si="7"/>
        <v>3994.5008235005075</v>
      </c>
      <c r="AW15" s="204">
        <f t="shared" si="7"/>
        <v>3994.5008235005075</v>
      </c>
      <c r="AX15" s="204">
        <f t="shared" si="8"/>
        <v>3994.5008235005075</v>
      </c>
      <c r="AY15" s="204">
        <f t="shared" si="8"/>
        <v>3994.5008235005075</v>
      </c>
      <c r="AZ15" s="204">
        <f t="shared" si="8"/>
        <v>3994.5008235005075</v>
      </c>
      <c r="BA15" s="204">
        <f t="shared" si="8"/>
        <v>3994.5008235005075</v>
      </c>
      <c r="BB15" s="204">
        <f t="shared" si="8"/>
        <v>3994.5008235005075</v>
      </c>
      <c r="BC15" s="204">
        <f t="shared" si="8"/>
        <v>3994.5008235005075</v>
      </c>
      <c r="BD15" s="204">
        <f t="shared" si="8"/>
        <v>3994.5008235005075</v>
      </c>
      <c r="BE15" s="204">
        <f t="shared" si="8"/>
        <v>3994.5008235005075</v>
      </c>
      <c r="BF15" s="204">
        <f t="shared" si="8"/>
        <v>3994.5008235005075</v>
      </c>
      <c r="BG15" s="204">
        <f t="shared" si="8"/>
        <v>3994.5008235005075</v>
      </c>
      <c r="BH15" s="204">
        <f t="shared" si="8"/>
        <v>3994.5008235005075</v>
      </c>
      <c r="BI15" s="204">
        <f t="shared" si="8"/>
        <v>3994.5008235005075</v>
      </c>
      <c r="BJ15" s="204">
        <f t="shared" si="8"/>
        <v>3994.5008235005075</v>
      </c>
      <c r="BK15" s="204">
        <f t="shared" si="8"/>
        <v>3994.5008235005075</v>
      </c>
      <c r="BL15" s="204">
        <f t="shared" si="8"/>
        <v>3994.5008235005075</v>
      </c>
      <c r="BM15" s="204">
        <f t="shared" si="8"/>
        <v>3994.5008235005075</v>
      </c>
      <c r="BN15" s="204">
        <f t="shared" si="8"/>
        <v>3994.5008235005075</v>
      </c>
      <c r="BO15" s="204">
        <f t="shared" si="8"/>
        <v>3994.5008235005075</v>
      </c>
      <c r="BP15" s="204">
        <f t="shared" si="8"/>
        <v>3994.5008235005075</v>
      </c>
      <c r="BQ15" s="204">
        <f t="shared" si="8"/>
        <v>3994.5008235005075</v>
      </c>
      <c r="BR15" s="204">
        <f t="shared" si="8"/>
        <v>3994.5008235005075</v>
      </c>
      <c r="BS15" s="204">
        <f t="shared" si="8"/>
        <v>3994.5008235005075</v>
      </c>
      <c r="BT15" s="204">
        <f t="shared" si="8"/>
        <v>3994.5008235005075</v>
      </c>
      <c r="BU15" s="204">
        <f t="shared" si="8"/>
        <v>6591.3840937823479</v>
      </c>
      <c r="BV15" s="204">
        <f t="shared" si="8"/>
        <v>6591.3840937823479</v>
      </c>
      <c r="BW15" s="204">
        <f t="shared" si="8"/>
        <v>6591.3840937823479</v>
      </c>
      <c r="BX15" s="204">
        <f t="shared" si="8"/>
        <v>6591.3840937823479</v>
      </c>
      <c r="BY15" s="204">
        <f t="shared" si="8"/>
        <v>6591.3840937823479</v>
      </c>
      <c r="BZ15" s="204">
        <f t="shared" si="8"/>
        <v>6591.3840937823479</v>
      </c>
      <c r="CA15" s="204">
        <f t="shared" si="2"/>
        <v>6591.3840937823479</v>
      </c>
      <c r="CB15" s="204">
        <f t="shared" si="2"/>
        <v>6591.3840937823479</v>
      </c>
      <c r="CC15" s="204">
        <f t="shared" si="2"/>
        <v>6591.3840937823479</v>
      </c>
      <c r="CD15" s="204">
        <f t="shared" ref="CC15:CR18" si="9">IF(CD$2&lt;=($B$2+$C$2+$D$2),IF(CD$2&lt;=($B$2+$C$2),IF(CD$2&lt;=$B$2,$B15,$C15),$D15),$E15)</f>
        <v>6591.3840937823479</v>
      </c>
      <c r="CE15" s="204">
        <f t="shared" si="9"/>
        <v>6591.3840937823479</v>
      </c>
      <c r="CF15" s="204">
        <f t="shared" si="9"/>
        <v>6591.3840937823479</v>
      </c>
      <c r="CG15" s="204">
        <f t="shared" si="9"/>
        <v>6591.3840937823479</v>
      </c>
      <c r="CH15" s="204">
        <f t="shared" si="9"/>
        <v>6591.3840937823479</v>
      </c>
      <c r="CI15" s="204">
        <f t="shared" si="9"/>
        <v>6591.3840937823479</v>
      </c>
      <c r="CJ15" s="204">
        <f t="shared" si="9"/>
        <v>6591.3840937823479</v>
      </c>
      <c r="CK15" s="204">
        <f t="shared" si="9"/>
        <v>6591.3840937823479</v>
      </c>
      <c r="CL15" s="204">
        <f t="shared" si="9"/>
        <v>6591.3840937823479</v>
      </c>
      <c r="CM15" s="204">
        <f t="shared" si="9"/>
        <v>6591.3840937823479</v>
      </c>
      <c r="CN15" s="204">
        <f t="shared" si="9"/>
        <v>6591.3840937823479</v>
      </c>
      <c r="CO15" s="204">
        <f t="shared" si="9"/>
        <v>6591.3840937823479</v>
      </c>
      <c r="CP15" s="204">
        <f t="shared" si="9"/>
        <v>6591.3840937823479</v>
      </c>
      <c r="CQ15" s="204">
        <f t="shared" si="9"/>
        <v>6591.3840937823479</v>
      </c>
      <c r="CR15" s="204">
        <f t="shared" si="9"/>
        <v>10326.501746925682</v>
      </c>
      <c r="CS15" s="204">
        <f t="shared" si="3"/>
        <v>10326.501746925682</v>
      </c>
      <c r="CT15" s="204">
        <f t="shared" si="3"/>
        <v>10326.501746925682</v>
      </c>
      <c r="CU15" s="204">
        <f t="shared" si="3"/>
        <v>10326.501746925682</v>
      </c>
      <c r="CV15" s="204">
        <f t="shared" si="3"/>
        <v>10326.501746925682</v>
      </c>
      <c r="CW15" s="204">
        <f t="shared" si="3"/>
        <v>10326.501746925682</v>
      </c>
      <c r="CX15" s="204">
        <f t="shared" si="3"/>
        <v>10326.501746925682</v>
      </c>
      <c r="CY15" s="204">
        <f t="shared" si="3"/>
        <v>10326.501746925682</v>
      </c>
      <c r="CZ15" s="204">
        <f t="shared" si="3"/>
        <v>10326.501746925682</v>
      </c>
      <c r="DA15" s="204">
        <f t="shared" si="3"/>
        <v>10326.501746925682</v>
      </c>
      <c r="DB15" s="204"/>
    </row>
    <row r="16" spans="1:106">
      <c r="A16" s="201" t="s">
        <v>115</v>
      </c>
      <c r="B16" s="203">
        <f>Income!B88</f>
        <v>61125.251628620994</v>
      </c>
      <c r="C16" s="203">
        <f>Income!C88</f>
        <v>69410.168049005326</v>
      </c>
      <c r="D16" s="203">
        <f>Income!D88</f>
        <v>167897.96230042638</v>
      </c>
      <c r="E16" s="203">
        <f>Income!E88</f>
        <v>367984.22692268266</v>
      </c>
      <c r="F16" s="204">
        <f t="shared" si="4"/>
        <v>61125.251628620994</v>
      </c>
      <c r="G16" s="204">
        <f t="shared" si="4"/>
        <v>61125.251628620994</v>
      </c>
      <c r="H16" s="204">
        <f t="shared" si="4"/>
        <v>61125.251628620994</v>
      </c>
      <c r="I16" s="204">
        <f t="shared" si="4"/>
        <v>61125.251628620994</v>
      </c>
      <c r="J16" s="204">
        <f t="shared" si="4"/>
        <v>61125.251628620994</v>
      </c>
      <c r="K16" s="204">
        <f t="shared" si="4"/>
        <v>61125.251628620994</v>
      </c>
      <c r="L16" s="204">
        <f t="shared" si="4"/>
        <v>61125.251628620994</v>
      </c>
      <c r="M16" s="204">
        <f t="shared" si="4"/>
        <v>61125.251628620994</v>
      </c>
      <c r="N16" s="204">
        <f t="shared" si="4"/>
        <v>61125.251628620994</v>
      </c>
      <c r="O16" s="204">
        <f t="shared" si="4"/>
        <v>61125.251628620994</v>
      </c>
      <c r="P16" s="204">
        <f t="shared" si="4"/>
        <v>61125.251628620994</v>
      </c>
      <c r="Q16" s="204">
        <f t="shared" si="4"/>
        <v>61125.251628620994</v>
      </c>
      <c r="R16" s="204">
        <f t="shared" si="4"/>
        <v>61125.251628620994</v>
      </c>
      <c r="S16" s="204">
        <f t="shared" si="4"/>
        <v>61125.251628620994</v>
      </c>
      <c r="T16" s="204">
        <f t="shared" si="4"/>
        <v>61125.251628620994</v>
      </c>
      <c r="U16" s="204">
        <f t="shared" si="4"/>
        <v>61125.251628620994</v>
      </c>
      <c r="V16" s="204">
        <f t="shared" si="6"/>
        <v>61125.251628620994</v>
      </c>
      <c r="W16" s="204">
        <f t="shared" si="6"/>
        <v>61125.251628620994</v>
      </c>
      <c r="X16" s="204">
        <f t="shared" si="6"/>
        <v>61125.251628620994</v>
      </c>
      <c r="Y16" s="204">
        <f t="shared" si="6"/>
        <v>61125.251628620994</v>
      </c>
      <c r="Z16" s="204">
        <f t="shared" si="6"/>
        <v>61125.251628620994</v>
      </c>
      <c r="AA16" s="204">
        <f t="shared" si="6"/>
        <v>61125.251628620994</v>
      </c>
      <c r="AB16" s="204">
        <f t="shared" si="6"/>
        <v>61125.251628620994</v>
      </c>
      <c r="AC16" s="204">
        <f t="shared" si="6"/>
        <v>61125.251628620994</v>
      </c>
      <c r="AD16" s="204">
        <f t="shared" si="6"/>
        <v>61125.251628620994</v>
      </c>
      <c r="AE16" s="204">
        <f>IF(AE$2&lt;=($B$2+$C$2+$D$2),IF(AE$2&lt;=($B$2+$C$2),IF(AE$2&lt;=$B$2,$B16,$C16),$D16),$E16)</f>
        <v>61125.251628620994</v>
      </c>
      <c r="AF16" s="204">
        <f t="shared" si="6"/>
        <v>61125.251628620994</v>
      </c>
      <c r="AG16" s="204">
        <f t="shared" si="6"/>
        <v>61125.251628620994</v>
      </c>
      <c r="AH16" s="204">
        <f t="shared" si="6"/>
        <v>61125.251628620994</v>
      </c>
      <c r="AI16" s="204">
        <f t="shared" si="6"/>
        <v>61125.251628620994</v>
      </c>
      <c r="AJ16" s="204">
        <f t="shared" si="6"/>
        <v>61125.251628620994</v>
      </c>
      <c r="AK16" s="204">
        <f t="shared" si="6"/>
        <v>61125.251628620994</v>
      </c>
      <c r="AL16" s="204">
        <f t="shared" si="7"/>
        <v>61125.251628620994</v>
      </c>
      <c r="AM16" s="204">
        <f t="shared" si="7"/>
        <v>61125.251628620994</v>
      </c>
      <c r="AN16" s="204">
        <f t="shared" si="7"/>
        <v>61125.251628620994</v>
      </c>
      <c r="AO16" s="204">
        <f t="shared" si="7"/>
        <v>69410.168049005326</v>
      </c>
      <c r="AP16" s="204">
        <f t="shared" si="7"/>
        <v>69410.168049005326</v>
      </c>
      <c r="AQ16" s="204">
        <f t="shared" si="7"/>
        <v>69410.168049005326</v>
      </c>
      <c r="AR16" s="204">
        <f t="shared" si="7"/>
        <v>69410.168049005326</v>
      </c>
      <c r="AS16" s="204">
        <f t="shared" si="7"/>
        <v>69410.168049005326</v>
      </c>
      <c r="AT16" s="204">
        <f t="shared" si="7"/>
        <v>69410.168049005326</v>
      </c>
      <c r="AU16" s="204">
        <f t="shared" si="7"/>
        <v>69410.168049005326</v>
      </c>
      <c r="AV16" s="204">
        <f t="shared" si="7"/>
        <v>69410.168049005326</v>
      </c>
      <c r="AW16" s="204">
        <f t="shared" si="7"/>
        <v>69410.168049005326</v>
      </c>
      <c r="AX16" s="204">
        <f t="shared" si="8"/>
        <v>69410.168049005326</v>
      </c>
      <c r="AY16" s="204">
        <f t="shared" si="8"/>
        <v>69410.168049005326</v>
      </c>
      <c r="AZ16" s="204">
        <f t="shared" si="8"/>
        <v>69410.168049005326</v>
      </c>
      <c r="BA16" s="204">
        <f t="shared" si="8"/>
        <v>69410.168049005326</v>
      </c>
      <c r="BB16" s="204">
        <f t="shared" si="8"/>
        <v>69410.168049005326</v>
      </c>
      <c r="BC16" s="204">
        <f t="shared" si="8"/>
        <v>69410.168049005326</v>
      </c>
      <c r="BD16" s="204">
        <f t="shared" si="8"/>
        <v>69410.168049005326</v>
      </c>
      <c r="BE16" s="204">
        <f t="shared" si="8"/>
        <v>69410.168049005326</v>
      </c>
      <c r="BF16" s="204">
        <f t="shared" si="8"/>
        <v>69410.168049005326</v>
      </c>
      <c r="BG16" s="204">
        <f t="shared" si="8"/>
        <v>69410.168049005326</v>
      </c>
      <c r="BH16" s="204">
        <f t="shared" si="8"/>
        <v>69410.168049005326</v>
      </c>
      <c r="BI16" s="204">
        <f t="shared" si="8"/>
        <v>69410.168049005326</v>
      </c>
      <c r="BJ16" s="204">
        <f t="shared" si="8"/>
        <v>69410.168049005326</v>
      </c>
      <c r="BK16" s="204">
        <f t="shared" si="8"/>
        <v>69410.168049005326</v>
      </c>
      <c r="BL16" s="204">
        <f t="shared" si="8"/>
        <v>69410.168049005326</v>
      </c>
      <c r="BM16" s="204">
        <f t="shared" si="8"/>
        <v>69410.168049005326</v>
      </c>
      <c r="BN16" s="204">
        <f t="shared" si="8"/>
        <v>69410.168049005326</v>
      </c>
      <c r="BO16" s="204">
        <f t="shared" si="8"/>
        <v>69410.168049005326</v>
      </c>
      <c r="BP16" s="204">
        <f t="shared" si="8"/>
        <v>69410.168049005326</v>
      </c>
      <c r="BQ16" s="204">
        <f t="shared" si="8"/>
        <v>69410.168049005326</v>
      </c>
      <c r="BR16" s="204">
        <f t="shared" si="8"/>
        <v>69410.168049005326</v>
      </c>
      <c r="BS16" s="204">
        <f t="shared" si="8"/>
        <v>69410.168049005326</v>
      </c>
      <c r="BT16" s="204">
        <f t="shared" si="8"/>
        <v>69410.168049005326</v>
      </c>
      <c r="BU16" s="204">
        <f t="shared" si="8"/>
        <v>167897.96230042638</v>
      </c>
      <c r="BV16" s="204">
        <f t="shared" si="8"/>
        <v>167897.96230042638</v>
      </c>
      <c r="BW16" s="204">
        <f t="shared" si="8"/>
        <v>167897.96230042638</v>
      </c>
      <c r="BX16" s="204">
        <f t="shared" si="8"/>
        <v>167897.96230042638</v>
      </c>
      <c r="BY16" s="204">
        <f t="shared" si="8"/>
        <v>167897.96230042638</v>
      </c>
      <c r="BZ16" s="204">
        <f t="shared" si="8"/>
        <v>167897.96230042638</v>
      </c>
      <c r="CA16" s="204">
        <f t="shared" ref="CA16:CB18" si="10">IF(CA$2&lt;=($B$2+$C$2+$D$2),IF(CA$2&lt;=($B$2+$C$2),IF(CA$2&lt;=$B$2,$B16,$C16),$D16),$E16)</f>
        <v>167897.96230042638</v>
      </c>
      <c r="CB16" s="204">
        <f t="shared" si="10"/>
        <v>167897.96230042638</v>
      </c>
      <c r="CC16" s="204">
        <f t="shared" si="9"/>
        <v>167897.96230042638</v>
      </c>
      <c r="CD16" s="204">
        <f t="shared" si="9"/>
        <v>167897.96230042638</v>
      </c>
      <c r="CE16" s="204">
        <f t="shared" si="9"/>
        <v>167897.96230042638</v>
      </c>
      <c r="CF16" s="204">
        <f t="shared" si="9"/>
        <v>167897.96230042638</v>
      </c>
      <c r="CG16" s="204">
        <f t="shared" si="9"/>
        <v>167897.96230042638</v>
      </c>
      <c r="CH16" s="204">
        <f t="shared" si="9"/>
        <v>167897.96230042638</v>
      </c>
      <c r="CI16" s="204">
        <f t="shared" si="9"/>
        <v>167897.96230042638</v>
      </c>
      <c r="CJ16" s="204">
        <f t="shared" si="9"/>
        <v>167897.96230042638</v>
      </c>
      <c r="CK16" s="204">
        <f t="shared" si="9"/>
        <v>167897.96230042638</v>
      </c>
      <c r="CL16" s="204">
        <f t="shared" si="9"/>
        <v>167897.96230042638</v>
      </c>
      <c r="CM16" s="204">
        <f t="shared" si="9"/>
        <v>167897.96230042638</v>
      </c>
      <c r="CN16" s="204">
        <f t="shared" si="9"/>
        <v>167897.96230042638</v>
      </c>
      <c r="CO16" s="204">
        <f t="shared" si="9"/>
        <v>167897.96230042638</v>
      </c>
      <c r="CP16" s="204">
        <f t="shared" si="9"/>
        <v>167897.96230042638</v>
      </c>
      <c r="CQ16" s="204">
        <f t="shared" si="9"/>
        <v>167897.96230042638</v>
      </c>
      <c r="CR16" s="204">
        <f t="shared" si="9"/>
        <v>367984.22692268266</v>
      </c>
      <c r="CS16" s="204">
        <f t="shared" ref="CS16:DA18" si="11">IF(CS$2&lt;=($B$2+$C$2+$D$2),IF(CS$2&lt;=($B$2+$C$2),IF(CS$2&lt;=$B$2,$B16,$C16),$D16),$E16)</f>
        <v>367984.22692268266</v>
      </c>
      <c r="CT16" s="204">
        <f t="shared" si="11"/>
        <v>367984.22692268266</v>
      </c>
      <c r="CU16" s="204">
        <f t="shared" si="11"/>
        <v>367984.22692268266</v>
      </c>
      <c r="CV16" s="204">
        <f t="shared" si="11"/>
        <v>367984.22692268266</v>
      </c>
      <c r="CW16" s="204">
        <f t="shared" si="11"/>
        <v>367984.22692268266</v>
      </c>
      <c r="CX16" s="204">
        <f t="shared" si="11"/>
        <v>367984.22692268266</v>
      </c>
      <c r="CY16" s="204">
        <f t="shared" si="11"/>
        <v>367984.22692268266</v>
      </c>
      <c r="CZ16" s="204">
        <f t="shared" si="11"/>
        <v>367984.22692268266</v>
      </c>
      <c r="DA16" s="204">
        <f t="shared" si="11"/>
        <v>367984.22692268266</v>
      </c>
      <c r="DB16" s="204"/>
    </row>
    <row r="17" spans="1:105">
      <c r="A17" s="201" t="s">
        <v>101</v>
      </c>
      <c r="B17" s="203">
        <f>Income!B89</f>
        <v>37756.621173113177</v>
      </c>
      <c r="C17" s="203">
        <f>Income!C89</f>
        <v>37756.62117311317</v>
      </c>
      <c r="D17" s="203">
        <f>Income!D89</f>
        <v>37756.621173113177</v>
      </c>
      <c r="E17" s="203">
        <f>Income!E89</f>
        <v>37756.621173113177</v>
      </c>
      <c r="F17" s="204">
        <f t="shared" si="4"/>
        <v>37756.621173113177</v>
      </c>
      <c r="G17" s="204">
        <f t="shared" si="4"/>
        <v>37756.621173113177</v>
      </c>
      <c r="H17" s="204">
        <f t="shared" si="4"/>
        <v>37756.621173113177</v>
      </c>
      <c r="I17" s="204">
        <f t="shared" si="4"/>
        <v>37756.621173113177</v>
      </c>
      <c r="J17" s="204">
        <f t="shared" si="4"/>
        <v>37756.621173113177</v>
      </c>
      <c r="K17" s="204">
        <f t="shared" si="4"/>
        <v>37756.621173113177</v>
      </c>
      <c r="L17" s="204">
        <f t="shared" si="4"/>
        <v>37756.621173113177</v>
      </c>
      <c r="M17" s="204">
        <f t="shared" si="4"/>
        <v>37756.621173113177</v>
      </c>
      <c r="N17" s="204">
        <f t="shared" si="4"/>
        <v>37756.621173113177</v>
      </c>
      <c r="O17" s="204">
        <f t="shared" si="4"/>
        <v>37756.621173113177</v>
      </c>
      <c r="P17" s="204">
        <f t="shared" si="4"/>
        <v>37756.621173113177</v>
      </c>
      <c r="Q17" s="204">
        <f t="shared" si="4"/>
        <v>37756.621173113177</v>
      </c>
      <c r="R17" s="204">
        <f t="shared" si="4"/>
        <v>37756.621173113177</v>
      </c>
      <c r="S17" s="204">
        <f t="shared" si="4"/>
        <v>37756.621173113177</v>
      </c>
      <c r="T17" s="204">
        <f t="shared" si="4"/>
        <v>37756.621173113177</v>
      </c>
      <c r="U17" s="204">
        <f t="shared" si="4"/>
        <v>37756.621173113177</v>
      </c>
      <c r="V17" s="204">
        <f t="shared" si="6"/>
        <v>37756.621173113177</v>
      </c>
      <c r="W17" s="204">
        <f t="shared" si="6"/>
        <v>37756.621173113177</v>
      </c>
      <c r="X17" s="204">
        <f t="shared" si="6"/>
        <v>37756.621173113177</v>
      </c>
      <c r="Y17" s="204">
        <f t="shared" si="6"/>
        <v>37756.621173113177</v>
      </c>
      <c r="Z17" s="204">
        <f t="shared" si="6"/>
        <v>37756.621173113177</v>
      </c>
      <c r="AA17" s="204">
        <f t="shared" si="6"/>
        <v>37756.621173113177</v>
      </c>
      <c r="AB17" s="204">
        <f t="shared" si="6"/>
        <v>37756.621173113177</v>
      </c>
      <c r="AC17" s="204">
        <f t="shared" si="6"/>
        <v>37756.621173113177</v>
      </c>
      <c r="AD17" s="204">
        <f t="shared" si="6"/>
        <v>37756.621173113177</v>
      </c>
      <c r="AE17" s="204">
        <f t="shared" si="6"/>
        <v>37756.621173113177</v>
      </c>
      <c r="AF17" s="204">
        <f t="shared" si="6"/>
        <v>37756.621173113177</v>
      </c>
      <c r="AG17" s="204">
        <f t="shared" si="6"/>
        <v>37756.621173113177</v>
      </c>
      <c r="AH17" s="204">
        <f t="shared" si="6"/>
        <v>37756.621173113177</v>
      </c>
      <c r="AI17" s="204">
        <f t="shared" si="6"/>
        <v>37756.621173113177</v>
      </c>
      <c r="AJ17" s="204">
        <f t="shared" si="6"/>
        <v>37756.621173113177</v>
      </c>
      <c r="AK17" s="204">
        <f t="shared" si="6"/>
        <v>37756.621173113177</v>
      </c>
      <c r="AL17" s="204">
        <f t="shared" si="7"/>
        <v>37756.621173113177</v>
      </c>
      <c r="AM17" s="204">
        <f t="shared" si="7"/>
        <v>37756.621173113177</v>
      </c>
      <c r="AN17" s="204">
        <f t="shared" si="7"/>
        <v>37756.621173113177</v>
      </c>
      <c r="AO17" s="204">
        <f t="shared" si="7"/>
        <v>37756.62117311317</v>
      </c>
      <c r="AP17" s="204">
        <f t="shared" si="7"/>
        <v>37756.62117311317</v>
      </c>
      <c r="AQ17" s="204">
        <f t="shared" si="7"/>
        <v>37756.62117311317</v>
      </c>
      <c r="AR17" s="204">
        <f t="shared" si="7"/>
        <v>37756.62117311317</v>
      </c>
      <c r="AS17" s="204">
        <f t="shared" si="7"/>
        <v>37756.62117311317</v>
      </c>
      <c r="AT17" s="204">
        <f t="shared" si="7"/>
        <v>37756.62117311317</v>
      </c>
      <c r="AU17" s="204">
        <f t="shared" si="7"/>
        <v>37756.62117311317</v>
      </c>
      <c r="AV17" s="204">
        <f t="shared" si="7"/>
        <v>37756.62117311317</v>
      </c>
      <c r="AW17" s="204">
        <f t="shared" si="7"/>
        <v>37756.62117311317</v>
      </c>
      <c r="AX17" s="204">
        <f t="shared" si="8"/>
        <v>37756.62117311317</v>
      </c>
      <c r="AY17" s="204">
        <f t="shared" si="8"/>
        <v>37756.62117311317</v>
      </c>
      <c r="AZ17" s="204">
        <f t="shared" si="8"/>
        <v>37756.62117311317</v>
      </c>
      <c r="BA17" s="204">
        <f t="shared" si="8"/>
        <v>37756.62117311317</v>
      </c>
      <c r="BB17" s="204">
        <f t="shared" si="8"/>
        <v>37756.62117311317</v>
      </c>
      <c r="BC17" s="204">
        <f t="shared" si="8"/>
        <v>37756.62117311317</v>
      </c>
      <c r="BD17" s="204">
        <f t="shared" si="8"/>
        <v>37756.62117311317</v>
      </c>
      <c r="BE17" s="204">
        <f t="shared" si="8"/>
        <v>37756.62117311317</v>
      </c>
      <c r="BF17" s="204">
        <f t="shared" si="8"/>
        <v>37756.62117311317</v>
      </c>
      <c r="BG17" s="204">
        <f t="shared" si="8"/>
        <v>37756.62117311317</v>
      </c>
      <c r="BH17" s="204">
        <f t="shared" si="8"/>
        <v>37756.62117311317</v>
      </c>
      <c r="BI17" s="204">
        <f t="shared" si="8"/>
        <v>37756.62117311317</v>
      </c>
      <c r="BJ17" s="204">
        <f t="shared" si="8"/>
        <v>37756.62117311317</v>
      </c>
      <c r="BK17" s="204">
        <f t="shared" si="8"/>
        <v>37756.62117311317</v>
      </c>
      <c r="BL17" s="204">
        <f t="shared" si="8"/>
        <v>37756.62117311317</v>
      </c>
      <c r="BM17" s="204">
        <f t="shared" si="8"/>
        <v>37756.62117311317</v>
      </c>
      <c r="BN17" s="204">
        <f t="shared" si="8"/>
        <v>37756.62117311317</v>
      </c>
      <c r="BO17" s="204">
        <f t="shared" si="8"/>
        <v>37756.62117311317</v>
      </c>
      <c r="BP17" s="204">
        <f t="shared" si="8"/>
        <v>37756.62117311317</v>
      </c>
      <c r="BQ17" s="204">
        <f t="shared" si="8"/>
        <v>37756.62117311317</v>
      </c>
      <c r="BR17" s="204">
        <f t="shared" si="8"/>
        <v>37756.62117311317</v>
      </c>
      <c r="BS17" s="204">
        <f t="shared" si="8"/>
        <v>37756.62117311317</v>
      </c>
      <c r="BT17" s="204">
        <f t="shared" si="8"/>
        <v>37756.62117311317</v>
      </c>
      <c r="BU17" s="204">
        <f t="shared" si="8"/>
        <v>37756.621173113177</v>
      </c>
      <c r="BV17" s="204">
        <f t="shared" si="8"/>
        <v>37756.621173113177</v>
      </c>
      <c r="BW17" s="204">
        <f t="shared" si="8"/>
        <v>37756.621173113177</v>
      </c>
      <c r="BX17" s="204">
        <f t="shared" si="8"/>
        <v>37756.621173113177</v>
      </c>
      <c r="BY17" s="204">
        <f t="shared" si="8"/>
        <v>37756.621173113177</v>
      </c>
      <c r="BZ17" s="204">
        <f t="shared" si="8"/>
        <v>37756.621173113177</v>
      </c>
      <c r="CA17" s="204">
        <f t="shared" si="10"/>
        <v>37756.621173113177</v>
      </c>
      <c r="CB17" s="204">
        <f t="shared" si="10"/>
        <v>37756.621173113177</v>
      </c>
      <c r="CC17" s="204">
        <f t="shared" si="9"/>
        <v>37756.621173113177</v>
      </c>
      <c r="CD17" s="204">
        <f t="shared" si="9"/>
        <v>37756.621173113177</v>
      </c>
      <c r="CE17" s="204">
        <f t="shared" si="9"/>
        <v>37756.621173113177</v>
      </c>
      <c r="CF17" s="204">
        <f t="shared" si="9"/>
        <v>37756.621173113177</v>
      </c>
      <c r="CG17" s="204">
        <f t="shared" si="9"/>
        <v>37756.621173113177</v>
      </c>
      <c r="CH17" s="204">
        <f t="shared" si="9"/>
        <v>37756.621173113177</v>
      </c>
      <c r="CI17" s="204">
        <f t="shared" si="9"/>
        <v>37756.621173113177</v>
      </c>
      <c r="CJ17" s="204">
        <f t="shared" si="9"/>
        <v>37756.621173113177</v>
      </c>
      <c r="CK17" s="204">
        <f t="shared" si="9"/>
        <v>37756.621173113177</v>
      </c>
      <c r="CL17" s="204">
        <f t="shared" si="9"/>
        <v>37756.621173113177</v>
      </c>
      <c r="CM17" s="204">
        <f t="shared" si="9"/>
        <v>37756.621173113177</v>
      </c>
      <c r="CN17" s="204">
        <f t="shared" si="9"/>
        <v>37756.621173113177</v>
      </c>
      <c r="CO17" s="204">
        <f t="shared" si="9"/>
        <v>37756.621173113177</v>
      </c>
      <c r="CP17" s="204">
        <f t="shared" si="9"/>
        <v>37756.621173113177</v>
      </c>
      <c r="CQ17" s="204">
        <f t="shared" si="9"/>
        <v>37756.621173113177</v>
      </c>
      <c r="CR17" s="204">
        <f t="shared" si="9"/>
        <v>37756.621173113177</v>
      </c>
      <c r="CS17" s="204">
        <f t="shared" si="11"/>
        <v>37756.621173113177</v>
      </c>
      <c r="CT17" s="204">
        <f t="shared" si="11"/>
        <v>37756.621173113177</v>
      </c>
      <c r="CU17" s="204">
        <f t="shared" si="11"/>
        <v>37756.621173113177</v>
      </c>
      <c r="CV17" s="204">
        <f t="shared" si="11"/>
        <v>37756.621173113177</v>
      </c>
      <c r="CW17" s="204">
        <f t="shared" si="11"/>
        <v>37756.621173113177</v>
      </c>
      <c r="CX17" s="204">
        <f t="shared" si="11"/>
        <v>37756.621173113177</v>
      </c>
      <c r="CY17" s="204">
        <f t="shared" si="11"/>
        <v>37756.621173113177</v>
      </c>
      <c r="CZ17" s="204">
        <f t="shared" si="11"/>
        <v>37756.621173113177</v>
      </c>
      <c r="DA17" s="204">
        <f t="shared" si="11"/>
        <v>37756.621173113177</v>
      </c>
    </row>
    <row r="18" spans="1:105">
      <c r="A18" s="201" t="s">
        <v>85</v>
      </c>
      <c r="B18" s="203">
        <f>Income!B90</f>
        <v>56196.216275153995</v>
      </c>
      <c r="C18" s="203">
        <f>Income!C90</f>
        <v>56196.216275154024</v>
      </c>
      <c r="D18" s="203">
        <f>Income!D90</f>
        <v>56196.216275153995</v>
      </c>
      <c r="E18" s="203">
        <f>Income!E90</f>
        <v>56196.216275153995</v>
      </c>
      <c r="F18" s="204">
        <f t="shared" ref="F18:U18" si="12">IF(F$2&lt;=($B$2+$C$2+$D$2),IF(F$2&lt;=($B$2+$C$2),IF(F$2&lt;=$B$2,$B18,$C18),$D18),$E18)</f>
        <v>56196.216275153995</v>
      </c>
      <c r="G18" s="204">
        <f t="shared" si="12"/>
        <v>56196.216275153995</v>
      </c>
      <c r="H18" s="204">
        <f t="shared" si="12"/>
        <v>56196.216275153995</v>
      </c>
      <c r="I18" s="204">
        <f t="shared" si="12"/>
        <v>56196.216275153995</v>
      </c>
      <c r="J18" s="204">
        <f t="shared" si="12"/>
        <v>56196.216275153995</v>
      </c>
      <c r="K18" s="204">
        <f t="shared" si="12"/>
        <v>56196.216275153995</v>
      </c>
      <c r="L18" s="204">
        <f t="shared" si="12"/>
        <v>56196.216275153995</v>
      </c>
      <c r="M18" s="204">
        <f t="shared" si="12"/>
        <v>56196.216275153995</v>
      </c>
      <c r="N18" s="204">
        <f t="shared" si="12"/>
        <v>56196.216275153995</v>
      </c>
      <c r="O18" s="204">
        <f t="shared" si="12"/>
        <v>56196.216275153995</v>
      </c>
      <c r="P18" s="204">
        <f t="shared" si="12"/>
        <v>56196.216275153995</v>
      </c>
      <c r="Q18" s="204">
        <f t="shared" si="12"/>
        <v>56196.216275153995</v>
      </c>
      <c r="R18" s="204">
        <f t="shared" si="12"/>
        <v>56196.216275153995</v>
      </c>
      <c r="S18" s="204">
        <f t="shared" si="12"/>
        <v>56196.216275153995</v>
      </c>
      <c r="T18" s="204">
        <f t="shared" si="12"/>
        <v>56196.216275153995</v>
      </c>
      <c r="U18" s="204">
        <f t="shared" si="12"/>
        <v>56196.216275153995</v>
      </c>
      <c r="V18" s="204">
        <f t="shared" si="6"/>
        <v>56196.216275153995</v>
      </c>
      <c r="W18" s="204">
        <f t="shared" si="6"/>
        <v>56196.216275153995</v>
      </c>
      <c r="X18" s="204">
        <f t="shared" si="6"/>
        <v>56196.216275153995</v>
      </c>
      <c r="Y18" s="204">
        <f t="shared" si="6"/>
        <v>56196.216275153995</v>
      </c>
      <c r="Z18" s="204">
        <f t="shared" si="6"/>
        <v>56196.216275153995</v>
      </c>
      <c r="AA18" s="204">
        <f t="shared" si="6"/>
        <v>56196.216275153995</v>
      </c>
      <c r="AB18" s="204">
        <f t="shared" si="6"/>
        <v>56196.216275153995</v>
      </c>
      <c r="AC18" s="204">
        <f t="shared" si="6"/>
        <v>56196.216275153995</v>
      </c>
      <c r="AD18" s="204">
        <f t="shared" si="6"/>
        <v>56196.216275153995</v>
      </c>
      <c r="AE18" s="204">
        <f t="shared" si="6"/>
        <v>56196.216275153995</v>
      </c>
      <c r="AF18" s="204">
        <f t="shared" si="6"/>
        <v>56196.216275153995</v>
      </c>
      <c r="AG18" s="204">
        <f t="shared" si="6"/>
        <v>56196.216275153995</v>
      </c>
      <c r="AH18" s="204">
        <f t="shared" si="6"/>
        <v>56196.216275153995</v>
      </c>
      <c r="AI18" s="204">
        <f t="shared" si="6"/>
        <v>56196.216275153995</v>
      </c>
      <c r="AJ18" s="204">
        <f t="shared" si="6"/>
        <v>56196.216275153995</v>
      </c>
      <c r="AK18" s="204">
        <f t="shared" si="6"/>
        <v>56196.216275153995</v>
      </c>
      <c r="AL18" s="204">
        <f t="shared" si="7"/>
        <v>56196.216275153995</v>
      </c>
      <c r="AM18" s="204">
        <f t="shared" si="7"/>
        <v>56196.216275153995</v>
      </c>
      <c r="AN18" s="204">
        <f t="shared" si="7"/>
        <v>56196.216275153995</v>
      </c>
      <c r="AO18" s="204">
        <f t="shared" si="7"/>
        <v>56196.216275154024</v>
      </c>
      <c r="AP18" s="204">
        <f t="shared" si="7"/>
        <v>56196.216275154024</v>
      </c>
      <c r="AQ18" s="204">
        <f t="shared" si="7"/>
        <v>56196.216275154024</v>
      </c>
      <c r="AR18" s="204">
        <f t="shared" si="7"/>
        <v>56196.216275154024</v>
      </c>
      <c r="AS18" s="204">
        <f t="shared" si="7"/>
        <v>56196.216275154024</v>
      </c>
      <c r="AT18" s="204">
        <f t="shared" si="7"/>
        <v>56196.216275154024</v>
      </c>
      <c r="AU18" s="204">
        <f t="shared" si="7"/>
        <v>56196.216275154024</v>
      </c>
      <c r="AV18" s="204">
        <f t="shared" si="7"/>
        <v>56196.216275154024</v>
      </c>
      <c r="AW18" s="204">
        <f t="shared" si="7"/>
        <v>56196.216275154024</v>
      </c>
      <c r="AX18" s="204">
        <f t="shared" si="8"/>
        <v>56196.216275154024</v>
      </c>
      <c r="AY18" s="204">
        <f t="shared" si="8"/>
        <v>56196.216275154024</v>
      </c>
      <c r="AZ18" s="204">
        <f t="shared" si="8"/>
        <v>56196.216275154024</v>
      </c>
      <c r="BA18" s="204">
        <f t="shared" si="8"/>
        <v>56196.216275154024</v>
      </c>
      <c r="BB18" s="204">
        <f t="shared" si="8"/>
        <v>56196.216275154024</v>
      </c>
      <c r="BC18" s="204">
        <f t="shared" si="8"/>
        <v>56196.216275154024</v>
      </c>
      <c r="BD18" s="204">
        <f t="shared" si="8"/>
        <v>56196.216275154024</v>
      </c>
      <c r="BE18" s="204">
        <f t="shared" si="8"/>
        <v>56196.216275154024</v>
      </c>
      <c r="BF18" s="204">
        <f t="shared" si="8"/>
        <v>56196.216275154024</v>
      </c>
      <c r="BG18" s="204">
        <f t="shared" si="8"/>
        <v>56196.216275154024</v>
      </c>
      <c r="BH18" s="204">
        <f t="shared" si="8"/>
        <v>56196.216275154024</v>
      </c>
      <c r="BI18" s="204">
        <f t="shared" si="8"/>
        <v>56196.216275154024</v>
      </c>
      <c r="BJ18" s="204">
        <f t="shared" si="8"/>
        <v>56196.216275154024</v>
      </c>
      <c r="BK18" s="204">
        <f t="shared" si="8"/>
        <v>56196.216275154024</v>
      </c>
      <c r="BL18" s="204">
        <f t="shared" ref="BL18:BZ18" si="13">IF(BL$2&lt;=($B$2+$C$2+$D$2),IF(BL$2&lt;=($B$2+$C$2),IF(BL$2&lt;=$B$2,$B18,$C18),$D18),$E18)</f>
        <v>56196.216275154024</v>
      </c>
      <c r="BM18" s="204">
        <f t="shared" si="13"/>
        <v>56196.216275154024</v>
      </c>
      <c r="BN18" s="204">
        <f t="shared" si="13"/>
        <v>56196.216275154024</v>
      </c>
      <c r="BO18" s="204">
        <f t="shared" si="13"/>
        <v>56196.216275154024</v>
      </c>
      <c r="BP18" s="204">
        <f t="shared" si="13"/>
        <v>56196.216275154024</v>
      </c>
      <c r="BQ18" s="204">
        <f t="shared" si="13"/>
        <v>56196.216275154024</v>
      </c>
      <c r="BR18" s="204">
        <f t="shared" si="13"/>
        <v>56196.216275154024</v>
      </c>
      <c r="BS18" s="204">
        <f t="shared" si="13"/>
        <v>56196.216275154024</v>
      </c>
      <c r="BT18" s="204">
        <f t="shared" si="13"/>
        <v>56196.216275154024</v>
      </c>
      <c r="BU18" s="204">
        <f t="shared" si="13"/>
        <v>56196.216275153995</v>
      </c>
      <c r="BV18" s="204">
        <f t="shared" si="13"/>
        <v>56196.216275153995</v>
      </c>
      <c r="BW18" s="204">
        <f t="shared" si="13"/>
        <v>56196.216275153995</v>
      </c>
      <c r="BX18" s="204">
        <f t="shared" si="13"/>
        <v>56196.216275153995</v>
      </c>
      <c r="BY18" s="204">
        <f t="shared" si="13"/>
        <v>56196.216275153995</v>
      </c>
      <c r="BZ18" s="204">
        <f t="shared" si="13"/>
        <v>56196.216275153995</v>
      </c>
      <c r="CA18" s="204">
        <f t="shared" si="10"/>
        <v>56196.216275153995</v>
      </c>
      <c r="CB18" s="204">
        <f t="shared" si="10"/>
        <v>56196.216275153995</v>
      </c>
      <c r="CC18" s="204">
        <f t="shared" si="9"/>
        <v>56196.216275153995</v>
      </c>
      <c r="CD18" s="204">
        <f t="shared" si="9"/>
        <v>56196.216275153995</v>
      </c>
      <c r="CE18" s="204">
        <f t="shared" si="9"/>
        <v>56196.216275153995</v>
      </c>
      <c r="CF18" s="204">
        <f t="shared" si="9"/>
        <v>56196.216275153995</v>
      </c>
      <c r="CG18" s="204">
        <f t="shared" si="9"/>
        <v>56196.216275153995</v>
      </c>
      <c r="CH18" s="204">
        <f t="shared" si="9"/>
        <v>56196.216275153995</v>
      </c>
      <c r="CI18" s="204">
        <f t="shared" si="9"/>
        <v>56196.216275153995</v>
      </c>
      <c r="CJ18" s="204">
        <f t="shared" si="9"/>
        <v>56196.216275153995</v>
      </c>
      <c r="CK18" s="204">
        <f t="shared" si="9"/>
        <v>56196.216275153995</v>
      </c>
      <c r="CL18" s="204">
        <f t="shared" si="9"/>
        <v>56196.216275153995</v>
      </c>
      <c r="CM18" s="204">
        <f t="shared" si="9"/>
        <v>56196.216275153995</v>
      </c>
      <c r="CN18" s="204">
        <f t="shared" si="9"/>
        <v>56196.216275153995</v>
      </c>
      <c r="CO18" s="204">
        <f t="shared" si="9"/>
        <v>56196.216275153995</v>
      </c>
      <c r="CP18" s="204">
        <f t="shared" si="9"/>
        <v>56196.216275153995</v>
      </c>
      <c r="CQ18" s="204">
        <f t="shared" si="9"/>
        <v>56196.216275153995</v>
      </c>
      <c r="CR18" s="204">
        <f t="shared" si="9"/>
        <v>56196.216275153995</v>
      </c>
      <c r="CS18" s="204">
        <f t="shared" si="11"/>
        <v>56196.216275153995</v>
      </c>
      <c r="CT18" s="204">
        <f t="shared" si="11"/>
        <v>56196.216275153995</v>
      </c>
      <c r="CU18" s="204">
        <f t="shared" si="11"/>
        <v>56196.216275153995</v>
      </c>
      <c r="CV18" s="204">
        <f t="shared" si="11"/>
        <v>56196.216275153995</v>
      </c>
      <c r="CW18" s="204">
        <f t="shared" si="11"/>
        <v>56196.216275153995</v>
      </c>
      <c r="CX18" s="204">
        <f t="shared" si="11"/>
        <v>56196.216275153995</v>
      </c>
      <c r="CY18" s="204">
        <f t="shared" si="11"/>
        <v>56196.216275153995</v>
      </c>
      <c r="CZ18" s="204">
        <f t="shared" si="11"/>
        <v>56196.216275153995</v>
      </c>
      <c r="DA18" s="204">
        <f t="shared" si="11"/>
        <v>56196.216275153995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>
        <f t="shared" si="14"/>
        <v>61247.602714997978</v>
      </c>
      <c r="Y19" s="201">
        <f t="shared" si="14"/>
        <v>61492.304887751947</v>
      </c>
      <c r="Z19" s="201">
        <f t="shared" si="14"/>
        <v>61737.007060505915</v>
      </c>
      <c r="AA19" s="201">
        <f t="shared" si="14"/>
        <v>61981.709233259884</v>
      </c>
      <c r="AB19" s="201">
        <f t="shared" si="14"/>
        <v>62226.411406013845</v>
      </c>
      <c r="AC19" s="201">
        <f t="shared" si="14"/>
        <v>62471.113578767814</v>
      </c>
      <c r="AD19" s="201">
        <f t="shared" si="14"/>
        <v>62715.815751521783</v>
      </c>
      <c r="AE19" s="201">
        <f t="shared" si="14"/>
        <v>62960.517924275751</v>
      </c>
      <c r="AF19" s="201">
        <f t="shared" si="14"/>
        <v>63205.22009702972</v>
      </c>
      <c r="AG19" s="201">
        <f t="shared" si="14"/>
        <v>63449.922269783689</v>
      </c>
      <c r="AH19" s="201">
        <f t="shared" si="14"/>
        <v>63694.62444253765</v>
      </c>
      <c r="AI19" s="201">
        <f t="shared" si="14"/>
        <v>63939.326615291619</v>
      </c>
      <c r="AJ19" s="201">
        <f t="shared" si="14"/>
        <v>64184.028788045587</v>
      </c>
      <c r="AK19" s="201">
        <f t="shared" si="14"/>
        <v>64428.730960799556</v>
      </c>
      <c r="AL19" s="201">
        <f t="shared" si="14"/>
        <v>64673.433133553524</v>
      </c>
      <c r="AM19" s="201">
        <f t="shared" si="14"/>
        <v>64918.135306307493</v>
      </c>
      <c r="AN19" s="201">
        <f t="shared" si="14"/>
        <v>65162.837479061462</v>
      </c>
      <c r="AO19" s="201">
        <f t="shared" si="14"/>
        <v>65407.53965181543</v>
      </c>
      <c r="AP19" s="201">
        <f t="shared" si="14"/>
        <v>65652.241824569399</v>
      </c>
      <c r="AQ19" s="201">
        <f t="shared" si="14"/>
        <v>65896.943997323368</v>
      </c>
      <c r="AR19" s="201">
        <f t="shared" si="14"/>
        <v>66141.646170077322</v>
      </c>
      <c r="AS19" s="201">
        <f t="shared" si="14"/>
        <v>66386.34834283129</v>
      </c>
      <c r="AT19" s="201">
        <f t="shared" si="14"/>
        <v>66631.050515585259</v>
      </c>
      <c r="AU19" s="201">
        <f t="shared" si="14"/>
        <v>66875.752688339227</v>
      </c>
      <c r="AV19" s="201">
        <f t="shared" si="14"/>
        <v>67120.454861093196</v>
      </c>
      <c r="AW19" s="201">
        <f t="shared" si="14"/>
        <v>67365.157033847165</v>
      </c>
      <c r="AX19" s="201">
        <f t="shared" si="14"/>
        <v>67609.859206601133</v>
      </c>
      <c r="AY19" s="201">
        <f t="shared" si="14"/>
        <v>67854.561379355102</v>
      </c>
      <c r="AZ19" s="201">
        <f t="shared" si="14"/>
        <v>68099.263552109071</v>
      </c>
      <c r="BA19" s="201">
        <f t="shared" si="14"/>
        <v>68343.965724863039</v>
      </c>
      <c r="BB19" s="201">
        <f t="shared" si="14"/>
        <v>68588.667897617008</v>
      </c>
      <c r="BC19" s="201">
        <f t="shared" si="14"/>
        <v>68833.370070370976</v>
      </c>
      <c r="BD19" s="201">
        <f t="shared" si="14"/>
        <v>69078.072243124945</v>
      </c>
      <c r="BE19" s="201">
        <f t="shared" si="14"/>
        <v>69322.774415878914</v>
      </c>
      <c r="BF19" s="201">
        <f t="shared" si="14"/>
        <v>71682.963300961186</v>
      </c>
      <c r="BG19" s="201">
        <f t="shared" si="14"/>
        <v>75218.422581781429</v>
      </c>
      <c r="BH19" s="201">
        <f t="shared" si="14"/>
        <v>78753.881862601673</v>
      </c>
      <c r="BI19" s="201">
        <f t="shared" si="14"/>
        <v>82289.341143421916</v>
      </c>
      <c r="BJ19" s="201">
        <f t="shared" si="14"/>
        <v>85824.800424242159</v>
      </c>
      <c r="BK19" s="201">
        <f t="shared" si="14"/>
        <v>89360.259705062403</v>
      </c>
      <c r="BL19" s="201">
        <f t="shared" si="14"/>
        <v>92895.718985882646</v>
      </c>
      <c r="BM19" s="201">
        <f t="shared" si="14"/>
        <v>96431.178266702889</v>
      </c>
      <c r="BN19" s="201">
        <f t="shared" si="14"/>
        <v>99966.637547523133</v>
      </c>
      <c r="BO19" s="201">
        <f t="shared" si="14"/>
        <v>103502.09682834338</v>
      </c>
      <c r="BP19" s="201">
        <f t="shared" si="14"/>
        <v>107037.55610916362</v>
      </c>
      <c r="BQ19" s="201">
        <f t="shared" si="14"/>
        <v>110573.01538998386</v>
      </c>
      <c r="BR19" s="201">
        <f t="shared" si="14"/>
        <v>114108.47467080411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117643.93395162435</v>
      </c>
      <c r="BT19" s="201">
        <f t="shared" si="15"/>
        <v>121179.39323244459</v>
      </c>
      <c r="BU19" s="201">
        <f t="shared" si="15"/>
        <v>124714.85251326482</v>
      </c>
      <c r="BV19" s="201">
        <f t="shared" si="15"/>
        <v>128250.31179408506</v>
      </c>
      <c r="BW19" s="201">
        <f t="shared" si="15"/>
        <v>131785.77107490529</v>
      </c>
      <c r="BX19" s="201">
        <f t="shared" si="15"/>
        <v>135321.23035572557</v>
      </c>
      <c r="BY19" s="201">
        <f t="shared" si="15"/>
        <v>138856.68963654578</v>
      </c>
      <c r="BZ19" s="201">
        <f t="shared" si="15"/>
        <v>142392.14891736605</v>
      </c>
      <c r="CA19" s="201">
        <f t="shared" si="15"/>
        <v>145927.60819818627</v>
      </c>
      <c r="CB19" s="201">
        <f t="shared" si="15"/>
        <v>149463.06747900654</v>
      </c>
      <c r="CC19" s="201">
        <f t="shared" si="15"/>
        <v>152998.52675982675</v>
      </c>
      <c r="CD19" s="201">
        <f t="shared" si="15"/>
        <v>156533.98604064703</v>
      </c>
      <c r="CE19" s="201">
        <f t="shared" si="15"/>
        <v>160069.44532146724</v>
      </c>
      <c r="CF19" s="201">
        <f t="shared" si="15"/>
        <v>163604.90460228751</v>
      </c>
      <c r="CG19" s="201">
        <f t="shared" si="15"/>
        <v>167140.36388310773</v>
      </c>
      <c r="CH19" s="201">
        <f t="shared" si="15"/>
        <v>177636.67429531488</v>
      </c>
      <c r="CI19" s="201">
        <f t="shared" si="15"/>
        <v>190031.39865244579</v>
      </c>
      <c r="CJ19" s="201">
        <f t="shared" si="15"/>
        <v>202426.1230095767</v>
      </c>
      <c r="CK19" s="201">
        <f t="shared" si="15"/>
        <v>214820.84736670763</v>
      </c>
      <c r="CL19" s="201">
        <f t="shared" si="15"/>
        <v>227215.57172383857</v>
      </c>
      <c r="CM19" s="201">
        <f t="shared" si="15"/>
        <v>239610.29608096948</v>
      </c>
      <c r="CN19" s="201">
        <f t="shared" si="15"/>
        <v>252005.02043810039</v>
      </c>
      <c r="CO19" s="201">
        <f t="shared" si="15"/>
        <v>264399.74479523132</v>
      </c>
      <c r="CP19" s="201">
        <f t="shared" si="15"/>
        <v>276794.46915236226</v>
      </c>
      <c r="CQ19" s="201">
        <f t="shared" si="15"/>
        <v>289189.19350949314</v>
      </c>
      <c r="CR19" s="201">
        <f t="shared" si="15"/>
        <v>301583.91786662408</v>
      </c>
      <c r="CS19" s="201">
        <f t="shared" si="15"/>
        <v>313978.64222375501</v>
      </c>
      <c r="CT19" s="201">
        <f t="shared" si="15"/>
        <v>326373.36658088595</v>
      </c>
      <c r="CU19" s="201">
        <f t="shared" si="15"/>
        <v>338768.09093801689</v>
      </c>
      <c r="CV19" s="201">
        <f t="shared" si="15"/>
        <v>351162.81529514783</v>
      </c>
      <c r="CW19" s="201">
        <f t="shared" si="15"/>
        <v>363557.53965227871</v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35</v>
      </c>
      <c r="C22" s="205">
        <f>C2*100</f>
        <v>32.714285714285715</v>
      </c>
      <c r="D22" s="205">
        <f>D2*100</f>
        <v>23</v>
      </c>
      <c r="E22" s="205">
        <f>E2*100</f>
        <v>9.2857142857142865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35</v>
      </c>
      <c r="C23" s="206">
        <f>SUM($B22:C22)</f>
        <v>67.714285714285722</v>
      </c>
      <c r="D23" s="206">
        <f>SUM($B22:D22)</f>
        <v>90.714285714285722</v>
      </c>
      <c r="E23" s="206">
        <f>SUM($B22:E22)</f>
        <v>100.00000000000001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17.5</v>
      </c>
      <c r="C24" s="208">
        <f>B23+(C23-B23)/2</f>
        <v>51.357142857142861</v>
      </c>
      <c r="D24" s="208">
        <f>C23+(D23-C23)/2</f>
        <v>79.214285714285722</v>
      </c>
      <c r="E24" s="208">
        <f>D23+(E23-D23)/2</f>
        <v>95.357142857142861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3341.4747240587867</v>
      </c>
      <c r="C25" s="203">
        <f>Income!C72</f>
        <v>4523.1068643348763</v>
      </c>
      <c r="D25" s="203">
        <f>Income!D72</f>
        <v>5835.0001358770542</v>
      </c>
      <c r="E25" s="203">
        <f>Income!E72</f>
        <v>8224.1839802776612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3341.4747240587867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3341.4747240587867</v>
      </c>
      <c r="H25" s="210">
        <f t="shared" si="16"/>
        <v>3341.4747240587867</v>
      </c>
      <c r="I25" s="210">
        <f t="shared" si="16"/>
        <v>3341.4747240587867</v>
      </c>
      <c r="J25" s="210">
        <f t="shared" si="16"/>
        <v>3341.4747240587867</v>
      </c>
      <c r="K25" s="210">
        <f t="shared" si="16"/>
        <v>3341.4747240587867</v>
      </c>
      <c r="L25" s="210">
        <f t="shared" si="16"/>
        <v>3341.4747240587867</v>
      </c>
      <c r="M25" s="210">
        <f t="shared" si="16"/>
        <v>3341.4747240587867</v>
      </c>
      <c r="N25" s="210">
        <f t="shared" si="16"/>
        <v>3341.4747240587867</v>
      </c>
      <c r="O25" s="210">
        <f t="shared" si="16"/>
        <v>3341.4747240587867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3341.4747240587867</v>
      </c>
      <c r="Q25" s="210">
        <f t="shared" si="17"/>
        <v>3341.4747240587867</v>
      </c>
      <c r="R25" s="210">
        <f t="shared" si="17"/>
        <v>3341.4747240587867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3341.4747240587867</v>
      </c>
      <c r="T25" s="210">
        <f t="shared" si="17"/>
        <v>3341.4747240587867</v>
      </c>
      <c r="U25" s="210">
        <f t="shared" si="17"/>
        <v>3341.4747240587867</v>
      </c>
      <c r="V25" s="210">
        <f t="shared" si="17"/>
        <v>3341.4747240587867</v>
      </c>
      <c r="W25" s="210">
        <f t="shared" si="17"/>
        <v>3341.4747240587867</v>
      </c>
      <c r="X25" s="210">
        <f t="shared" si="17"/>
        <v>3358.9249877337502</v>
      </c>
      <c r="Y25" s="210">
        <f t="shared" si="17"/>
        <v>3393.8255150836767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3428.7260424336037</v>
      </c>
      <c r="AA25" s="210">
        <f t="shared" si="18"/>
        <v>3463.6265697835302</v>
      </c>
      <c r="AB25" s="210">
        <f t="shared" si="18"/>
        <v>3498.5270971334567</v>
      </c>
      <c r="AC25" s="210">
        <f t="shared" si="18"/>
        <v>3533.4276244833836</v>
      </c>
      <c r="AD25" s="210">
        <f t="shared" si="18"/>
        <v>3568.3281518333101</v>
      </c>
      <c r="AE25" s="210">
        <f t="shared" si="18"/>
        <v>3603.2286791832371</v>
      </c>
      <c r="AF25" s="210">
        <f t="shared" si="18"/>
        <v>3638.1292065331636</v>
      </c>
      <c r="AG25" s="210">
        <f t="shared" si="18"/>
        <v>3673.0297338830906</v>
      </c>
      <c r="AH25" s="210">
        <f t="shared" si="18"/>
        <v>3707.9302612330171</v>
      </c>
      <c r="AI25" s="210">
        <f t="shared" si="18"/>
        <v>3742.8307885829436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3777.7313159328705</v>
      </c>
      <c r="AK25" s="210">
        <f t="shared" si="19"/>
        <v>3812.631843282797</v>
      </c>
      <c r="AL25" s="210">
        <f t="shared" si="19"/>
        <v>3847.5323706327235</v>
      </c>
      <c r="AM25" s="210">
        <f t="shared" si="19"/>
        <v>3882.4328979826505</v>
      </c>
      <c r="AN25" s="210">
        <f t="shared" si="19"/>
        <v>3917.333425332577</v>
      </c>
      <c r="AO25" s="210">
        <f t="shared" si="19"/>
        <v>3952.233952682504</v>
      </c>
      <c r="AP25" s="210">
        <f t="shared" si="19"/>
        <v>3987.1344800324305</v>
      </c>
      <c r="AQ25" s="210">
        <f t="shared" si="19"/>
        <v>4022.0350073823574</v>
      </c>
      <c r="AR25" s="210">
        <f t="shared" si="19"/>
        <v>4056.9355347322839</v>
      </c>
      <c r="AS25" s="210">
        <f t="shared" si="19"/>
        <v>4091.8360620822104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4126.7365894321374</v>
      </c>
      <c r="AU25" s="210">
        <f t="shared" si="20"/>
        <v>4161.6371167820644</v>
      </c>
      <c r="AV25" s="210">
        <f t="shared" si="20"/>
        <v>4196.5376441319904</v>
      </c>
      <c r="AW25" s="210">
        <f t="shared" si="20"/>
        <v>4231.4381714819174</v>
      </c>
      <c r="AX25" s="210">
        <f t="shared" si="20"/>
        <v>4266.3386988318443</v>
      </c>
      <c r="AY25" s="210">
        <f t="shared" si="20"/>
        <v>4301.2392261817704</v>
      </c>
      <c r="AZ25" s="210">
        <f t="shared" si="20"/>
        <v>4336.1397535316974</v>
      </c>
      <c r="BA25" s="210">
        <f t="shared" si="20"/>
        <v>4371.0402808816243</v>
      </c>
      <c r="BB25" s="210">
        <f t="shared" si="20"/>
        <v>4405.9408082315513</v>
      </c>
      <c r="BC25" s="210">
        <f t="shared" si="20"/>
        <v>4440.8413355814773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4475.7418629314043</v>
      </c>
      <c r="BE25" s="210">
        <f t="shared" si="21"/>
        <v>4510.6423902813312</v>
      </c>
      <c r="BF25" s="210">
        <f t="shared" si="21"/>
        <v>4553.3813244473877</v>
      </c>
      <c r="BG25" s="210">
        <f t="shared" si="21"/>
        <v>4600.4749290668506</v>
      </c>
      <c r="BH25" s="210">
        <f t="shared" si="21"/>
        <v>4647.5685336863135</v>
      </c>
      <c r="BI25" s="210">
        <f t="shared" si="21"/>
        <v>4694.6621383057764</v>
      </c>
      <c r="BJ25" s="210">
        <f t="shared" si="21"/>
        <v>4741.7557429252392</v>
      </c>
      <c r="BK25" s="210">
        <f t="shared" si="21"/>
        <v>4788.8493475447021</v>
      </c>
      <c r="BL25" s="210">
        <f t="shared" si="21"/>
        <v>4835.942952164165</v>
      </c>
      <c r="BM25" s="210">
        <f t="shared" si="21"/>
        <v>4883.036556783627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4930.1301614030899</v>
      </c>
      <c r="BO25" s="210">
        <f t="shared" si="22"/>
        <v>4977.2237660225528</v>
      </c>
      <c r="BP25" s="210">
        <f t="shared" si="22"/>
        <v>5024.3173706420157</v>
      </c>
      <c r="BQ25" s="210">
        <f t="shared" si="22"/>
        <v>5071.4109752614786</v>
      </c>
      <c r="BR25" s="210">
        <f t="shared" si="22"/>
        <v>5118.5045798809415</v>
      </c>
      <c r="BS25" s="210">
        <f t="shared" si="22"/>
        <v>5165.5981845004044</v>
      </c>
      <c r="BT25" s="210">
        <f t="shared" si="22"/>
        <v>5212.6917891198673</v>
      </c>
      <c r="BU25" s="210">
        <f t="shared" si="22"/>
        <v>5259.7853937393302</v>
      </c>
      <c r="BV25" s="210">
        <f t="shared" si="22"/>
        <v>5306.8789983587922</v>
      </c>
      <c r="BW25" s="210">
        <f t="shared" si="22"/>
        <v>5353.9726029782551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5401.0662075977179</v>
      </c>
      <c r="BY25" s="210">
        <f t="shared" si="23"/>
        <v>5448.1598122171808</v>
      </c>
      <c r="BZ25" s="210">
        <f t="shared" si="23"/>
        <v>5495.2534168366437</v>
      </c>
      <c r="CA25" s="210">
        <f t="shared" si="23"/>
        <v>5542.3470214561066</v>
      </c>
      <c r="CB25" s="210">
        <f t="shared" si="23"/>
        <v>5589.4406260755695</v>
      </c>
      <c r="CC25" s="210">
        <f t="shared" si="23"/>
        <v>5636.5342306950315</v>
      </c>
      <c r="CD25" s="210">
        <f t="shared" si="23"/>
        <v>5683.6278353144953</v>
      </c>
      <c r="CE25" s="210">
        <f t="shared" si="23"/>
        <v>5730.7214399339573</v>
      </c>
      <c r="CF25" s="210">
        <f t="shared" si="23"/>
        <v>5777.8150445534202</v>
      </c>
      <c r="CG25" s="210">
        <f t="shared" si="23"/>
        <v>5824.9086491728831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5951.2878451177903</v>
      </c>
      <c r="CI25" s="210">
        <f t="shared" si="24"/>
        <v>6099.2903841514562</v>
      </c>
      <c r="CJ25" s="210">
        <f t="shared" si="24"/>
        <v>6247.2929231851222</v>
      </c>
      <c r="CK25" s="210">
        <f t="shared" si="24"/>
        <v>6395.2954622187881</v>
      </c>
      <c r="CL25" s="210">
        <f t="shared" si="24"/>
        <v>6543.298001252454</v>
      </c>
      <c r="CM25" s="210">
        <f t="shared" si="24"/>
        <v>6691.3005402861199</v>
      </c>
      <c r="CN25" s="210">
        <f t="shared" si="24"/>
        <v>6839.3030793197859</v>
      </c>
      <c r="CO25" s="210">
        <f t="shared" si="24"/>
        <v>6987.3056183534518</v>
      </c>
      <c r="CP25" s="210">
        <f t="shared" si="24"/>
        <v>7135.3081573871186</v>
      </c>
      <c r="CQ25" s="210">
        <f t="shared" si="24"/>
        <v>7283.3106964207836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7431.3132354544505</v>
      </c>
      <c r="CS25" s="210">
        <f t="shared" si="25"/>
        <v>7579.3157744881164</v>
      </c>
      <c r="CT25" s="210">
        <f t="shared" si="25"/>
        <v>7727.3183135217823</v>
      </c>
      <c r="CU25" s="210">
        <f t="shared" si="25"/>
        <v>7875.3208525554483</v>
      </c>
      <c r="CV25" s="210">
        <f t="shared" si="25"/>
        <v>8023.3233915891142</v>
      </c>
      <c r="CW25" s="210">
        <f t="shared" si="25"/>
        <v>8171.3259306227801</v>
      </c>
      <c r="CX25" s="210">
        <f t="shared" si="25"/>
        <v>8224.1839802776612</v>
      </c>
      <c r="CY25" s="210">
        <f t="shared" si="25"/>
        <v>8224.1839802776612</v>
      </c>
      <c r="CZ25" s="210">
        <f t="shared" si="25"/>
        <v>8224.1839802776612</v>
      </c>
      <c r="DA25" s="210">
        <f t="shared" si="25"/>
        <v>8224.1839802776612</v>
      </c>
    </row>
    <row r="26" spans="1:105">
      <c r="A26" s="201" t="str">
        <f>Income!A73</f>
        <v>Own crops sold</v>
      </c>
      <c r="B26" s="203">
        <f>Income!B73</f>
        <v>302.95954297718129</v>
      </c>
      <c r="C26" s="203">
        <f>Income!C73</f>
        <v>836.92268590775336</v>
      </c>
      <c r="D26" s="203">
        <f>Income!D73</f>
        <v>6532.5498876119191</v>
      </c>
      <c r="E26" s="203">
        <f>Income!E73</f>
        <v>29538.128220935763</v>
      </c>
      <c r="F26" s="210">
        <f t="shared" si="16"/>
        <v>302.95954297718129</v>
      </c>
      <c r="G26" s="210">
        <f t="shared" si="16"/>
        <v>302.95954297718129</v>
      </c>
      <c r="H26" s="210">
        <f t="shared" si="16"/>
        <v>302.95954297718129</v>
      </c>
      <c r="I26" s="210">
        <f t="shared" si="16"/>
        <v>302.95954297718129</v>
      </c>
      <c r="J26" s="210">
        <f t="shared" si="16"/>
        <v>302.95954297718129</v>
      </c>
      <c r="K26" s="210">
        <f t="shared" si="16"/>
        <v>302.95954297718129</v>
      </c>
      <c r="L26" s="210">
        <f t="shared" si="16"/>
        <v>302.95954297718129</v>
      </c>
      <c r="M26" s="210">
        <f t="shared" si="16"/>
        <v>302.95954297718129</v>
      </c>
      <c r="N26" s="210">
        <f t="shared" si="16"/>
        <v>302.95954297718129</v>
      </c>
      <c r="O26" s="210">
        <f t="shared" si="16"/>
        <v>302.95954297718129</v>
      </c>
      <c r="P26" s="210">
        <f t="shared" si="17"/>
        <v>302.95954297718129</v>
      </c>
      <c r="Q26" s="210">
        <f t="shared" si="17"/>
        <v>302.95954297718129</v>
      </c>
      <c r="R26" s="210">
        <f t="shared" si="17"/>
        <v>302.95954297718129</v>
      </c>
      <c r="S26" s="210">
        <f t="shared" si="17"/>
        <v>302.95954297718129</v>
      </c>
      <c r="T26" s="210">
        <f t="shared" si="17"/>
        <v>302.95954297718129</v>
      </c>
      <c r="U26" s="210">
        <f t="shared" si="17"/>
        <v>302.95954297718129</v>
      </c>
      <c r="V26" s="210">
        <f t="shared" si="17"/>
        <v>302.95954297718129</v>
      </c>
      <c r="W26" s="210">
        <f t="shared" si="17"/>
        <v>302.95954297718129</v>
      </c>
      <c r="X26" s="210">
        <f t="shared" si="17"/>
        <v>310.84507462383533</v>
      </c>
      <c r="Y26" s="210">
        <f t="shared" si="17"/>
        <v>326.61613791714336</v>
      </c>
      <c r="Z26" s="210">
        <f t="shared" si="18"/>
        <v>342.38720121045139</v>
      </c>
      <c r="AA26" s="210">
        <f t="shared" si="18"/>
        <v>358.15826450375943</v>
      </c>
      <c r="AB26" s="210">
        <f t="shared" si="18"/>
        <v>373.92932779706746</v>
      </c>
      <c r="AC26" s="210">
        <f t="shared" si="18"/>
        <v>389.70039109037549</v>
      </c>
      <c r="AD26" s="210">
        <f t="shared" si="18"/>
        <v>405.47145438368352</v>
      </c>
      <c r="AE26" s="210">
        <f t="shared" si="18"/>
        <v>421.24251767699155</v>
      </c>
      <c r="AF26" s="210">
        <f t="shared" si="18"/>
        <v>437.01358097029959</v>
      </c>
      <c r="AG26" s="210">
        <f t="shared" si="18"/>
        <v>452.78464426360756</v>
      </c>
      <c r="AH26" s="210">
        <f t="shared" si="18"/>
        <v>468.55570755691565</v>
      </c>
      <c r="AI26" s="210">
        <f t="shared" si="18"/>
        <v>484.32677085022368</v>
      </c>
      <c r="AJ26" s="210">
        <f t="shared" si="19"/>
        <v>500.09783414353171</v>
      </c>
      <c r="AK26" s="210">
        <f t="shared" si="19"/>
        <v>515.86889743683969</v>
      </c>
      <c r="AL26" s="210">
        <f t="shared" si="19"/>
        <v>531.63996073014778</v>
      </c>
      <c r="AM26" s="210">
        <f t="shared" si="19"/>
        <v>547.41102402345575</v>
      </c>
      <c r="AN26" s="210">
        <f t="shared" si="19"/>
        <v>563.18208731676395</v>
      </c>
      <c r="AO26" s="210">
        <f t="shared" si="19"/>
        <v>578.95315061007182</v>
      </c>
      <c r="AP26" s="210">
        <f t="shared" si="19"/>
        <v>594.7242139033799</v>
      </c>
      <c r="AQ26" s="210">
        <f t="shared" si="19"/>
        <v>610.49527719668799</v>
      </c>
      <c r="AR26" s="210">
        <f t="shared" si="19"/>
        <v>626.26634048999597</v>
      </c>
      <c r="AS26" s="210">
        <f t="shared" si="19"/>
        <v>642.03740378330394</v>
      </c>
      <c r="AT26" s="210">
        <f t="shared" si="20"/>
        <v>657.80846707661203</v>
      </c>
      <c r="AU26" s="210">
        <f t="shared" si="20"/>
        <v>673.57953036992012</v>
      </c>
      <c r="AV26" s="210">
        <f t="shared" si="20"/>
        <v>689.35059366322821</v>
      </c>
      <c r="AW26" s="210">
        <f t="shared" si="20"/>
        <v>705.12165695653619</v>
      </c>
      <c r="AX26" s="210">
        <f t="shared" si="20"/>
        <v>720.89272024984416</v>
      </c>
      <c r="AY26" s="210">
        <f t="shared" si="20"/>
        <v>736.66378354315225</v>
      </c>
      <c r="AZ26" s="210">
        <f t="shared" si="20"/>
        <v>752.43484683646034</v>
      </c>
      <c r="BA26" s="210">
        <f t="shared" si="20"/>
        <v>768.2059101297682</v>
      </c>
      <c r="BB26" s="210">
        <f t="shared" si="20"/>
        <v>783.97697342307629</v>
      </c>
      <c r="BC26" s="210">
        <f t="shared" si="20"/>
        <v>799.74803671638438</v>
      </c>
      <c r="BD26" s="210">
        <f t="shared" si="21"/>
        <v>815.51910000969247</v>
      </c>
      <c r="BE26" s="210">
        <f t="shared" si="21"/>
        <v>831.29016330300044</v>
      </c>
      <c r="BF26" s="210">
        <f t="shared" si="21"/>
        <v>968.36023671631017</v>
      </c>
      <c r="BG26" s="210">
        <f t="shared" si="21"/>
        <v>1172.8186490851776</v>
      </c>
      <c r="BH26" s="210">
        <f t="shared" si="21"/>
        <v>1377.277061454045</v>
      </c>
      <c r="BI26" s="210">
        <f t="shared" si="21"/>
        <v>1581.7354738229124</v>
      </c>
      <c r="BJ26" s="210">
        <f t="shared" si="21"/>
        <v>1786.1938861917799</v>
      </c>
      <c r="BK26" s="210">
        <f t="shared" si="21"/>
        <v>1990.6522985606475</v>
      </c>
      <c r="BL26" s="210">
        <f t="shared" si="21"/>
        <v>2195.1107109295149</v>
      </c>
      <c r="BM26" s="210">
        <f t="shared" si="21"/>
        <v>2399.5691232983822</v>
      </c>
      <c r="BN26" s="210">
        <f t="shared" si="22"/>
        <v>2604.0275356672496</v>
      </c>
      <c r="BO26" s="210">
        <f t="shared" si="22"/>
        <v>2808.485948036117</v>
      </c>
      <c r="BP26" s="210">
        <f t="shared" si="22"/>
        <v>3012.9443604049848</v>
      </c>
      <c r="BQ26" s="210">
        <f t="shared" si="22"/>
        <v>3217.4027727738526</v>
      </c>
      <c r="BR26" s="210">
        <f t="shared" si="22"/>
        <v>3421.8611851427199</v>
      </c>
      <c r="BS26" s="210">
        <f t="shared" si="22"/>
        <v>3626.3195975115873</v>
      </c>
      <c r="BT26" s="210">
        <f t="shared" si="22"/>
        <v>3830.7780098804546</v>
      </c>
      <c r="BU26" s="210">
        <f t="shared" si="22"/>
        <v>4035.236422249322</v>
      </c>
      <c r="BV26" s="210">
        <f t="shared" si="22"/>
        <v>4239.6948346181898</v>
      </c>
      <c r="BW26" s="210">
        <f t="shared" si="22"/>
        <v>4444.1532469870572</v>
      </c>
      <c r="BX26" s="210">
        <f t="shared" si="23"/>
        <v>4648.6116593559245</v>
      </c>
      <c r="BY26" s="210">
        <f t="shared" si="23"/>
        <v>4853.0700717247919</v>
      </c>
      <c r="BZ26" s="210">
        <f t="shared" si="23"/>
        <v>5057.5284840936592</v>
      </c>
      <c r="CA26" s="210">
        <f t="shared" si="23"/>
        <v>5261.9868964625266</v>
      </c>
      <c r="CB26" s="210">
        <f t="shared" si="23"/>
        <v>5466.4453088313949</v>
      </c>
      <c r="CC26" s="210">
        <f t="shared" si="23"/>
        <v>5670.9037212002622</v>
      </c>
      <c r="CD26" s="210">
        <f t="shared" si="23"/>
        <v>5875.3621335691296</v>
      </c>
      <c r="CE26" s="210">
        <f t="shared" si="23"/>
        <v>6079.8205459379969</v>
      </c>
      <c r="CF26" s="210">
        <f t="shared" si="23"/>
        <v>6284.2789583068643</v>
      </c>
      <c r="CG26" s="210">
        <f t="shared" si="23"/>
        <v>6488.7373706757317</v>
      </c>
      <c r="CH26" s="210">
        <f t="shared" si="24"/>
        <v>7652.2904259595289</v>
      </c>
      <c r="CI26" s="210">
        <f t="shared" si="24"/>
        <v>9077.414747492865</v>
      </c>
      <c r="CJ26" s="210">
        <f t="shared" si="24"/>
        <v>10502.539069026199</v>
      </c>
      <c r="CK26" s="210">
        <f t="shared" si="24"/>
        <v>11927.663390559537</v>
      </c>
      <c r="CL26" s="210">
        <f t="shared" si="24"/>
        <v>13352.787712092872</v>
      </c>
      <c r="CM26" s="210">
        <f t="shared" si="24"/>
        <v>14777.912033626209</v>
      </c>
      <c r="CN26" s="210">
        <f t="shared" si="24"/>
        <v>16203.036355159544</v>
      </c>
      <c r="CO26" s="210">
        <f t="shared" si="24"/>
        <v>17628.160676692878</v>
      </c>
      <c r="CP26" s="210">
        <f t="shared" si="24"/>
        <v>19053.284998226216</v>
      </c>
      <c r="CQ26" s="210">
        <f t="shared" si="24"/>
        <v>20478.40931975955</v>
      </c>
      <c r="CR26" s="210">
        <f t="shared" si="25"/>
        <v>21903.533641292888</v>
      </c>
      <c r="CS26" s="210">
        <f t="shared" si="25"/>
        <v>23328.657962826223</v>
      </c>
      <c r="CT26" s="210">
        <f t="shared" si="25"/>
        <v>24753.78228435956</v>
      </c>
      <c r="CU26" s="210">
        <f t="shared" si="25"/>
        <v>26178.906605892895</v>
      </c>
      <c r="CV26" s="210">
        <f t="shared" si="25"/>
        <v>27604.030927426233</v>
      </c>
      <c r="CW26" s="210">
        <f t="shared" si="25"/>
        <v>29029.155248959567</v>
      </c>
      <c r="CX26" s="210">
        <f t="shared" si="25"/>
        <v>29538.128220935763</v>
      </c>
      <c r="CY26" s="210">
        <f t="shared" si="25"/>
        <v>29538.128220935763</v>
      </c>
      <c r="CZ26" s="210">
        <f t="shared" si="25"/>
        <v>29538.128220935763</v>
      </c>
      <c r="DA26" s="210">
        <f t="shared" si="25"/>
        <v>29538.128220935763</v>
      </c>
    </row>
    <row r="27" spans="1:105">
      <c r="A27" s="201" t="str">
        <f>Income!A74</f>
        <v>Animal products consumed</v>
      </c>
      <c r="B27" s="203">
        <f>Income!B74</f>
        <v>446.73706902364438</v>
      </c>
      <c r="C27" s="203">
        <f>Income!C74</f>
        <v>1115.7689497461563</v>
      </c>
      <c r="D27" s="203">
        <f>Income!D74</f>
        <v>2349.8904945833574</v>
      </c>
      <c r="E27" s="203">
        <f>Income!E74</f>
        <v>3569.9639619260679</v>
      </c>
      <c r="F27" s="210">
        <f t="shared" si="16"/>
        <v>446.73706902364438</v>
      </c>
      <c r="G27" s="210">
        <f t="shared" si="16"/>
        <v>446.73706902364438</v>
      </c>
      <c r="H27" s="210">
        <f t="shared" si="16"/>
        <v>446.73706902364438</v>
      </c>
      <c r="I27" s="210">
        <f t="shared" si="16"/>
        <v>446.73706902364438</v>
      </c>
      <c r="J27" s="210">
        <f t="shared" si="16"/>
        <v>446.73706902364438</v>
      </c>
      <c r="K27" s="210">
        <f t="shared" si="16"/>
        <v>446.73706902364438</v>
      </c>
      <c r="L27" s="210">
        <f t="shared" si="16"/>
        <v>446.73706902364438</v>
      </c>
      <c r="M27" s="210">
        <f t="shared" si="16"/>
        <v>446.73706902364438</v>
      </c>
      <c r="N27" s="210">
        <f t="shared" si="16"/>
        <v>446.73706902364438</v>
      </c>
      <c r="O27" s="210">
        <f t="shared" si="16"/>
        <v>446.73706902364438</v>
      </c>
      <c r="P27" s="210">
        <f t="shared" si="17"/>
        <v>446.73706902364438</v>
      </c>
      <c r="Q27" s="210">
        <f t="shared" si="17"/>
        <v>446.73706902364438</v>
      </c>
      <c r="R27" s="210">
        <f t="shared" si="17"/>
        <v>446.73706902364438</v>
      </c>
      <c r="S27" s="210">
        <f t="shared" si="17"/>
        <v>446.73706902364438</v>
      </c>
      <c r="T27" s="210">
        <f t="shared" si="17"/>
        <v>446.73706902364438</v>
      </c>
      <c r="U27" s="210">
        <f t="shared" si="17"/>
        <v>446.73706902364438</v>
      </c>
      <c r="V27" s="210">
        <f t="shared" si="17"/>
        <v>446.73706902364438</v>
      </c>
      <c r="W27" s="210">
        <f t="shared" si="17"/>
        <v>446.73706902364438</v>
      </c>
      <c r="X27" s="210">
        <f t="shared" si="17"/>
        <v>456.61728667144519</v>
      </c>
      <c r="Y27" s="210">
        <f t="shared" si="17"/>
        <v>476.3777219670468</v>
      </c>
      <c r="Z27" s="210">
        <f t="shared" si="18"/>
        <v>496.13815726264841</v>
      </c>
      <c r="AA27" s="210">
        <f t="shared" si="18"/>
        <v>515.89859255825002</v>
      </c>
      <c r="AB27" s="210">
        <f t="shared" si="18"/>
        <v>535.65902785385163</v>
      </c>
      <c r="AC27" s="210">
        <f t="shared" si="18"/>
        <v>555.41946314945324</v>
      </c>
      <c r="AD27" s="210">
        <f t="shared" si="18"/>
        <v>575.17989844505485</v>
      </c>
      <c r="AE27" s="210">
        <f t="shared" si="18"/>
        <v>594.94033374065646</v>
      </c>
      <c r="AF27" s="210">
        <f t="shared" si="18"/>
        <v>614.70076903625818</v>
      </c>
      <c r="AG27" s="210">
        <f t="shared" si="18"/>
        <v>634.46120433185979</v>
      </c>
      <c r="AH27" s="210">
        <f t="shared" si="18"/>
        <v>654.2216396274614</v>
      </c>
      <c r="AI27" s="210">
        <f t="shared" si="18"/>
        <v>673.98207492306301</v>
      </c>
      <c r="AJ27" s="210">
        <f t="shared" si="19"/>
        <v>693.74251021866462</v>
      </c>
      <c r="AK27" s="210">
        <f t="shared" si="19"/>
        <v>713.50294551426623</v>
      </c>
      <c r="AL27" s="210">
        <f t="shared" si="19"/>
        <v>733.26338080986784</v>
      </c>
      <c r="AM27" s="210">
        <f t="shared" si="19"/>
        <v>753.02381610546945</v>
      </c>
      <c r="AN27" s="210">
        <f t="shared" si="19"/>
        <v>772.78425140107106</v>
      </c>
      <c r="AO27" s="210">
        <f t="shared" si="19"/>
        <v>792.54468669667267</v>
      </c>
      <c r="AP27" s="210">
        <f t="shared" si="19"/>
        <v>812.30512199227428</v>
      </c>
      <c r="AQ27" s="210">
        <f t="shared" si="19"/>
        <v>832.06555728787589</v>
      </c>
      <c r="AR27" s="210">
        <f t="shared" si="19"/>
        <v>851.8259925834775</v>
      </c>
      <c r="AS27" s="210">
        <f t="shared" si="19"/>
        <v>871.58642787907911</v>
      </c>
      <c r="AT27" s="210">
        <f t="shared" si="20"/>
        <v>891.34686317468072</v>
      </c>
      <c r="AU27" s="210">
        <f t="shared" si="20"/>
        <v>911.10729847028233</v>
      </c>
      <c r="AV27" s="210">
        <f t="shared" si="20"/>
        <v>930.86773376588394</v>
      </c>
      <c r="AW27" s="210">
        <f t="shared" si="20"/>
        <v>950.62816906148555</v>
      </c>
      <c r="AX27" s="210">
        <f t="shared" si="20"/>
        <v>970.38860435708716</v>
      </c>
      <c r="AY27" s="210">
        <f t="shared" si="20"/>
        <v>990.14903965268877</v>
      </c>
      <c r="AZ27" s="210">
        <f t="shared" si="20"/>
        <v>1009.9094749482904</v>
      </c>
      <c r="BA27" s="210">
        <f t="shared" si="20"/>
        <v>1029.669910243892</v>
      </c>
      <c r="BB27" s="210">
        <f t="shared" si="20"/>
        <v>1049.4303455394936</v>
      </c>
      <c r="BC27" s="210">
        <f t="shared" si="20"/>
        <v>1069.1907808350952</v>
      </c>
      <c r="BD27" s="210">
        <f t="shared" si="21"/>
        <v>1088.951216130697</v>
      </c>
      <c r="BE27" s="210">
        <f t="shared" si="21"/>
        <v>1108.7116514262984</v>
      </c>
      <c r="BF27" s="210">
        <f t="shared" si="21"/>
        <v>1144.2486777039376</v>
      </c>
      <c r="BG27" s="210">
        <f t="shared" si="21"/>
        <v>1188.5504767493758</v>
      </c>
      <c r="BH27" s="210">
        <f t="shared" si="21"/>
        <v>1232.8522757948135</v>
      </c>
      <c r="BI27" s="210">
        <f t="shared" si="21"/>
        <v>1277.1540748402517</v>
      </c>
      <c r="BJ27" s="210">
        <f t="shared" si="21"/>
        <v>1321.4558738856897</v>
      </c>
      <c r="BK27" s="210">
        <f t="shared" si="21"/>
        <v>1365.7576729311277</v>
      </c>
      <c r="BL27" s="210">
        <f t="shared" si="21"/>
        <v>1410.0594719765656</v>
      </c>
      <c r="BM27" s="210">
        <f t="shared" si="21"/>
        <v>1454.3612710220036</v>
      </c>
      <c r="BN27" s="210">
        <f t="shared" si="22"/>
        <v>1498.6630700674416</v>
      </c>
      <c r="BO27" s="210">
        <f t="shared" si="22"/>
        <v>1542.9648691128796</v>
      </c>
      <c r="BP27" s="210">
        <f t="shared" si="22"/>
        <v>1587.2666681583175</v>
      </c>
      <c r="BQ27" s="210">
        <f t="shared" si="22"/>
        <v>1631.5684672037555</v>
      </c>
      <c r="BR27" s="210">
        <f t="shared" si="22"/>
        <v>1675.8702662491935</v>
      </c>
      <c r="BS27" s="210">
        <f t="shared" si="22"/>
        <v>1720.1720652946315</v>
      </c>
      <c r="BT27" s="210">
        <f t="shared" si="22"/>
        <v>1764.4738643400694</v>
      </c>
      <c r="BU27" s="210">
        <f t="shared" si="22"/>
        <v>1808.7756633855074</v>
      </c>
      <c r="BV27" s="210">
        <f t="shared" si="22"/>
        <v>1853.0774624309454</v>
      </c>
      <c r="BW27" s="210">
        <f t="shared" si="22"/>
        <v>1897.3792614763834</v>
      </c>
      <c r="BX27" s="210">
        <f t="shared" si="23"/>
        <v>1941.6810605218216</v>
      </c>
      <c r="BY27" s="210">
        <f t="shared" si="23"/>
        <v>1985.9828595672593</v>
      </c>
      <c r="BZ27" s="210">
        <f t="shared" si="23"/>
        <v>2030.2846586126973</v>
      </c>
      <c r="CA27" s="210">
        <f t="shared" si="23"/>
        <v>2074.5864576581353</v>
      </c>
      <c r="CB27" s="210">
        <f t="shared" si="23"/>
        <v>2118.8882567035735</v>
      </c>
      <c r="CC27" s="210">
        <f t="shared" si="23"/>
        <v>2163.1900557490112</v>
      </c>
      <c r="CD27" s="210">
        <f t="shared" si="23"/>
        <v>2207.491854794449</v>
      </c>
      <c r="CE27" s="210">
        <f t="shared" si="23"/>
        <v>2251.7936538398872</v>
      </c>
      <c r="CF27" s="210">
        <f t="shared" si="23"/>
        <v>2296.0954528853254</v>
      </c>
      <c r="CG27" s="210">
        <f t="shared" si="23"/>
        <v>2340.3972519307631</v>
      </c>
      <c r="CH27" s="210">
        <f t="shared" si="24"/>
        <v>2409.2746014009222</v>
      </c>
      <c r="CI27" s="210">
        <f t="shared" si="24"/>
        <v>2484.8543737141877</v>
      </c>
      <c r="CJ27" s="210">
        <f t="shared" si="24"/>
        <v>2560.4341460274527</v>
      </c>
      <c r="CK27" s="210">
        <f t="shared" si="24"/>
        <v>2636.0139183407182</v>
      </c>
      <c r="CL27" s="210">
        <f t="shared" si="24"/>
        <v>2711.5936906539837</v>
      </c>
      <c r="CM27" s="210">
        <f t="shared" si="24"/>
        <v>2787.1734629672487</v>
      </c>
      <c r="CN27" s="210">
        <f t="shared" si="24"/>
        <v>2862.7532352805138</v>
      </c>
      <c r="CO27" s="210">
        <f t="shared" si="24"/>
        <v>2938.3330075937793</v>
      </c>
      <c r="CP27" s="210">
        <f t="shared" si="24"/>
        <v>3013.9127799070448</v>
      </c>
      <c r="CQ27" s="210">
        <f t="shared" si="24"/>
        <v>3089.4925522203098</v>
      </c>
      <c r="CR27" s="210">
        <f t="shared" si="25"/>
        <v>3165.0723245335748</v>
      </c>
      <c r="CS27" s="210">
        <f t="shared" si="25"/>
        <v>3240.6520968468403</v>
      </c>
      <c r="CT27" s="210">
        <f t="shared" si="25"/>
        <v>3316.2318691601058</v>
      </c>
      <c r="CU27" s="210">
        <f t="shared" si="25"/>
        <v>3391.8116414733709</v>
      </c>
      <c r="CV27" s="210">
        <f t="shared" si="25"/>
        <v>3467.3914137866359</v>
      </c>
      <c r="CW27" s="210">
        <f t="shared" si="25"/>
        <v>3542.9711860999014</v>
      </c>
      <c r="CX27" s="210">
        <f t="shared" si="25"/>
        <v>3569.9639619260679</v>
      </c>
      <c r="CY27" s="210">
        <f t="shared" si="25"/>
        <v>3569.9639619260679</v>
      </c>
      <c r="CZ27" s="210">
        <f t="shared" si="25"/>
        <v>3569.9639619260679</v>
      </c>
      <c r="DA27" s="210">
        <f t="shared" si="25"/>
        <v>3569.9639619260679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2.1360966970590951</v>
      </c>
      <c r="D28" s="203">
        <f>Income!D75</f>
        <v>1353.6749925934489</v>
      </c>
      <c r="E28" s="203">
        <f>Income!E75</f>
        <v>2457.1215149599761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3.1545731813108997E-2</v>
      </c>
      <c r="Y28" s="210">
        <f t="shared" si="17"/>
        <v>9.4637195439326985E-2</v>
      </c>
      <c r="Z28" s="210">
        <f t="shared" si="18"/>
        <v>0.15772865906554498</v>
      </c>
      <c r="AA28" s="210">
        <f t="shared" si="18"/>
        <v>0.22082012269176296</v>
      </c>
      <c r="AB28" s="210">
        <f t="shared" si="18"/>
        <v>0.28391158631798097</v>
      </c>
      <c r="AC28" s="210">
        <f t="shared" si="18"/>
        <v>0.34700304994419895</v>
      </c>
      <c r="AD28" s="210">
        <f t="shared" si="18"/>
        <v>0.41009451357041693</v>
      </c>
      <c r="AE28" s="210">
        <f t="shared" si="18"/>
        <v>0.47318597719663491</v>
      </c>
      <c r="AF28" s="210">
        <f t="shared" si="18"/>
        <v>0.53627744082285289</v>
      </c>
      <c r="AG28" s="210">
        <f t="shared" si="18"/>
        <v>0.59936890444907087</v>
      </c>
      <c r="AH28" s="210">
        <f t="shared" si="18"/>
        <v>0.66246036807528896</v>
      </c>
      <c r="AI28" s="210">
        <f t="shared" si="18"/>
        <v>0.72555183170150694</v>
      </c>
      <c r="AJ28" s="210">
        <f t="shared" si="19"/>
        <v>0.78864329532772492</v>
      </c>
      <c r="AK28" s="210">
        <f t="shared" si="19"/>
        <v>0.85173475895394291</v>
      </c>
      <c r="AL28" s="210">
        <f t="shared" si="19"/>
        <v>0.91482622258016089</v>
      </c>
      <c r="AM28" s="210">
        <f t="shared" si="19"/>
        <v>0.97791768620637898</v>
      </c>
      <c r="AN28" s="210">
        <f t="shared" si="19"/>
        <v>1.0410091498325968</v>
      </c>
      <c r="AO28" s="210">
        <f t="shared" si="19"/>
        <v>1.1041006134588149</v>
      </c>
      <c r="AP28" s="210">
        <f t="shared" si="19"/>
        <v>1.1671920770850328</v>
      </c>
      <c r="AQ28" s="210">
        <f t="shared" si="19"/>
        <v>1.2302835407112509</v>
      </c>
      <c r="AR28" s="210">
        <f t="shared" si="19"/>
        <v>1.2933750043374688</v>
      </c>
      <c r="AS28" s="210">
        <f t="shared" si="19"/>
        <v>1.3564664679636869</v>
      </c>
      <c r="AT28" s="210">
        <f t="shared" si="20"/>
        <v>1.4195579315899047</v>
      </c>
      <c r="AU28" s="210">
        <f t="shared" si="20"/>
        <v>1.4826493952161228</v>
      </c>
      <c r="AV28" s="210">
        <f t="shared" si="20"/>
        <v>1.5457408588423407</v>
      </c>
      <c r="AW28" s="210">
        <f t="shared" si="20"/>
        <v>1.6088323224685588</v>
      </c>
      <c r="AX28" s="210">
        <f t="shared" si="20"/>
        <v>1.6719237860947767</v>
      </c>
      <c r="AY28" s="210">
        <f t="shared" si="20"/>
        <v>1.735015249720995</v>
      </c>
      <c r="AZ28" s="210">
        <f t="shared" si="20"/>
        <v>1.7981067133472126</v>
      </c>
      <c r="BA28" s="210">
        <f t="shared" si="20"/>
        <v>1.8611981769734309</v>
      </c>
      <c r="BB28" s="210">
        <f t="shared" si="20"/>
        <v>1.9242896405996486</v>
      </c>
      <c r="BC28" s="210">
        <f t="shared" si="20"/>
        <v>1.9873811042258669</v>
      </c>
      <c r="BD28" s="210">
        <f t="shared" si="21"/>
        <v>2.0504725678520845</v>
      </c>
      <c r="BE28" s="210">
        <f t="shared" si="21"/>
        <v>2.1135640314783029</v>
      </c>
      <c r="BF28" s="210">
        <f t="shared" si="21"/>
        <v>33.325455833129425</v>
      </c>
      <c r="BG28" s="210">
        <f t="shared" si="21"/>
        <v>81.842236711461368</v>
      </c>
      <c r="BH28" s="210">
        <f t="shared" si="21"/>
        <v>130.35901758979327</v>
      </c>
      <c r="BI28" s="210">
        <f t="shared" si="21"/>
        <v>178.8757984681252</v>
      </c>
      <c r="BJ28" s="210">
        <f t="shared" si="21"/>
        <v>227.39257934645715</v>
      </c>
      <c r="BK28" s="210">
        <f t="shared" si="21"/>
        <v>275.90936022478905</v>
      </c>
      <c r="BL28" s="210">
        <f t="shared" si="21"/>
        <v>324.42614110312104</v>
      </c>
      <c r="BM28" s="210">
        <f t="shared" si="21"/>
        <v>372.94292198145291</v>
      </c>
      <c r="BN28" s="210">
        <f t="shared" si="22"/>
        <v>421.4597028597849</v>
      </c>
      <c r="BO28" s="210">
        <f t="shared" si="22"/>
        <v>469.97648373811677</v>
      </c>
      <c r="BP28" s="210">
        <f t="shared" si="22"/>
        <v>518.49326461644876</v>
      </c>
      <c r="BQ28" s="210">
        <f t="shared" si="22"/>
        <v>567.01004549478068</v>
      </c>
      <c r="BR28" s="210">
        <f t="shared" si="22"/>
        <v>615.52682637311261</v>
      </c>
      <c r="BS28" s="210">
        <f t="shared" si="22"/>
        <v>664.04360725144443</v>
      </c>
      <c r="BT28" s="210">
        <f t="shared" si="22"/>
        <v>712.56038812977647</v>
      </c>
      <c r="BU28" s="210">
        <f t="shared" si="22"/>
        <v>761.0771690081084</v>
      </c>
      <c r="BV28" s="210">
        <f t="shared" si="22"/>
        <v>809.59394988644021</v>
      </c>
      <c r="BW28" s="210">
        <f t="shared" si="22"/>
        <v>858.11073076477226</v>
      </c>
      <c r="BX28" s="210">
        <f t="shared" si="23"/>
        <v>906.62751164310419</v>
      </c>
      <c r="BY28" s="210">
        <f t="shared" si="23"/>
        <v>955.14429252143611</v>
      </c>
      <c r="BZ28" s="210">
        <f t="shared" si="23"/>
        <v>1003.661073399768</v>
      </c>
      <c r="CA28" s="210">
        <f t="shared" si="23"/>
        <v>1052.1778542781001</v>
      </c>
      <c r="CB28" s="210">
        <f t="shared" si="23"/>
        <v>1100.694635156432</v>
      </c>
      <c r="CC28" s="210">
        <f t="shared" si="23"/>
        <v>1149.2114160347639</v>
      </c>
      <c r="CD28" s="210">
        <f t="shared" si="23"/>
        <v>1197.7281969130959</v>
      </c>
      <c r="CE28" s="210">
        <f t="shared" si="23"/>
        <v>1246.2449777914278</v>
      </c>
      <c r="CF28" s="210">
        <f t="shared" si="23"/>
        <v>1294.7617586697597</v>
      </c>
      <c r="CG28" s="210">
        <f t="shared" si="23"/>
        <v>1343.2785395480917</v>
      </c>
      <c r="CH28" s="210">
        <f t="shared" si="24"/>
        <v>1407.3825666909343</v>
      </c>
      <c r="CI28" s="210">
        <f t="shared" si="24"/>
        <v>1475.7376609968253</v>
      </c>
      <c r="CJ28" s="210">
        <f t="shared" si="24"/>
        <v>1544.0927553027163</v>
      </c>
      <c r="CK28" s="210">
        <f t="shared" si="24"/>
        <v>1612.4478496086074</v>
      </c>
      <c r="CL28" s="210">
        <f t="shared" si="24"/>
        <v>1680.8029439144984</v>
      </c>
      <c r="CM28" s="210">
        <f t="shared" si="24"/>
        <v>1749.1580382203897</v>
      </c>
      <c r="CN28" s="210">
        <f t="shared" si="24"/>
        <v>1817.5131325262807</v>
      </c>
      <c r="CO28" s="210">
        <f t="shared" si="24"/>
        <v>1885.8682268321718</v>
      </c>
      <c r="CP28" s="210">
        <f t="shared" si="24"/>
        <v>1954.2233211380631</v>
      </c>
      <c r="CQ28" s="210">
        <f t="shared" si="24"/>
        <v>2022.5784154439539</v>
      </c>
      <c r="CR28" s="210">
        <f t="shared" si="25"/>
        <v>2090.9335097498451</v>
      </c>
      <c r="CS28" s="210">
        <f t="shared" si="25"/>
        <v>2159.288604055736</v>
      </c>
      <c r="CT28" s="210">
        <f t="shared" si="25"/>
        <v>2227.6436983616272</v>
      </c>
      <c r="CU28" s="210">
        <f t="shared" si="25"/>
        <v>2295.9987926675185</v>
      </c>
      <c r="CV28" s="210">
        <f t="shared" si="25"/>
        <v>2364.3538869734093</v>
      </c>
      <c r="CW28" s="210">
        <f t="shared" si="25"/>
        <v>2432.7089812793001</v>
      </c>
      <c r="CX28" s="210">
        <f t="shared" si="25"/>
        <v>2457.1215149599761</v>
      </c>
      <c r="CY28" s="210">
        <f t="shared" si="25"/>
        <v>2457.1215149599761</v>
      </c>
      <c r="CZ28" s="210">
        <f t="shared" si="25"/>
        <v>2457.1215149599761</v>
      </c>
      <c r="DA28" s="210">
        <f t="shared" si="25"/>
        <v>2457.1215149599761</v>
      </c>
    </row>
    <row r="29" spans="1:105">
      <c r="A29" s="201" t="str">
        <f>Income!A76</f>
        <v>Animals sold</v>
      </c>
      <c r="B29" s="203">
        <f>Income!B76</f>
        <v>582.23892828410749</v>
      </c>
      <c r="C29" s="203">
        <f>Income!C76</f>
        <v>4582.2478296963172</v>
      </c>
      <c r="D29" s="203">
        <f>Income!D76</f>
        <v>18818.889838422219</v>
      </c>
      <c r="E29" s="203">
        <f>Income!E76</f>
        <v>38310.100854410244</v>
      </c>
      <c r="F29" s="210">
        <f t="shared" si="16"/>
        <v>582.23892828410749</v>
      </c>
      <c r="G29" s="210">
        <f t="shared" si="16"/>
        <v>582.23892828410749</v>
      </c>
      <c r="H29" s="210">
        <f t="shared" si="16"/>
        <v>582.23892828410749</v>
      </c>
      <c r="I29" s="210">
        <f t="shared" si="16"/>
        <v>582.23892828410749</v>
      </c>
      <c r="J29" s="210">
        <f t="shared" si="16"/>
        <v>582.23892828410749</v>
      </c>
      <c r="K29" s="210">
        <f t="shared" si="16"/>
        <v>582.23892828410749</v>
      </c>
      <c r="L29" s="210">
        <f t="shared" si="16"/>
        <v>582.23892828410749</v>
      </c>
      <c r="M29" s="210">
        <f t="shared" si="16"/>
        <v>582.23892828410749</v>
      </c>
      <c r="N29" s="210">
        <f t="shared" si="16"/>
        <v>582.23892828410749</v>
      </c>
      <c r="O29" s="210">
        <f t="shared" si="16"/>
        <v>582.23892828410749</v>
      </c>
      <c r="P29" s="210">
        <f t="shared" si="17"/>
        <v>582.23892828410749</v>
      </c>
      <c r="Q29" s="210">
        <f t="shared" si="17"/>
        <v>582.23892828410749</v>
      </c>
      <c r="R29" s="210">
        <f t="shared" si="17"/>
        <v>582.23892828410749</v>
      </c>
      <c r="S29" s="210">
        <f t="shared" si="17"/>
        <v>582.23892828410749</v>
      </c>
      <c r="T29" s="210">
        <f t="shared" si="17"/>
        <v>582.23892828410749</v>
      </c>
      <c r="U29" s="210">
        <f t="shared" si="17"/>
        <v>582.23892828410749</v>
      </c>
      <c r="V29" s="210">
        <f t="shared" si="17"/>
        <v>582.23892828410749</v>
      </c>
      <c r="W29" s="210">
        <f t="shared" si="17"/>
        <v>582.23892828410749</v>
      </c>
      <c r="X29" s="210">
        <f t="shared" si="17"/>
        <v>641.31078969736791</v>
      </c>
      <c r="Y29" s="210">
        <f t="shared" si="17"/>
        <v>759.45451252388887</v>
      </c>
      <c r="Z29" s="210">
        <f t="shared" si="18"/>
        <v>877.59823535040982</v>
      </c>
      <c r="AA29" s="210">
        <f t="shared" si="18"/>
        <v>995.74195817693078</v>
      </c>
      <c r="AB29" s="210">
        <f t="shared" si="18"/>
        <v>1113.8856810034517</v>
      </c>
      <c r="AC29" s="210">
        <f t="shared" si="18"/>
        <v>1232.0294038299726</v>
      </c>
      <c r="AD29" s="210">
        <f t="shared" si="18"/>
        <v>1350.1731266564934</v>
      </c>
      <c r="AE29" s="210">
        <f t="shared" si="18"/>
        <v>1468.3168494830147</v>
      </c>
      <c r="AF29" s="210">
        <f t="shared" si="18"/>
        <v>1586.4605723095356</v>
      </c>
      <c r="AG29" s="210">
        <f t="shared" si="18"/>
        <v>1704.6042951360564</v>
      </c>
      <c r="AH29" s="210">
        <f t="shared" si="18"/>
        <v>1822.7480179625773</v>
      </c>
      <c r="AI29" s="210">
        <f t="shared" si="18"/>
        <v>1940.8917407890983</v>
      </c>
      <c r="AJ29" s="210">
        <f t="shared" si="19"/>
        <v>2059.0354636156189</v>
      </c>
      <c r="AK29" s="210">
        <f t="shared" si="19"/>
        <v>2177.1791864421402</v>
      </c>
      <c r="AL29" s="210">
        <f t="shared" si="19"/>
        <v>2295.3229092686611</v>
      </c>
      <c r="AM29" s="210">
        <f t="shared" si="19"/>
        <v>2413.4666320951819</v>
      </c>
      <c r="AN29" s="210">
        <f t="shared" si="19"/>
        <v>2531.6103549217032</v>
      </c>
      <c r="AO29" s="210">
        <f t="shared" si="19"/>
        <v>2649.7540777482236</v>
      </c>
      <c r="AP29" s="210">
        <f t="shared" si="19"/>
        <v>2767.8978005747449</v>
      </c>
      <c r="AQ29" s="210">
        <f t="shared" si="19"/>
        <v>2886.0415234012653</v>
      </c>
      <c r="AR29" s="210">
        <f t="shared" si="19"/>
        <v>3004.1852462277866</v>
      </c>
      <c r="AS29" s="210">
        <f t="shared" si="19"/>
        <v>3122.3289690543079</v>
      </c>
      <c r="AT29" s="210">
        <f t="shared" si="20"/>
        <v>3240.4726918808283</v>
      </c>
      <c r="AU29" s="210">
        <f t="shared" si="20"/>
        <v>3358.6164147073496</v>
      </c>
      <c r="AV29" s="210">
        <f t="shared" si="20"/>
        <v>3476.7601375338709</v>
      </c>
      <c r="AW29" s="210">
        <f t="shared" si="20"/>
        <v>3594.9038603603913</v>
      </c>
      <c r="AX29" s="210">
        <f t="shared" si="20"/>
        <v>3713.0475831869126</v>
      </c>
      <c r="AY29" s="210">
        <f t="shared" si="20"/>
        <v>3831.1913060134329</v>
      </c>
      <c r="AZ29" s="210">
        <f t="shared" si="20"/>
        <v>3949.3350288399542</v>
      </c>
      <c r="BA29" s="210">
        <f t="shared" si="20"/>
        <v>4067.4787516664755</v>
      </c>
      <c r="BB29" s="210">
        <f t="shared" si="20"/>
        <v>4185.6224744929959</v>
      </c>
      <c r="BC29" s="210">
        <f t="shared" si="20"/>
        <v>4303.7661973195172</v>
      </c>
      <c r="BD29" s="210">
        <f t="shared" si="21"/>
        <v>4421.9099201460385</v>
      </c>
      <c r="BE29" s="210">
        <f t="shared" si="21"/>
        <v>4540.0536429725589</v>
      </c>
      <c r="BF29" s="210">
        <f t="shared" si="21"/>
        <v>4910.7857222053744</v>
      </c>
      <c r="BG29" s="210">
        <f t="shared" si="21"/>
        <v>5421.8446661083553</v>
      </c>
      <c r="BH29" s="210">
        <f t="shared" si="21"/>
        <v>5932.9036100113362</v>
      </c>
      <c r="BI29" s="210">
        <f t="shared" si="21"/>
        <v>6443.9625539143181</v>
      </c>
      <c r="BJ29" s="210">
        <f t="shared" si="21"/>
        <v>6955.021497817299</v>
      </c>
      <c r="BK29" s="210">
        <f t="shared" si="21"/>
        <v>7466.0804417202799</v>
      </c>
      <c r="BL29" s="210">
        <f t="shared" si="21"/>
        <v>7977.1393856232608</v>
      </c>
      <c r="BM29" s="210">
        <f t="shared" si="21"/>
        <v>8488.1983295262417</v>
      </c>
      <c r="BN29" s="210">
        <f t="shared" si="22"/>
        <v>8999.2572734292226</v>
      </c>
      <c r="BO29" s="210">
        <f t="shared" si="22"/>
        <v>9510.3162173322053</v>
      </c>
      <c r="BP29" s="210">
        <f t="shared" si="22"/>
        <v>10021.375161235184</v>
      </c>
      <c r="BQ29" s="210">
        <f t="shared" si="22"/>
        <v>10532.434105138167</v>
      </c>
      <c r="BR29" s="210">
        <f t="shared" si="22"/>
        <v>11043.493049041146</v>
      </c>
      <c r="BS29" s="210">
        <f t="shared" si="22"/>
        <v>11554.551992944129</v>
      </c>
      <c r="BT29" s="210">
        <f t="shared" si="22"/>
        <v>12065.610936847108</v>
      </c>
      <c r="BU29" s="210">
        <f t="shared" si="22"/>
        <v>12576.669880750091</v>
      </c>
      <c r="BV29" s="210">
        <f t="shared" si="22"/>
        <v>13087.72882465307</v>
      </c>
      <c r="BW29" s="210">
        <f t="shared" si="22"/>
        <v>13598.787768556052</v>
      </c>
      <c r="BX29" s="210">
        <f t="shared" si="23"/>
        <v>14109.846712459035</v>
      </c>
      <c r="BY29" s="210">
        <f t="shared" si="23"/>
        <v>14620.905656362014</v>
      </c>
      <c r="BZ29" s="210">
        <f t="shared" si="23"/>
        <v>15131.964600264997</v>
      </c>
      <c r="CA29" s="210">
        <f t="shared" si="23"/>
        <v>15643.023544167976</v>
      </c>
      <c r="CB29" s="210">
        <f t="shared" si="23"/>
        <v>16154.082488070959</v>
      </c>
      <c r="CC29" s="210">
        <f t="shared" si="23"/>
        <v>16665.141431973938</v>
      </c>
      <c r="CD29" s="210">
        <f t="shared" si="23"/>
        <v>17176.200375876921</v>
      </c>
      <c r="CE29" s="210">
        <f t="shared" si="23"/>
        <v>17687.2593197799</v>
      </c>
      <c r="CF29" s="210">
        <f t="shared" si="23"/>
        <v>18198.318263682882</v>
      </c>
      <c r="CG29" s="210">
        <f t="shared" si="23"/>
        <v>18709.377207585861</v>
      </c>
      <c r="CH29" s="210">
        <f t="shared" si="24"/>
        <v>19767.577100262333</v>
      </c>
      <c r="CI29" s="210">
        <f t="shared" si="24"/>
        <v>20974.997251695222</v>
      </c>
      <c r="CJ29" s="210">
        <f t="shared" si="24"/>
        <v>22182.417403128107</v>
      </c>
      <c r="CK29" s="210">
        <f t="shared" si="24"/>
        <v>23389.837554560996</v>
      </c>
      <c r="CL29" s="210">
        <f t="shared" si="24"/>
        <v>24597.257705993881</v>
      </c>
      <c r="CM29" s="210">
        <f t="shared" si="24"/>
        <v>25804.677857426766</v>
      </c>
      <c r="CN29" s="210">
        <f t="shared" si="24"/>
        <v>27012.098008859655</v>
      </c>
      <c r="CO29" s="210">
        <f t="shared" si="24"/>
        <v>28219.518160292544</v>
      </c>
      <c r="CP29" s="210">
        <f t="shared" si="24"/>
        <v>29426.938311725429</v>
      </c>
      <c r="CQ29" s="210">
        <f t="shared" si="24"/>
        <v>30634.358463158314</v>
      </c>
      <c r="CR29" s="210">
        <f t="shared" si="25"/>
        <v>31841.778614591203</v>
      </c>
      <c r="CS29" s="210">
        <f t="shared" si="25"/>
        <v>33049.198766024092</v>
      </c>
      <c r="CT29" s="210">
        <f t="shared" si="25"/>
        <v>34256.618917456974</v>
      </c>
      <c r="CU29" s="210">
        <f t="shared" si="25"/>
        <v>35464.039068889862</v>
      </c>
      <c r="CV29" s="210">
        <f t="shared" si="25"/>
        <v>36671.459220322751</v>
      </c>
      <c r="CW29" s="210">
        <f t="shared" si="25"/>
        <v>37878.87937175564</v>
      </c>
      <c r="CX29" s="210">
        <f t="shared" si="25"/>
        <v>38310.100854410244</v>
      </c>
      <c r="CY29" s="210">
        <f t="shared" si="25"/>
        <v>38310.100854410244</v>
      </c>
      <c r="CZ29" s="210">
        <f t="shared" si="25"/>
        <v>38310.100854410244</v>
      </c>
      <c r="DA29" s="210">
        <f t="shared" si="25"/>
        <v>38310.100854410244</v>
      </c>
    </row>
    <row r="30" spans="1:105">
      <c r="A30" s="201" t="str">
        <f>Income!A77</f>
        <v>Wild foods consumed and sold</v>
      </c>
      <c r="B30" s="203">
        <f>Income!B77</f>
        <v>333.71108722934315</v>
      </c>
      <c r="C30" s="203">
        <f>Income!C77</f>
        <v>261.67846338279497</v>
      </c>
      <c r="D30" s="203">
        <f>Income!D77</f>
        <v>39.394324544774676</v>
      </c>
      <c r="E30" s="203">
        <f>Income!E77</f>
        <v>31.033762813527726</v>
      </c>
      <c r="F30" s="210">
        <f t="shared" si="16"/>
        <v>333.71108722934315</v>
      </c>
      <c r="G30" s="210">
        <f t="shared" si="16"/>
        <v>333.71108722934315</v>
      </c>
      <c r="H30" s="210">
        <f t="shared" si="16"/>
        <v>333.71108722934315</v>
      </c>
      <c r="I30" s="210">
        <f t="shared" si="16"/>
        <v>333.71108722934315</v>
      </c>
      <c r="J30" s="210">
        <f t="shared" si="16"/>
        <v>333.71108722934315</v>
      </c>
      <c r="K30" s="210">
        <f t="shared" si="16"/>
        <v>333.71108722934315</v>
      </c>
      <c r="L30" s="210">
        <f t="shared" si="16"/>
        <v>333.71108722934315</v>
      </c>
      <c r="M30" s="210">
        <f t="shared" si="16"/>
        <v>333.71108722934315</v>
      </c>
      <c r="N30" s="210">
        <f t="shared" si="16"/>
        <v>333.71108722934315</v>
      </c>
      <c r="O30" s="210">
        <f t="shared" si="16"/>
        <v>333.71108722934315</v>
      </c>
      <c r="P30" s="210">
        <f t="shared" si="17"/>
        <v>333.71108722934315</v>
      </c>
      <c r="Q30" s="210">
        <f t="shared" si="17"/>
        <v>333.71108722934315</v>
      </c>
      <c r="R30" s="210">
        <f t="shared" si="17"/>
        <v>333.71108722934315</v>
      </c>
      <c r="S30" s="210">
        <f t="shared" si="17"/>
        <v>333.71108722934315</v>
      </c>
      <c r="T30" s="210">
        <f t="shared" si="17"/>
        <v>333.71108722934315</v>
      </c>
      <c r="U30" s="210">
        <f t="shared" si="17"/>
        <v>333.71108722934315</v>
      </c>
      <c r="V30" s="210">
        <f t="shared" si="17"/>
        <v>333.71108722934315</v>
      </c>
      <c r="W30" s="210">
        <f t="shared" si="17"/>
        <v>333.71108722934315</v>
      </c>
      <c r="X30" s="210">
        <f t="shared" si="17"/>
        <v>332.64731430333927</v>
      </c>
      <c r="Y30" s="210">
        <f t="shared" si="17"/>
        <v>330.51976845133152</v>
      </c>
      <c r="Z30" s="210">
        <f t="shared" si="18"/>
        <v>328.39222259932376</v>
      </c>
      <c r="AA30" s="210">
        <f t="shared" si="18"/>
        <v>326.264676747316</v>
      </c>
      <c r="AB30" s="210">
        <f t="shared" si="18"/>
        <v>324.13713089530825</v>
      </c>
      <c r="AC30" s="210">
        <f t="shared" si="18"/>
        <v>322.00958504330049</v>
      </c>
      <c r="AD30" s="210">
        <f t="shared" si="18"/>
        <v>319.88203919129279</v>
      </c>
      <c r="AE30" s="210">
        <f t="shared" si="18"/>
        <v>317.75449333928503</v>
      </c>
      <c r="AF30" s="210">
        <f t="shared" si="18"/>
        <v>315.62694748727728</v>
      </c>
      <c r="AG30" s="210">
        <f t="shared" si="18"/>
        <v>313.49940163526952</v>
      </c>
      <c r="AH30" s="210">
        <f t="shared" si="18"/>
        <v>311.37185578326176</v>
      </c>
      <c r="AI30" s="210">
        <f t="shared" si="18"/>
        <v>309.24430993125401</v>
      </c>
      <c r="AJ30" s="210">
        <f t="shared" si="19"/>
        <v>307.11676407924625</v>
      </c>
      <c r="AK30" s="210">
        <f t="shared" si="19"/>
        <v>304.9892182272385</v>
      </c>
      <c r="AL30" s="210">
        <f t="shared" si="19"/>
        <v>302.86167237523074</v>
      </c>
      <c r="AM30" s="210">
        <f t="shared" si="19"/>
        <v>300.73412652322298</v>
      </c>
      <c r="AN30" s="210">
        <f t="shared" si="19"/>
        <v>298.60658067121523</v>
      </c>
      <c r="AO30" s="210">
        <f t="shared" si="19"/>
        <v>296.47903481920747</v>
      </c>
      <c r="AP30" s="210">
        <f t="shared" si="19"/>
        <v>294.35148896719977</v>
      </c>
      <c r="AQ30" s="210">
        <f t="shared" si="19"/>
        <v>292.22394311519201</v>
      </c>
      <c r="AR30" s="210">
        <f t="shared" si="19"/>
        <v>290.09639726318426</v>
      </c>
      <c r="AS30" s="210">
        <f t="shared" si="19"/>
        <v>287.9688514111765</v>
      </c>
      <c r="AT30" s="210">
        <f t="shared" si="20"/>
        <v>285.84130555916875</v>
      </c>
      <c r="AU30" s="210">
        <f t="shared" si="20"/>
        <v>283.71375970716099</v>
      </c>
      <c r="AV30" s="210">
        <f t="shared" si="20"/>
        <v>281.58621385515323</v>
      </c>
      <c r="AW30" s="210">
        <f t="shared" si="20"/>
        <v>279.45866800314548</v>
      </c>
      <c r="AX30" s="210">
        <f t="shared" si="20"/>
        <v>277.33112215113772</v>
      </c>
      <c r="AY30" s="210">
        <f t="shared" si="20"/>
        <v>275.20357629912996</v>
      </c>
      <c r="AZ30" s="210">
        <f t="shared" si="20"/>
        <v>273.07603044712221</v>
      </c>
      <c r="BA30" s="210">
        <f t="shared" si="20"/>
        <v>270.94848459511445</v>
      </c>
      <c r="BB30" s="210">
        <f t="shared" si="20"/>
        <v>268.82093874310669</v>
      </c>
      <c r="BC30" s="210">
        <f t="shared" si="20"/>
        <v>266.69339289109894</v>
      </c>
      <c r="BD30" s="210">
        <f t="shared" si="21"/>
        <v>264.56584703909124</v>
      </c>
      <c r="BE30" s="210">
        <f t="shared" si="21"/>
        <v>262.43830118708343</v>
      </c>
      <c r="BF30" s="210">
        <f t="shared" si="21"/>
        <v>256.54882940960994</v>
      </c>
      <c r="BG30" s="210">
        <f t="shared" si="21"/>
        <v>248.56939878465536</v>
      </c>
      <c r="BH30" s="210">
        <f t="shared" si="21"/>
        <v>240.58996815970079</v>
      </c>
      <c r="BI30" s="210">
        <f t="shared" si="21"/>
        <v>232.61053753474621</v>
      </c>
      <c r="BJ30" s="210">
        <f t="shared" si="21"/>
        <v>224.63110690979164</v>
      </c>
      <c r="BK30" s="210">
        <f t="shared" si="21"/>
        <v>216.65167628483707</v>
      </c>
      <c r="BL30" s="210">
        <f t="shared" si="21"/>
        <v>208.67224565988249</v>
      </c>
      <c r="BM30" s="210">
        <f t="shared" si="21"/>
        <v>200.69281503492792</v>
      </c>
      <c r="BN30" s="210">
        <f t="shared" si="22"/>
        <v>192.71338440997334</v>
      </c>
      <c r="BO30" s="210">
        <f t="shared" si="22"/>
        <v>184.73395378501877</v>
      </c>
      <c r="BP30" s="210">
        <f t="shared" si="22"/>
        <v>176.7545231600642</v>
      </c>
      <c r="BQ30" s="210">
        <f t="shared" si="22"/>
        <v>168.77509253510962</v>
      </c>
      <c r="BR30" s="210">
        <f t="shared" si="22"/>
        <v>160.79566191015505</v>
      </c>
      <c r="BS30" s="210">
        <f t="shared" si="22"/>
        <v>152.81623128520047</v>
      </c>
      <c r="BT30" s="210">
        <f t="shared" si="22"/>
        <v>144.8368006602459</v>
      </c>
      <c r="BU30" s="210">
        <f t="shared" si="22"/>
        <v>136.85737003529132</v>
      </c>
      <c r="BV30" s="210">
        <f t="shared" si="22"/>
        <v>128.87793941033675</v>
      </c>
      <c r="BW30" s="210">
        <f t="shared" si="22"/>
        <v>120.89850878538218</v>
      </c>
      <c r="BX30" s="210">
        <f t="shared" si="23"/>
        <v>112.9190781604276</v>
      </c>
      <c r="BY30" s="210">
        <f t="shared" si="23"/>
        <v>104.93964753547303</v>
      </c>
      <c r="BZ30" s="210">
        <f t="shared" si="23"/>
        <v>96.960216910518483</v>
      </c>
      <c r="CA30" s="210">
        <f t="shared" si="23"/>
        <v>88.980786285563909</v>
      </c>
      <c r="CB30" s="210">
        <f t="shared" si="23"/>
        <v>81.001355660609335</v>
      </c>
      <c r="CC30" s="210">
        <f t="shared" si="23"/>
        <v>73.02192503565476</v>
      </c>
      <c r="CD30" s="210">
        <f t="shared" si="23"/>
        <v>65.042494410700158</v>
      </c>
      <c r="CE30" s="210">
        <f t="shared" si="23"/>
        <v>57.063063785745584</v>
      </c>
      <c r="CF30" s="210">
        <f t="shared" si="23"/>
        <v>49.08363316079101</v>
      </c>
      <c r="CG30" s="210">
        <f t="shared" si="23"/>
        <v>41.104202535836436</v>
      </c>
      <c r="CH30" s="210">
        <f t="shared" si="24"/>
        <v>38.987394549006027</v>
      </c>
      <c r="CI30" s="210">
        <f t="shared" si="24"/>
        <v>38.469483645300457</v>
      </c>
      <c r="CJ30" s="210">
        <f t="shared" si="24"/>
        <v>37.951572741594894</v>
      </c>
      <c r="CK30" s="210">
        <f t="shared" si="24"/>
        <v>37.433661837889332</v>
      </c>
      <c r="CL30" s="210">
        <f t="shared" si="24"/>
        <v>36.91575093418377</v>
      </c>
      <c r="CM30" s="210">
        <f t="shared" si="24"/>
        <v>36.397840030478207</v>
      </c>
      <c r="CN30" s="210">
        <f t="shared" si="24"/>
        <v>35.879929126772645</v>
      </c>
      <c r="CO30" s="210">
        <f t="shared" si="24"/>
        <v>35.362018223067082</v>
      </c>
      <c r="CP30" s="210">
        <f t="shared" si="24"/>
        <v>34.84410731936152</v>
      </c>
      <c r="CQ30" s="210">
        <f t="shared" si="24"/>
        <v>34.32619641565595</v>
      </c>
      <c r="CR30" s="210">
        <f t="shared" si="25"/>
        <v>33.808285511950388</v>
      </c>
      <c r="CS30" s="210">
        <f t="shared" si="25"/>
        <v>33.290374608244825</v>
      </c>
      <c r="CT30" s="210">
        <f t="shared" si="25"/>
        <v>32.772463704539263</v>
      </c>
      <c r="CU30" s="210">
        <f t="shared" si="25"/>
        <v>32.2545528008337</v>
      </c>
      <c r="CV30" s="210">
        <f t="shared" si="25"/>
        <v>31.736641897128138</v>
      </c>
      <c r="CW30" s="210">
        <f t="shared" si="25"/>
        <v>31.218730993422572</v>
      </c>
      <c r="CX30" s="210">
        <f t="shared" si="25"/>
        <v>31.033762813527726</v>
      </c>
      <c r="CY30" s="210">
        <f t="shared" si="25"/>
        <v>31.033762813527726</v>
      </c>
      <c r="CZ30" s="210">
        <f t="shared" si="25"/>
        <v>31.033762813527726</v>
      </c>
      <c r="DA30" s="210">
        <f t="shared" si="25"/>
        <v>31.033762813527726</v>
      </c>
    </row>
    <row r="31" spans="1:105">
      <c r="A31" s="201" t="str">
        <f>Income!A78</f>
        <v>Labour - casual</v>
      </c>
      <c r="B31" s="203">
        <f>Income!B78</f>
        <v>8702.9667565955206</v>
      </c>
      <c r="C31" s="203">
        <f>Income!C78</f>
        <v>10014.697008700983</v>
      </c>
      <c r="D31" s="203">
        <f>Income!D78</f>
        <v>8485.6669962713222</v>
      </c>
      <c r="E31" s="203">
        <f>Income!E78</f>
        <v>0</v>
      </c>
      <c r="F31" s="210">
        <f t="shared" si="16"/>
        <v>8702.9667565955206</v>
      </c>
      <c r="G31" s="210">
        <f t="shared" si="16"/>
        <v>8702.9667565955206</v>
      </c>
      <c r="H31" s="210">
        <f t="shared" si="16"/>
        <v>8702.9667565955206</v>
      </c>
      <c r="I31" s="210">
        <f t="shared" si="16"/>
        <v>8702.9667565955206</v>
      </c>
      <c r="J31" s="210">
        <f t="shared" si="16"/>
        <v>8702.9667565955206</v>
      </c>
      <c r="K31" s="210">
        <f t="shared" si="16"/>
        <v>8702.9667565955206</v>
      </c>
      <c r="L31" s="210">
        <f t="shared" si="16"/>
        <v>8702.9667565955206</v>
      </c>
      <c r="M31" s="210">
        <f t="shared" si="16"/>
        <v>8702.9667565955206</v>
      </c>
      <c r="N31" s="210">
        <f t="shared" si="16"/>
        <v>8702.9667565955206</v>
      </c>
      <c r="O31" s="210">
        <f t="shared" si="16"/>
        <v>8702.9667565955206</v>
      </c>
      <c r="P31" s="210">
        <f t="shared" si="17"/>
        <v>8702.9667565955206</v>
      </c>
      <c r="Q31" s="210">
        <f t="shared" si="17"/>
        <v>8702.9667565955206</v>
      </c>
      <c r="R31" s="210">
        <f t="shared" si="17"/>
        <v>8702.9667565955206</v>
      </c>
      <c r="S31" s="210">
        <f t="shared" si="17"/>
        <v>8702.9667565955206</v>
      </c>
      <c r="T31" s="210">
        <f t="shared" si="17"/>
        <v>8702.9667565955206</v>
      </c>
      <c r="U31" s="210">
        <f t="shared" si="17"/>
        <v>8702.9667565955206</v>
      </c>
      <c r="V31" s="210">
        <f t="shared" si="17"/>
        <v>8702.9667565955206</v>
      </c>
      <c r="W31" s="210">
        <f t="shared" si="17"/>
        <v>8702.9667565955206</v>
      </c>
      <c r="X31" s="210">
        <f t="shared" si="17"/>
        <v>8722.3383004029856</v>
      </c>
      <c r="Y31" s="210">
        <f t="shared" si="17"/>
        <v>8761.0813880179139</v>
      </c>
      <c r="Z31" s="210">
        <f t="shared" si="18"/>
        <v>8799.824475632844</v>
      </c>
      <c r="AA31" s="210">
        <f t="shared" si="18"/>
        <v>8838.5675632477723</v>
      </c>
      <c r="AB31" s="210">
        <f t="shared" si="18"/>
        <v>8877.3106508627025</v>
      </c>
      <c r="AC31" s="210">
        <f t="shared" si="18"/>
        <v>8916.0537384776308</v>
      </c>
      <c r="AD31" s="210">
        <f t="shared" si="18"/>
        <v>8954.7968260925609</v>
      </c>
      <c r="AE31" s="210">
        <f t="shared" si="18"/>
        <v>8993.5399137074892</v>
      </c>
      <c r="AF31" s="210">
        <f t="shared" si="18"/>
        <v>9032.2830013224193</v>
      </c>
      <c r="AG31" s="210">
        <f t="shared" si="18"/>
        <v>9071.0260889373494</v>
      </c>
      <c r="AH31" s="210">
        <f t="shared" si="18"/>
        <v>9109.7691765522777</v>
      </c>
      <c r="AI31" s="210">
        <f t="shared" si="18"/>
        <v>9148.5122641672078</v>
      </c>
      <c r="AJ31" s="210">
        <f t="shared" si="19"/>
        <v>9187.2553517821361</v>
      </c>
      <c r="AK31" s="210">
        <f t="shared" si="19"/>
        <v>9225.9984393970662</v>
      </c>
      <c r="AL31" s="210">
        <f t="shared" si="19"/>
        <v>9264.7415270119945</v>
      </c>
      <c r="AM31" s="210">
        <f t="shared" si="19"/>
        <v>9303.4846146269247</v>
      </c>
      <c r="AN31" s="210">
        <f t="shared" si="19"/>
        <v>9342.227702241853</v>
      </c>
      <c r="AO31" s="210">
        <f t="shared" si="19"/>
        <v>9380.9707898567831</v>
      </c>
      <c r="AP31" s="210">
        <f t="shared" si="19"/>
        <v>9419.7138774717114</v>
      </c>
      <c r="AQ31" s="210">
        <f t="shared" si="19"/>
        <v>9458.4569650866415</v>
      </c>
      <c r="AR31" s="210">
        <f t="shared" si="19"/>
        <v>9497.2000527015698</v>
      </c>
      <c r="AS31" s="210">
        <f t="shared" si="19"/>
        <v>9535.9431403164999</v>
      </c>
      <c r="AT31" s="210">
        <f t="shared" si="20"/>
        <v>9574.68622793143</v>
      </c>
      <c r="AU31" s="210">
        <f t="shared" si="20"/>
        <v>9613.4293155463583</v>
      </c>
      <c r="AV31" s="210">
        <f t="shared" si="20"/>
        <v>9652.1724031612885</v>
      </c>
      <c r="AW31" s="210">
        <f t="shared" si="20"/>
        <v>9690.9154907762168</v>
      </c>
      <c r="AX31" s="210">
        <f t="shared" si="20"/>
        <v>9729.6585783911469</v>
      </c>
      <c r="AY31" s="210">
        <f t="shared" si="20"/>
        <v>9768.4016660060752</v>
      </c>
      <c r="AZ31" s="210">
        <f t="shared" si="20"/>
        <v>9807.1447536210053</v>
      </c>
      <c r="BA31" s="210">
        <f t="shared" si="20"/>
        <v>9845.8878412359336</v>
      </c>
      <c r="BB31" s="210">
        <f t="shared" si="20"/>
        <v>9884.6309288508637</v>
      </c>
      <c r="BC31" s="210">
        <f t="shared" si="20"/>
        <v>9923.374016465792</v>
      </c>
      <c r="BD31" s="210">
        <f t="shared" si="21"/>
        <v>9962.1171040807221</v>
      </c>
      <c r="BE31" s="210">
        <f t="shared" si="21"/>
        <v>10000.86019169565</v>
      </c>
      <c r="BF31" s="210">
        <f t="shared" si="21"/>
        <v>9979.4117007218374</v>
      </c>
      <c r="BG31" s="210">
        <f t="shared" si="21"/>
        <v>9924.5234438653879</v>
      </c>
      <c r="BH31" s="210">
        <f t="shared" si="21"/>
        <v>9869.6351870089384</v>
      </c>
      <c r="BI31" s="210">
        <f t="shared" si="21"/>
        <v>9814.7469301524889</v>
      </c>
      <c r="BJ31" s="210">
        <f t="shared" si="21"/>
        <v>9759.8586732960393</v>
      </c>
      <c r="BK31" s="210">
        <f t="shared" si="21"/>
        <v>9704.9704164395898</v>
      </c>
      <c r="BL31" s="210">
        <f t="shared" si="21"/>
        <v>9650.0821595831403</v>
      </c>
      <c r="BM31" s="210">
        <f t="shared" si="21"/>
        <v>9595.1939027266926</v>
      </c>
      <c r="BN31" s="210">
        <f t="shared" si="22"/>
        <v>9540.3056458702431</v>
      </c>
      <c r="BO31" s="210">
        <f t="shared" si="22"/>
        <v>9485.4173890137936</v>
      </c>
      <c r="BP31" s="210">
        <f t="shared" si="22"/>
        <v>9430.5291321573441</v>
      </c>
      <c r="BQ31" s="210">
        <f t="shared" si="22"/>
        <v>9375.6408753008945</v>
      </c>
      <c r="BR31" s="210">
        <f t="shared" si="22"/>
        <v>9320.752618444445</v>
      </c>
      <c r="BS31" s="210">
        <f t="shared" si="22"/>
        <v>9265.8643615879955</v>
      </c>
      <c r="BT31" s="210">
        <f t="shared" si="22"/>
        <v>9210.976104731546</v>
      </c>
      <c r="BU31" s="210">
        <f t="shared" si="22"/>
        <v>9156.0878478750965</v>
      </c>
      <c r="BV31" s="210">
        <f t="shared" si="22"/>
        <v>9101.199591018647</v>
      </c>
      <c r="BW31" s="210">
        <f t="shared" si="22"/>
        <v>9046.3113341621975</v>
      </c>
      <c r="BX31" s="210">
        <f t="shared" si="23"/>
        <v>8991.4230773057498</v>
      </c>
      <c r="BY31" s="210">
        <f t="shared" si="23"/>
        <v>8936.5348204493002</v>
      </c>
      <c r="BZ31" s="210">
        <f t="shared" si="23"/>
        <v>8881.6465635928507</v>
      </c>
      <c r="CA31" s="210">
        <f t="shared" si="23"/>
        <v>8826.7583067364012</v>
      </c>
      <c r="CB31" s="210">
        <f t="shared" si="23"/>
        <v>8771.8700498799517</v>
      </c>
      <c r="CC31" s="210">
        <f t="shared" si="23"/>
        <v>8716.9817930235022</v>
      </c>
      <c r="CD31" s="210">
        <f t="shared" si="23"/>
        <v>8662.0935361670527</v>
      </c>
      <c r="CE31" s="210">
        <f t="shared" si="23"/>
        <v>8607.2052793106031</v>
      </c>
      <c r="CF31" s="210">
        <f t="shared" si="23"/>
        <v>8552.3170224541536</v>
      </c>
      <c r="CG31" s="210">
        <f t="shared" si="23"/>
        <v>8497.4287655977041</v>
      </c>
      <c r="CH31" s="210">
        <f t="shared" si="24"/>
        <v>8072.647806187324</v>
      </c>
      <c r="CI31" s="210">
        <f t="shared" si="24"/>
        <v>7546.9870188076848</v>
      </c>
      <c r="CJ31" s="210">
        <f t="shared" si="24"/>
        <v>7021.3262314280446</v>
      </c>
      <c r="CK31" s="210">
        <f t="shared" si="24"/>
        <v>6495.6654440484053</v>
      </c>
      <c r="CL31" s="210">
        <f t="shared" si="24"/>
        <v>5970.0046566687652</v>
      </c>
      <c r="CM31" s="210">
        <f t="shared" si="24"/>
        <v>5444.3438692891268</v>
      </c>
      <c r="CN31" s="210">
        <f t="shared" si="24"/>
        <v>4918.6830819094866</v>
      </c>
      <c r="CO31" s="210">
        <f t="shared" si="24"/>
        <v>4393.0222945298474</v>
      </c>
      <c r="CP31" s="210">
        <f t="shared" si="24"/>
        <v>3867.3615071502072</v>
      </c>
      <c r="CQ31" s="210">
        <f t="shared" si="24"/>
        <v>3341.700719770568</v>
      </c>
      <c r="CR31" s="210">
        <f t="shared" si="25"/>
        <v>2816.0399323909278</v>
      </c>
      <c r="CS31" s="210">
        <f t="shared" si="25"/>
        <v>2290.3791450112885</v>
      </c>
      <c r="CT31" s="210">
        <f t="shared" si="25"/>
        <v>1764.7183576316493</v>
      </c>
      <c r="CU31" s="210">
        <f t="shared" si="25"/>
        <v>1239.05757025201</v>
      </c>
      <c r="CV31" s="210">
        <f t="shared" si="25"/>
        <v>713.39678287237075</v>
      </c>
      <c r="CW31" s="210">
        <f t="shared" si="25"/>
        <v>187.73599549273058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53170.498356510943</v>
      </c>
      <c r="E32" s="203">
        <f>Income!E79</f>
        <v>192985.96125247487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1227.01150053486</v>
      </c>
      <c r="BG32" s="210">
        <f t="shared" si="21"/>
        <v>3135.6960569224316</v>
      </c>
      <c r="BH32" s="210">
        <f t="shared" si="21"/>
        <v>5044.3806133100043</v>
      </c>
      <c r="BI32" s="210">
        <f t="shared" si="21"/>
        <v>6953.0651696975765</v>
      </c>
      <c r="BJ32" s="210">
        <f t="shared" si="21"/>
        <v>8861.7497260851487</v>
      </c>
      <c r="BK32" s="210">
        <f t="shared" si="21"/>
        <v>10770.434282472719</v>
      </c>
      <c r="BL32" s="210">
        <f t="shared" si="21"/>
        <v>12679.118838860291</v>
      </c>
      <c r="BM32" s="210">
        <f t="shared" si="21"/>
        <v>14587.803395247864</v>
      </c>
      <c r="BN32" s="210">
        <f t="shared" si="22"/>
        <v>16496.487951635434</v>
      </c>
      <c r="BO32" s="210">
        <f t="shared" si="22"/>
        <v>18405.172508023006</v>
      </c>
      <c r="BP32" s="210">
        <f t="shared" si="22"/>
        <v>20313.857064410578</v>
      </c>
      <c r="BQ32" s="210">
        <f t="shared" si="22"/>
        <v>22222.541620798154</v>
      </c>
      <c r="BR32" s="210">
        <f t="shared" si="22"/>
        <v>24131.226177185723</v>
      </c>
      <c r="BS32" s="210">
        <f t="shared" si="22"/>
        <v>26039.910733573299</v>
      </c>
      <c r="BT32" s="210">
        <f t="shared" si="22"/>
        <v>27948.595289960867</v>
      </c>
      <c r="BU32" s="210">
        <f t="shared" si="22"/>
        <v>29857.279846348443</v>
      </c>
      <c r="BV32" s="210">
        <f t="shared" si="22"/>
        <v>31765.964402736012</v>
      </c>
      <c r="BW32" s="210">
        <f t="shared" si="22"/>
        <v>33674.648959123588</v>
      </c>
      <c r="BX32" s="210">
        <f t="shared" si="23"/>
        <v>35583.333515511156</v>
      </c>
      <c r="BY32" s="210">
        <f t="shared" si="23"/>
        <v>37492.018071898732</v>
      </c>
      <c r="BZ32" s="210">
        <f t="shared" si="23"/>
        <v>39400.702628286301</v>
      </c>
      <c r="CA32" s="210">
        <f t="shared" si="23"/>
        <v>41309.387184673869</v>
      </c>
      <c r="CB32" s="210">
        <f t="shared" si="23"/>
        <v>43218.071741061445</v>
      </c>
      <c r="CC32" s="210">
        <f t="shared" si="23"/>
        <v>45126.756297449021</v>
      </c>
      <c r="CD32" s="210">
        <f t="shared" si="23"/>
        <v>47035.44085383659</v>
      </c>
      <c r="CE32" s="210">
        <f t="shared" si="23"/>
        <v>48944.125410224158</v>
      </c>
      <c r="CF32" s="210">
        <f t="shared" si="23"/>
        <v>50852.809966611734</v>
      </c>
      <c r="CG32" s="210">
        <f t="shared" si="23"/>
        <v>52761.49452299931</v>
      </c>
      <c r="CH32" s="210">
        <f t="shared" si="24"/>
        <v>59975.675754102042</v>
      </c>
      <c r="CI32" s="210">
        <f t="shared" si="24"/>
        <v>68636.810623763522</v>
      </c>
      <c r="CJ32" s="210">
        <f t="shared" si="24"/>
        <v>77297.94549342501</v>
      </c>
      <c r="CK32" s="210">
        <f t="shared" si="24"/>
        <v>85959.080363086483</v>
      </c>
      <c r="CL32" s="210">
        <f t="shared" si="24"/>
        <v>94620.215232747985</v>
      </c>
      <c r="CM32" s="210">
        <f t="shared" si="24"/>
        <v>103281.35010240946</v>
      </c>
      <c r="CN32" s="210">
        <f t="shared" si="24"/>
        <v>111942.48497207095</v>
      </c>
      <c r="CO32" s="210">
        <f t="shared" si="24"/>
        <v>120603.61984173243</v>
      </c>
      <c r="CP32" s="210">
        <f t="shared" si="24"/>
        <v>129264.75471139391</v>
      </c>
      <c r="CQ32" s="210">
        <f t="shared" si="24"/>
        <v>137925.88958105538</v>
      </c>
      <c r="CR32" s="210">
        <f t="shared" si="25"/>
        <v>146587.02445071685</v>
      </c>
      <c r="CS32" s="210">
        <f t="shared" si="25"/>
        <v>155248.15932037839</v>
      </c>
      <c r="CT32" s="210">
        <f t="shared" si="25"/>
        <v>163909.29419003986</v>
      </c>
      <c r="CU32" s="210">
        <f t="shared" si="25"/>
        <v>172570.42905970133</v>
      </c>
      <c r="CV32" s="210">
        <f t="shared" si="25"/>
        <v>181231.5639293628</v>
      </c>
      <c r="CW32" s="210">
        <f t="shared" si="25"/>
        <v>189892.69879902428</v>
      </c>
      <c r="CX32" s="210">
        <f t="shared" si="25"/>
        <v>192985.96125247487</v>
      </c>
      <c r="CY32" s="210">
        <f t="shared" si="25"/>
        <v>192985.96125247487</v>
      </c>
      <c r="CZ32" s="210">
        <f t="shared" si="25"/>
        <v>192985.96125247487</v>
      </c>
      <c r="DA32" s="210">
        <f t="shared" si="25"/>
        <v>192985.96125247487</v>
      </c>
    </row>
    <row r="33" spans="1:105">
      <c r="A33" s="201" t="str">
        <f>Income!A81</f>
        <v>Self - employment</v>
      </c>
      <c r="B33" s="203">
        <f>Income!B81</f>
        <v>3573.9949308508735</v>
      </c>
      <c r="C33" s="203">
        <f>Income!C81</f>
        <v>2516.3219091356141</v>
      </c>
      <c r="D33" s="203">
        <f>Income!D81</f>
        <v>13414.443132194307</v>
      </c>
      <c r="E33" s="203">
        <f>Income!E81</f>
        <v>1464.7520208405217</v>
      </c>
      <c r="F33" s="210">
        <f t="shared" si="16"/>
        <v>3573.9949308508735</v>
      </c>
      <c r="G33" s="210">
        <f t="shared" si="16"/>
        <v>3573.9949308508735</v>
      </c>
      <c r="H33" s="210">
        <f t="shared" si="16"/>
        <v>3573.9949308508735</v>
      </c>
      <c r="I33" s="210">
        <f t="shared" si="16"/>
        <v>3573.9949308508735</v>
      </c>
      <c r="J33" s="210">
        <f t="shared" si="16"/>
        <v>3573.9949308508735</v>
      </c>
      <c r="K33" s="210">
        <f t="shared" si="16"/>
        <v>3573.9949308508735</v>
      </c>
      <c r="L33" s="210">
        <f t="shared" si="16"/>
        <v>3573.9949308508735</v>
      </c>
      <c r="M33" s="210">
        <f t="shared" si="16"/>
        <v>3573.9949308508735</v>
      </c>
      <c r="N33" s="210">
        <f t="shared" si="16"/>
        <v>3573.9949308508735</v>
      </c>
      <c r="O33" s="210">
        <f t="shared" si="16"/>
        <v>3573.9949308508735</v>
      </c>
      <c r="P33" s="210">
        <f t="shared" si="17"/>
        <v>3573.9949308508735</v>
      </c>
      <c r="Q33" s="210">
        <f t="shared" si="17"/>
        <v>3573.9949308508735</v>
      </c>
      <c r="R33" s="210">
        <f t="shared" si="17"/>
        <v>3573.9949308508735</v>
      </c>
      <c r="S33" s="210">
        <f t="shared" si="17"/>
        <v>3573.9949308508735</v>
      </c>
      <c r="T33" s="210">
        <f t="shared" si="17"/>
        <v>3573.9949308508735</v>
      </c>
      <c r="U33" s="210">
        <f t="shared" si="17"/>
        <v>3573.9949308508735</v>
      </c>
      <c r="V33" s="210">
        <f t="shared" si="17"/>
        <v>3573.9949308508735</v>
      </c>
      <c r="W33" s="210">
        <f t="shared" si="17"/>
        <v>3573.9949308508735</v>
      </c>
      <c r="X33" s="210">
        <f t="shared" si="17"/>
        <v>3558.3752870702683</v>
      </c>
      <c r="Y33" s="210">
        <f t="shared" si="17"/>
        <v>3527.1359995090584</v>
      </c>
      <c r="Z33" s="210">
        <f t="shared" si="18"/>
        <v>3495.896711947848</v>
      </c>
      <c r="AA33" s="210">
        <f t="shared" si="18"/>
        <v>3464.657424386638</v>
      </c>
      <c r="AB33" s="210">
        <f t="shared" si="18"/>
        <v>3433.4181368254276</v>
      </c>
      <c r="AC33" s="210">
        <f t="shared" si="18"/>
        <v>3402.1788492642177</v>
      </c>
      <c r="AD33" s="210">
        <f t="shared" si="18"/>
        <v>3370.9395617030073</v>
      </c>
      <c r="AE33" s="210">
        <f t="shared" si="18"/>
        <v>3339.7002741417973</v>
      </c>
      <c r="AF33" s="210">
        <f t="shared" si="18"/>
        <v>3308.4609865805869</v>
      </c>
      <c r="AG33" s="210">
        <f t="shared" si="18"/>
        <v>3277.2216990193765</v>
      </c>
      <c r="AH33" s="210">
        <f t="shared" si="18"/>
        <v>3245.9824114581666</v>
      </c>
      <c r="AI33" s="210">
        <f t="shared" si="18"/>
        <v>3214.7431238969561</v>
      </c>
      <c r="AJ33" s="210">
        <f t="shared" si="19"/>
        <v>3183.5038363357462</v>
      </c>
      <c r="AK33" s="210">
        <f t="shared" si="19"/>
        <v>3152.2645487745358</v>
      </c>
      <c r="AL33" s="210">
        <f t="shared" si="19"/>
        <v>3121.0252612133258</v>
      </c>
      <c r="AM33" s="210">
        <f t="shared" si="19"/>
        <v>3089.7859736521154</v>
      </c>
      <c r="AN33" s="210">
        <f t="shared" si="19"/>
        <v>3058.5466860909055</v>
      </c>
      <c r="AO33" s="210">
        <f t="shared" si="19"/>
        <v>3027.3073985296951</v>
      </c>
      <c r="AP33" s="210">
        <f t="shared" si="19"/>
        <v>2996.0681109684851</v>
      </c>
      <c r="AQ33" s="210">
        <f t="shared" si="19"/>
        <v>2964.8288234072747</v>
      </c>
      <c r="AR33" s="210">
        <f t="shared" si="19"/>
        <v>2933.5895358460648</v>
      </c>
      <c r="AS33" s="210">
        <f t="shared" si="19"/>
        <v>2902.3502482848544</v>
      </c>
      <c r="AT33" s="210">
        <f t="shared" si="20"/>
        <v>2871.1109607236444</v>
      </c>
      <c r="AU33" s="210">
        <f t="shared" si="20"/>
        <v>2839.871673162434</v>
      </c>
      <c r="AV33" s="210">
        <f t="shared" si="20"/>
        <v>2808.6323856012241</v>
      </c>
      <c r="AW33" s="210">
        <f t="shared" si="20"/>
        <v>2777.3930980400137</v>
      </c>
      <c r="AX33" s="210">
        <f t="shared" si="20"/>
        <v>2746.1538104788033</v>
      </c>
      <c r="AY33" s="210">
        <f t="shared" si="20"/>
        <v>2714.9145229175933</v>
      </c>
      <c r="AZ33" s="210">
        <f t="shared" si="20"/>
        <v>2683.6752353563829</v>
      </c>
      <c r="BA33" s="210">
        <f t="shared" si="20"/>
        <v>2652.435947795173</v>
      </c>
      <c r="BB33" s="210">
        <f t="shared" si="20"/>
        <v>2621.1966602339626</v>
      </c>
      <c r="BC33" s="210">
        <f t="shared" si="20"/>
        <v>2589.9573726727526</v>
      </c>
      <c r="BD33" s="210">
        <f t="shared" si="21"/>
        <v>2558.7180851115422</v>
      </c>
      <c r="BE33" s="210">
        <f t="shared" si="21"/>
        <v>2527.4787975503323</v>
      </c>
      <c r="BF33" s="210">
        <f t="shared" si="21"/>
        <v>2767.8170142831209</v>
      </c>
      <c r="BG33" s="210">
        <f t="shared" si="21"/>
        <v>3159.0316222903557</v>
      </c>
      <c r="BH33" s="210">
        <f t="shared" si="21"/>
        <v>3550.246230297591</v>
      </c>
      <c r="BI33" s="210">
        <f t="shared" si="21"/>
        <v>3941.4608383048262</v>
      </c>
      <c r="BJ33" s="210">
        <f t="shared" si="21"/>
        <v>4332.6754463120615</v>
      </c>
      <c r="BK33" s="210">
        <f t="shared" si="21"/>
        <v>4723.8900543192958</v>
      </c>
      <c r="BL33" s="210">
        <f t="shared" si="21"/>
        <v>5115.1046623265311</v>
      </c>
      <c r="BM33" s="210">
        <f t="shared" si="21"/>
        <v>5506.3192703337663</v>
      </c>
      <c r="BN33" s="210">
        <f t="shared" si="22"/>
        <v>5897.5338783410016</v>
      </c>
      <c r="BO33" s="210">
        <f t="shared" si="22"/>
        <v>6288.7484863482368</v>
      </c>
      <c r="BP33" s="210">
        <f t="shared" si="22"/>
        <v>6679.9630943554712</v>
      </c>
      <c r="BQ33" s="210">
        <f t="shared" si="22"/>
        <v>7071.1777023627064</v>
      </c>
      <c r="BR33" s="210">
        <f t="shared" si="22"/>
        <v>7462.3923103699417</v>
      </c>
      <c r="BS33" s="210">
        <f t="shared" si="22"/>
        <v>7853.606918377177</v>
      </c>
      <c r="BT33" s="210">
        <f t="shared" si="22"/>
        <v>8244.8215263844122</v>
      </c>
      <c r="BU33" s="210">
        <f t="shared" si="22"/>
        <v>8636.0361343916484</v>
      </c>
      <c r="BV33" s="210">
        <f t="shared" si="22"/>
        <v>9027.2507423988827</v>
      </c>
      <c r="BW33" s="210">
        <f t="shared" si="22"/>
        <v>9418.4653504061171</v>
      </c>
      <c r="BX33" s="210">
        <f t="shared" si="23"/>
        <v>9809.6799584133532</v>
      </c>
      <c r="BY33" s="210">
        <f t="shared" si="23"/>
        <v>10200.894566420588</v>
      </c>
      <c r="BZ33" s="210">
        <f t="shared" si="23"/>
        <v>10592.109174427822</v>
      </c>
      <c r="CA33" s="210">
        <f t="shared" si="23"/>
        <v>10983.323782435058</v>
      </c>
      <c r="CB33" s="210">
        <f t="shared" si="23"/>
        <v>11374.538390442292</v>
      </c>
      <c r="CC33" s="210">
        <f t="shared" si="23"/>
        <v>11765.752998449527</v>
      </c>
      <c r="CD33" s="210">
        <f t="shared" si="23"/>
        <v>12156.967606456761</v>
      </c>
      <c r="CE33" s="210">
        <f t="shared" si="23"/>
        <v>12548.182214463999</v>
      </c>
      <c r="CF33" s="210">
        <f t="shared" si="23"/>
        <v>12939.396822471233</v>
      </c>
      <c r="CG33" s="210">
        <f t="shared" si="23"/>
        <v>13330.611430478468</v>
      </c>
      <c r="CH33" s="210">
        <f t="shared" si="24"/>
        <v>12832.820998455854</v>
      </c>
      <c r="CI33" s="210">
        <f t="shared" si="24"/>
        <v>12092.574646425088</v>
      </c>
      <c r="CJ33" s="210">
        <f t="shared" si="24"/>
        <v>11352.328294394323</v>
      </c>
      <c r="CK33" s="210">
        <f t="shared" si="24"/>
        <v>10612.081942363557</v>
      </c>
      <c r="CL33" s="210">
        <f t="shared" si="24"/>
        <v>9871.835590332792</v>
      </c>
      <c r="CM33" s="210">
        <f t="shared" si="24"/>
        <v>9131.5892383020255</v>
      </c>
      <c r="CN33" s="210">
        <f t="shared" si="24"/>
        <v>8391.3428862712608</v>
      </c>
      <c r="CO33" s="210">
        <f t="shared" si="24"/>
        <v>7651.0965342404943</v>
      </c>
      <c r="CP33" s="210">
        <f t="shared" si="24"/>
        <v>6910.8501822097296</v>
      </c>
      <c r="CQ33" s="210">
        <f t="shared" si="24"/>
        <v>6170.6038301789631</v>
      </c>
      <c r="CR33" s="210">
        <f t="shared" si="25"/>
        <v>5430.3574781481975</v>
      </c>
      <c r="CS33" s="210">
        <f t="shared" si="25"/>
        <v>4690.1111261174319</v>
      </c>
      <c r="CT33" s="210">
        <f t="shared" si="25"/>
        <v>3949.8647740866672</v>
      </c>
      <c r="CU33" s="210">
        <f t="shared" si="25"/>
        <v>3209.6184220559007</v>
      </c>
      <c r="CV33" s="210">
        <f t="shared" si="25"/>
        <v>2469.3720700251361</v>
      </c>
      <c r="CW33" s="210">
        <f t="shared" si="25"/>
        <v>1729.1257179943714</v>
      </c>
      <c r="CX33" s="210">
        <f t="shared" si="25"/>
        <v>1464.7520208405217</v>
      </c>
      <c r="CY33" s="210">
        <f t="shared" si="25"/>
        <v>1464.7520208405217</v>
      </c>
      <c r="CZ33" s="210">
        <f t="shared" si="25"/>
        <v>1464.7520208405217</v>
      </c>
      <c r="DA33" s="210">
        <f t="shared" si="25"/>
        <v>1464.7520208405217</v>
      </c>
    </row>
    <row r="34" spans="1:105">
      <c r="A34" s="201" t="str">
        <f>Income!A82</f>
        <v>Small business/petty trading</v>
      </c>
      <c r="B34" s="203">
        <f>Income!B82</f>
        <v>878.85121250431325</v>
      </c>
      <c r="C34" s="203">
        <f>Income!C82</f>
        <v>2999.0797626709691</v>
      </c>
      <c r="D34" s="203">
        <f>Income!D82</f>
        <v>19891.332443014286</v>
      </c>
      <c r="E34" s="203">
        <f>Income!E82</f>
        <v>63180.613666935067</v>
      </c>
      <c r="F34" s="210">
        <f t="shared" si="16"/>
        <v>878.85121250431325</v>
      </c>
      <c r="G34" s="210">
        <f t="shared" si="16"/>
        <v>878.85121250431325</v>
      </c>
      <c r="H34" s="210">
        <f t="shared" si="16"/>
        <v>878.85121250431325</v>
      </c>
      <c r="I34" s="210">
        <f t="shared" si="16"/>
        <v>878.85121250431325</v>
      </c>
      <c r="J34" s="210">
        <f t="shared" si="16"/>
        <v>878.85121250431325</v>
      </c>
      <c r="K34" s="210">
        <f t="shared" si="16"/>
        <v>878.85121250431325</v>
      </c>
      <c r="L34" s="210">
        <f t="shared" si="16"/>
        <v>878.85121250431325</v>
      </c>
      <c r="M34" s="210">
        <f t="shared" si="16"/>
        <v>878.85121250431325</v>
      </c>
      <c r="N34" s="210">
        <f t="shared" si="16"/>
        <v>878.85121250431325</v>
      </c>
      <c r="O34" s="210">
        <f t="shared" si="16"/>
        <v>878.85121250431325</v>
      </c>
      <c r="P34" s="210">
        <f t="shared" si="17"/>
        <v>878.85121250431325</v>
      </c>
      <c r="Q34" s="210">
        <f t="shared" si="17"/>
        <v>878.85121250431325</v>
      </c>
      <c r="R34" s="210">
        <f t="shared" si="17"/>
        <v>878.85121250431325</v>
      </c>
      <c r="S34" s="210">
        <f t="shared" si="17"/>
        <v>878.85121250431325</v>
      </c>
      <c r="T34" s="210">
        <f t="shared" si="17"/>
        <v>878.85121250431325</v>
      </c>
      <c r="U34" s="210">
        <f t="shared" si="17"/>
        <v>878.85121250431325</v>
      </c>
      <c r="V34" s="210">
        <f t="shared" si="17"/>
        <v>878.85121250431325</v>
      </c>
      <c r="W34" s="210">
        <f t="shared" si="17"/>
        <v>878.85121250431325</v>
      </c>
      <c r="X34" s="210">
        <f t="shared" si="17"/>
        <v>910.16260459538205</v>
      </c>
      <c r="Y34" s="210">
        <f t="shared" si="17"/>
        <v>972.78538877751953</v>
      </c>
      <c r="Z34" s="210">
        <f t="shared" si="18"/>
        <v>1035.4081729596569</v>
      </c>
      <c r="AA34" s="210">
        <f t="shared" si="18"/>
        <v>1098.0309571417945</v>
      </c>
      <c r="AB34" s="210">
        <f t="shared" si="18"/>
        <v>1160.6537413239321</v>
      </c>
      <c r="AC34" s="210">
        <f t="shared" si="18"/>
        <v>1223.2765255060694</v>
      </c>
      <c r="AD34" s="210">
        <f t="shared" si="18"/>
        <v>1285.899309688207</v>
      </c>
      <c r="AE34" s="210">
        <f t="shared" si="18"/>
        <v>1348.5220938703446</v>
      </c>
      <c r="AF34" s="210">
        <f t="shared" si="18"/>
        <v>1411.144878052482</v>
      </c>
      <c r="AG34" s="210">
        <f t="shared" si="18"/>
        <v>1473.7676622346194</v>
      </c>
      <c r="AH34" s="210">
        <f t="shared" si="18"/>
        <v>1536.390446416757</v>
      </c>
      <c r="AI34" s="210">
        <f t="shared" si="18"/>
        <v>1599.0132305988946</v>
      </c>
      <c r="AJ34" s="210">
        <f t="shared" si="19"/>
        <v>1661.6360147810319</v>
      </c>
      <c r="AK34" s="210">
        <f t="shared" si="19"/>
        <v>1724.2587989631695</v>
      </c>
      <c r="AL34" s="210">
        <f t="shared" si="19"/>
        <v>1786.8815831453071</v>
      </c>
      <c r="AM34" s="210">
        <f t="shared" si="19"/>
        <v>1849.5043673274445</v>
      </c>
      <c r="AN34" s="210">
        <f t="shared" si="19"/>
        <v>1912.1271515095818</v>
      </c>
      <c r="AO34" s="210">
        <f t="shared" si="19"/>
        <v>1974.7499356917197</v>
      </c>
      <c r="AP34" s="210">
        <f t="shared" si="19"/>
        <v>2037.3727198738568</v>
      </c>
      <c r="AQ34" s="210">
        <f t="shared" si="19"/>
        <v>2099.9955040559944</v>
      </c>
      <c r="AR34" s="210">
        <f t="shared" si="19"/>
        <v>2162.6182882381318</v>
      </c>
      <c r="AS34" s="210">
        <f t="shared" si="19"/>
        <v>2225.2410724202696</v>
      </c>
      <c r="AT34" s="210">
        <f t="shared" si="20"/>
        <v>2287.8638566024069</v>
      </c>
      <c r="AU34" s="210">
        <f t="shared" si="20"/>
        <v>2350.4866407845448</v>
      </c>
      <c r="AV34" s="210">
        <f t="shared" si="20"/>
        <v>2413.1094249666821</v>
      </c>
      <c r="AW34" s="210">
        <f t="shared" si="20"/>
        <v>2475.7322091488195</v>
      </c>
      <c r="AX34" s="210">
        <f t="shared" si="20"/>
        <v>2538.3549933309569</v>
      </c>
      <c r="AY34" s="210">
        <f t="shared" si="20"/>
        <v>2600.9777775130947</v>
      </c>
      <c r="AZ34" s="210">
        <f t="shared" si="20"/>
        <v>2663.6005616952316</v>
      </c>
      <c r="BA34" s="210">
        <f t="shared" si="20"/>
        <v>2726.2233458773699</v>
      </c>
      <c r="BB34" s="210">
        <f t="shared" si="20"/>
        <v>2788.8461300595072</v>
      </c>
      <c r="BC34" s="210">
        <f t="shared" si="20"/>
        <v>2851.4689142416446</v>
      </c>
      <c r="BD34" s="210">
        <f t="shared" si="21"/>
        <v>2914.091698423782</v>
      </c>
      <c r="BE34" s="210">
        <f t="shared" si="21"/>
        <v>2976.7144826059193</v>
      </c>
      <c r="BF34" s="210">
        <f t="shared" si="21"/>
        <v>3388.9009783711972</v>
      </c>
      <c r="BG34" s="210">
        <f t="shared" si="21"/>
        <v>3995.2895361271108</v>
      </c>
      <c r="BH34" s="210">
        <f t="shared" si="21"/>
        <v>4601.6780938830243</v>
      </c>
      <c r="BI34" s="210">
        <f t="shared" si="21"/>
        <v>5208.0666516389392</v>
      </c>
      <c r="BJ34" s="210">
        <f t="shared" si="21"/>
        <v>5814.4552093948532</v>
      </c>
      <c r="BK34" s="210">
        <f t="shared" si="21"/>
        <v>6420.8437671507663</v>
      </c>
      <c r="BL34" s="210">
        <f t="shared" si="21"/>
        <v>7027.2323249066794</v>
      </c>
      <c r="BM34" s="210">
        <f t="shared" si="21"/>
        <v>7633.6208826625934</v>
      </c>
      <c r="BN34" s="210">
        <f t="shared" si="22"/>
        <v>8240.0094404185074</v>
      </c>
      <c r="BO34" s="210">
        <f t="shared" si="22"/>
        <v>8846.3979981744214</v>
      </c>
      <c r="BP34" s="210">
        <f t="shared" si="22"/>
        <v>9452.7865559303355</v>
      </c>
      <c r="BQ34" s="210">
        <f t="shared" si="22"/>
        <v>10059.175113686249</v>
      </c>
      <c r="BR34" s="210">
        <f t="shared" si="22"/>
        <v>10665.563671442163</v>
      </c>
      <c r="BS34" s="210">
        <f t="shared" si="22"/>
        <v>11271.952229198076</v>
      </c>
      <c r="BT34" s="210">
        <f t="shared" si="22"/>
        <v>11878.340786953991</v>
      </c>
      <c r="BU34" s="210">
        <f t="shared" si="22"/>
        <v>12484.729344709904</v>
      </c>
      <c r="BV34" s="210">
        <f t="shared" si="22"/>
        <v>13091.117902465819</v>
      </c>
      <c r="BW34" s="210">
        <f t="shared" si="22"/>
        <v>13697.506460221732</v>
      </c>
      <c r="BX34" s="210">
        <f t="shared" si="23"/>
        <v>14303.895017977648</v>
      </c>
      <c r="BY34" s="210">
        <f t="shared" si="23"/>
        <v>14910.28357573356</v>
      </c>
      <c r="BZ34" s="210">
        <f t="shared" si="23"/>
        <v>15516.672133489476</v>
      </c>
      <c r="CA34" s="210">
        <f t="shared" si="23"/>
        <v>16123.060691245388</v>
      </c>
      <c r="CB34" s="210">
        <f t="shared" si="23"/>
        <v>16729.449249001304</v>
      </c>
      <c r="CC34" s="210">
        <f t="shared" si="23"/>
        <v>17335.837806757216</v>
      </c>
      <c r="CD34" s="210">
        <f t="shared" si="23"/>
        <v>17942.226364513128</v>
      </c>
      <c r="CE34" s="210">
        <f t="shared" si="23"/>
        <v>18548.614922269044</v>
      </c>
      <c r="CF34" s="210">
        <f t="shared" si="23"/>
        <v>19155.003480024956</v>
      </c>
      <c r="CG34" s="210">
        <f t="shared" si="23"/>
        <v>19761.392037780872</v>
      </c>
      <c r="CH34" s="210">
        <f t="shared" si="24"/>
        <v>21998.332856567933</v>
      </c>
      <c r="CI34" s="210">
        <f t="shared" si="24"/>
        <v>24679.969746545325</v>
      </c>
      <c r="CJ34" s="210">
        <f t="shared" si="24"/>
        <v>27361.60663652272</v>
      </c>
      <c r="CK34" s="210">
        <f t="shared" si="24"/>
        <v>30043.243526500115</v>
      </c>
      <c r="CL34" s="210">
        <f t="shared" si="24"/>
        <v>32724.88041647751</v>
      </c>
      <c r="CM34" s="210">
        <f t="shared" si="24"/>
        <v>35406.517306454902</v>
      </c>
      <c r="CN34" s="210">
        <f t="shared" si="24"/>
        <v>38088.154196432297</v>
      </c>
      <c r="CO34" s="210">
        <f t="shared" si="24"/>
        <v>40769.791086409692</v>
      </c>
      <c r="CP34" s="210">
        <f t="shared" si="24"/>
        <v>43451.427976387087</v>
      </c>
      <c r="CQ34" s="210">
        <f t="shared" si="24"/>
        <v>46133.064866364482</v>
      </c>
      <c r="CR34" s="210">
        <f t="shared" si="25"/>
        <v>48814.701756341878</v>
      </c>
      <c r="CS34" s="210">
        <f t="shared" si="25"/>
        <v>51496.338646319273</v>
      </c>
      <c r="CT34" s="210">
        <f t="shared" si="25"/>
        <v>54177.975536296668</v>
      </c>
      <c r="CU34" s="210">
        <f t="shared" si="25"/>
        <v>56859.612426274063</v>
      </c>
      <c r="CV34" s="210">
        <f t="shared" si="25"/>
        <v>59541.249316251458</v>
      </c>
      <c r="CW34" s="210">
        <f t="shared" si="25"/>
        <v>62222.886206228839</v>
      </c>
      <c r="CX34" s="210">
        <f t="shared" si="25"/>
        <v>63180.613666935067</v>
      </c>
      <c r="CY34" s="210">
        <f t="shared" si="25"/>
        <v>63180.613666935067</v>
      </c>
      <c r="CZ34" s="210">
        <f t="shared" si="25"/>
        <v>63180.613666935067</v>
      </c>
      <c r="DA34" s="210">
        <f t="shared" si="25"/>
        <v>63180.613666935067</v>
      </c>
    </row>
    <row r="35" spans="1:105">
      <c r="A35" s="201" t="str">
        <f>Income!A83</f>
        <v>Food transfer - official</v>
      </c>
      <c r="B35" s="203">
        <f>Income!B83</f>
        <v>2064.5211834646302</v>
      </c>
      <c r="C35" s="203">
        <f>Income!C83</f>
        <v>2083.7806600068589</v>
      </c>
      <c r="D35" s="203">
        <f>Income!D83</f>
        <v>1750.3511868212177</v>
      </c>
      <c r="E35" s="203">
        <f>Income!E83</f>
        <v>995.90674281642259</v>
      </c>
      <c r="F35" s="210">
        <f t="shared" si="16"/>
        <v>2064.5211834646302</v>
      </c>
      <c r="G35" s="210">
        <f t="shared" si="16"/>
        <v>2064.5211834646302</v>
      </c>
      <c r="H35" s="210">
        <f t="shared" si="16"/>
        <v>2064.5211834646302</v>
      </c>
      <c r="I35" s="210">
        <f t="shared" si="16"/>
        <v>2064.5211834646302</v>
      </c>
      <c r="J35" s="210">
        <f t="shared" si="16"/>
        <v>2064.5211834646302</v>
      </c>
      <c r="K35" s="210">
        <f t="shared" si="16"/>
        <v>2064.5211834646302</v>
      </c>
      <c r="L35" s="210">
        <f t="shared" si="16"/>
        <v>2064.5211834646302</v>
      </c>
      <c r="M35" s="210">
        <f t="shared" si="16"/>
        <v>2064.5211834646302</v>
      </c>
      <c r="N35" s="210">
        <f t="shared" si="16"/>
        <v>2064.5211834646302</v>
      </c>
      <c r="O35" s="210">
        <f t="shared" si="16"/>
        <v>2064.5211834646302</v>
      </c>
      <c r="P35" s="210">
        <f t="shared" si="17"/>
        <v>2064.5211834646302</v>
      </c>
      <c r="Q35" s="210">
        <f t="shared" si="17"/>
        <v>2064.5211834646302</v>
      </c>
      <c r="R35" s="210">
        <f t="shared" si="17"/>
        <v>2064.5211834646302</v>
      </c>
      <c r="S35" s="210">
        <f t="shared" si="17"/>
        <v>2064.5211834646302</v>
      </c>
      <c r="T35" s="210">
        <f t="shared" si="17"/>
        <v>2064.5211834646302</v>
      </c>
      <c r="U35" s="210">
        <f t="shared" si="17"/>
        <v>2064.5211834646302</v>
      </c>
      <c r="V35" s="210">
        <f t="shared" si="17"/>
        <v>2064.5211834646302</v>
      </c>
      <c r="W35" s="210">
        <f t="shared" si="17"/>
        <v>2064.5211834646302</v>
      </c>
      <c r="X35" s="210">
        <f t="shared" si="17"/>
        <v>2064.8056061139882</v>
      </c>
      <c r="Y35" s="210">
        <f t="shared" si="17"/>
        <v>2065.3744514127038</v>
      </c>
      <c r="Z35" s="210">
        <f t="shared" si="18"/>
        <v>2065.9432967114194</v>
      </c>
      <c r="AA35" s="210">
        <f t="shared" si="18"/>
        <v>2066.512142010135</v>
      </c>
      <c r="AB35" s="210">
        <f t="shared" si="18"/>
        <v>2067.0809873088506</v>
      </c>
      <c r="AC35" s="210">
        <f t="shared" si="18"/>
        <v>2067.6498326075662</v>
      </c>
      <c r="AD35" s="210">
        <f t="shared" si="18"/>
        <v>2068.2186779062818</v>
      </c>
      <c r="AE35" s="210">
        <f t="shared" si="18"/>
        <v>2068.7875232049973</v>
      </c>
      <c r="AF35" s="210">
        <f t="shared" si="18"/>
        <v>2069.3563685037129</v>
      </c>
      <c r="AG35" s="210">
        <f t="shared" si="18"/>
        <v>2069.9252138024285</v>
      </c>
      <c r="AH35" s="210">
        <f t="shared" si="18"/>
        <v>2070.4940591011441</v>
      </c>
      <c r="AI35" s="210">
        <f t="shared" si="18"/>
        <v>2071.0629043998597</v>
      </c>
      <c r="AJ35" s="210">
        <f t="shared" si="19"/>
        <v>2071.6317496985753</v>
      </c>
      <c r="AK35" s="210">
        <f t="shared" si="19"/>
        <v>2072.2005949972909</v>
      </c>
      <c r="AL35" s="210">
        <f t="shared" si="19"/>
        <v>2072.7694402960065</v>
      </c>
      <c r="AM35" s="210">
        <f t="shared" si="19"/>
        <v>2073.338285594722</v>
      </c>
      <c r="AN35" s="210">
        <f t="shared" si="19"/>
        <v>2073.9071308934376</v>
      </c>
      <c r="AO35" s="210">
        <f t="shared" si="19"/>
        <v>2074.4759761921537</v>
      </c>
      <c r="AP35" s="210">
        <f t="shared" si="19"/>
        <v>2075.0448214908693</v>
      </c>
      <c r="AQ35" s="210">
        <f t="shared" si="19"/>
        <v>2075.6136667895848</v>
      </c>
      <c r="AR35" s="210">
        <f t="shared" si="19"/>
        <v>2076.1825120883004</v>
      </c>
      <c r="AS35" s="210">
        <f t="shared" si="19"/>
        <v>2076.751357387016</v>
      </c>
      <c r="AT35" s="210">
        <f t="shared" si="20"/>
        <v>2077.3202026857316</v>
      </c>
      <c r="AU35" s="210">
        <f t="shared" si="20"/>
        <v>2077.8890479844472</v>
      </c>
      <c r="AV35" s="210">
        <f t="shared" si="20"/>
        <v>2078.4578932831628</v>
      </c>
      <c r="AW35" s="210">
        <f t="shared" si="20"/>
        <v>2079.0267385818784</v>
      </c>
      <c r="AX35" s="210">
        <f t="shared" si="20"/>
        <v>2079.5955838805939</v>
      </c>
      <c r="AY35" s="210">
        <f t="shared" si="20"/>
        <v>2080.1644291793095</v>
      </c>
      <c r="AZ35" s="210">
        <f t="shared" si="20"/>
        <v>2080.7332744780251</v>
      </c>
      <c r="BA35" s="210">
        <f t="shared" si="20"/>
        <v>2081.3021197767407</v>
      </c>
      <c r="BB35" s="210">
        <f t="shared" si="20"/>
        <v>2081.8709650754563</v>
      </c>
      <c r="BC35" s="210">
        <f t="shared" si="20"/>
        <v>2082.4398103741719</v>
      </c>
      <c r="BD35" s="210">
        <f t="shared" si="21"/>
        <v>2083.0086556728875</v>
      </c>
      <c r="BE35" s="210">
        <f t="shared" si="21"/>
        <v>2083.5775009716031</v>
      </c>
      <c r="BF35" s="210">
        <f t="shared" si="21"/>
        <v>2076.0861337025749</v>
      </c>
      <c r="BG35" s="210">
        <f t="shared" si="21"/>
        <v>2064.1168705625773</v>
      </c>
      <c r="BH35" s="210">
        <f t="shared" si="21"/>
        <v>2052.1476074225802</v>
      </c>
      <c r="BI35" s="210">
        <f t="shared" si="21"/>
        <v>2040.1783442825827</v>
      </c>
      <c r="BJ35" s="210">
        <f t="shared" si="21"/>
        <v>2028.2090811425853</v>
      </c>
      <c r="BK35" s="210">
        <f t="shared" si="21"/>
        <v>2016.239818002588</v>
      </c>
      <c r="BL35" s="210">
        <f t="shared" si="21"/>
        <v>2004.2705548625906</v>
      </c>
      <c r="BM35" s="210">
        <f t="shared" si="21"/>
        <v>1992.3012917225933</v>
      </c>
      <c r="BN35" s="210">
        <f t="shared" si="22"/>
        <v>1980.332028582596</v>
      </c>
      <c r="BO35" s="210">
        <f t="shared" si="22"/>
        <v>1968.3627654425984</v>
      </c>
      <c r="BP35" s="210">
        <f t="shared" si="22"/>
        <v>1956.3935023026011</v>
      </c>
      <c r="BQ35" s="210">
        <f t="shared" si="22"/>
        <v>1944.4242391626037</v>
      </c>
      <c r="BR35" s="210">
        <f t="shared" si="22"/>
        <v>1932.4549760226064</v>
      </c>
      <c r="BS35" s="210">
        <f t="shared" si="22"/>
        <v>1920.4857128826091</v>
      </c>
      <c r="BT35" s="210">
        <f t="shared" si="22"/>
        <v>1908.5164497426117</v>
      </c>
      <c r="BU35" s="210">
        <f t="shared" si="22"/>
        <v>1896.5471866026141</v>
      </c>
      <c r="BV35" s="210">
        <f t="shared" si="22"/>
        <v>1884.5779234626168</v>
      </c>
      <c r="BW35" s="210">
        <f t="shared" si="22"/>
        <v>1872.6086603226195</v>
      </c>
      <c r="BX35" s="210">
        <f t="shared" si="23"/>
        <v>1860.6393971826221</v>
      </c>
      <c r="BY35" s="210">
        <f t="shared" si="23"/>
        <v>1848.6701340426248</v>
      </c>
      <c r="BZ35" s="210">
        <f t="shared" si="23"/>
        <v>1836.7008709026275</v>
      </c>
      <c r="CA35" s="210">
        <f t="shared" si="23"/>
        <v>1824.7316077626301</v>
      </c>
      <c r="CB35" s="210">
        <f t="shared" si="23"/>
        <v>1812.7623446226326</v>
      </c>
      <c r="CC35" s="210">
        <f t="shared" si="23"/>
        <v>1800.7930814826352</v>
      </c>
      <c r="CD35" s="210">
        <f t="shared" si="23"/>
        <v>1788.8238183426379</v>
      </c>
      <c r="CE35" s="210">
        <f t="shared" si="23"/>
        <v>1776.8545552026405</v>
      </c>
      <c r="CF35" s="210">
        <f t="shared" si="23"/>
        <v>1764.8852920626432</v>
      </c>
      <c r="CG35" s="210">
        <f t="shared" si="23"/>
        <v>1752.9160289226459</v>
      </c>
      <c r="CH35" s="210">
        <f t="shared" si="24"/>
        <v>1713.6304395466484</v>
      </c>
      <c r="CI35" s="210">
        <f t="shared" si="24"/>
        <v>1666.8949430153777</v>
      </c>
      <c r="CJ35" s="210">
        <f t="shared" si="24"/>
        <v>1620.1594464841073</v>
      </c>
      <c r="CK35" s="210">
        <f t="shared" si="24"/>
        <v>1573.4239499528369</v>
      </c>
      <c r="CL35" s="210">
        <f t="shared" si="24"/>
        <v>1526.6884534215665</v>
      </c>
      <c r="CM35" s="210">
        <f t="shared" si="24"/>
        <v>1479.9529568902958</v>
      </c>
      <c r="CN35" s="210">
        <f t="shared" si="24"/>
        <v>1433.2174603590254</v>
      </c>
      <c r="CO35" s="210">
        <f t="shared" si="24"/>
        <v>1386.481963827755</v>
      </c>
      <c r="CP35" s="210">
        <f t="shared" si="24"/>
        <v>1339.7464672964843</v>
      </c>
      <c r="CQ35" s="210">
        <f t="shared" si="24"/>
        <v>1293.0109707652139</v>
      </c>
      <c r="CR35" s="210">
        <f t="shared" si="25"/>
        <v>1246.2754742339434</v>
      </c>
      <c r="CS35" s="210">
        <f t="shared" si="25"/>
        <v>1199.5399777026728</v>
      </c>
      <c r="CT35" s="210">
        <f t="shared" si="25"/>
        <v>1152.8044811714024</v>
      </c>
      <c r="CU35" s="210">
        <f t="shared" si="25"/>
        <v>1106.0689846401319</v>
      </c>
      <c r="CV35" s="210">
        <f t="shared" si="25"/>
        <v>1059.3334881088613</v>
      </c>
      <c r="CW35" s="210">
        <f t="shared" si="25"/>
        <v>1012.5979915775908</v>
      </c>
      <c r="CX35" s="210">
        <f t="shared" si="25"/>
        <v>995.90674281642259</v>
      </c>
      <c r="CY35" s="210">
        <f t="shared" si="25"/>
        <v>995.90674281642259</v>
      </c>
      <c r="CZ35" s="210">
        <f t="shared" si="25"/>
        <v>995.90674281642259</v>
      </c>
      <c r="DA35" s="210">
        <f t="shared" si="25"/>
        <v>995.90674281642259</v>
      </c>
    </row>
    <row r="36" spans="1:105">
      <c r="A36" s="201" t="str">
        <f>Income!A85</f>
        <v>Cash transfer - official</v>
      </c>
      <c r="B36" s="203">
        <f>Income!B85</f>
        <v>33527.373876317448</v>
      </c>
      <c r="C36" s="203">
        <f>Income!C85</f>
        <v>33512.701830892402</v>
      </c>
      <c r="D36" s="203">
        <f>Income!D85</f>
        <v>23805.10767650275</v>
      </c>
      <c r="E36" s="203">
        <f>Income!E85</f>
        <v>14854.008077146314</v>
      </c>
      <c r="F36" s="210">
        <f t="shared" si="16"/>
        <v>33527.373876317448</v>
      </c>
      <c r="G36" s="210">
        <f t="shared" si="16"/>
        <v>33527.373876317448</v>
      </c>
      <c r="H36" s="210">
        <f t="shared" si="16"/>
        <v>33527.373876317448</v>
      </c>
      <c r="I36" s="210">
        <f t="shared" si="16"/>
        <v>33527.373876317448</v>
      </c>
      <c r="J36" s="210">
        <f t="shared" si="16"/>
        <v>33527.373876317448</v>
      </c>
      <c r="K36" s="210">
        <f t="shared" si="16"/>
        <v>33527.373876317448</v>
      </c>
      <c r="L36" s="210">
        <f t="shared" si="16"/>
        <v>33527.373876317448</v>
      </c>
      <c r="M36" s="210">
        <f t="shared" si="16"/>
        <v>33527.373876317448</v>
      </c>
      <c r="N36" s="210">
        <f t="shared" si="16"/>
        <v>33527.373876317448</v>
      </c>
      <c r="O36" s="210">
        <f t="shared" si="16"/>
        <v>33527.373876317448</v>
      </c>
      <c r="P36" s="210">
        <f t="shared" si="16"/>
        <v>33527.373876317448</v>
      </c>
      <c r="Q36" s="210">
        <f t="shared" si="16"/>
        <v>33527.373876317448</v>
      </c>
      <c r="R36" s="210">
        <f t="shared" si="16"/>
        <v>33527.373876317448</v>
      </c>
      <c r="S36" s="210">
        <f t="shared" si="16"/>
        <v>33527.373876317448</v>
      </c>
      <c r="T36" s="210">
        <f t="shared" si="16"/>
        <v>33527.373876317448</v>
      </c>
      <c r="U36" s="210">
        <f t="shared" si="16"/>
        <v>33527.373876317448</v>
      </c>
      <c r="V36" s="210">
        <f t="shared" si="17"/>
        <v>33527.373876317448</v>
      </c>
      <c r="W36" s="210">
        <f t="shared" si="17"/>
        <v>33527.373876317448</v>
      </c>
      <c r="X36" s="210">
        <f t="shared" si="17"/>
        <v>33527.157200541129</v>
      </c>
      <c r="Y36" s="210">
        <f t="shared" si="17"/>
        <v>33526.723848988491</v>
      </c>
      <c r="Z36" s="210">
        <f t="shared" si="17"/>
        <v>33526.290497435853</v>
      </c>
      <c r="AA36" s="210">
        <f t="shared" si="17"/>
        <v>33525.857145883216</v>
      </c>
      <c r="AB36" s="210">
        <f t="shared" si="17"/>
        <v>33525.423794330578</v>
      </c>
      <c r="AC36" s="210">
        <f t="shared" si="17"/>
        <v>33524.990442777933</v>
      </c>
      <c r="AD36" s="210">
        <f t="shared" si="17"/>
        <v>33524.557091225295</v>
      </c>
      <c r="AE36" s="210">
        <f t="shared" si="17"/>
        <v>33524.123739672657</v>
      </c>
      <c r="AF36" s="210">
        <f t="shared" si="18"/>
        <v>33523.69038812002</v>
      </c>
      <c r="AG36" s="210">
        <f t="shared" si="18"/>
        <v>33523.257036567382</v>
      </c>
      <c r="AH36" s="210">
        <f t="shared" si="18"/>
        <v>33522.823685014744</v>
      </c>
      <c r="AI36" s="210">
        <f t="shared" si="18"/>
        <v>33522.390333462106</v>
      </c>
      <c r="AJ36" s="210">
        <f t="shared" si="18"/>
        <v>33521.956981909469</v>
      </c>
      <c r="AK36" s="210">
        <f t="shared" si="18"/>
        <v>33521.523630356831</v>
      </c>
      <c r="AL36" s="210">
        <f t="shared" si="18"/>
        <v>33521.090278804193</v>
      </c>
      <c r="AM36" s="210">
        <f t="shared" si="18"/>
        <v>33520.656927251548</v>
      </c>
      <c r="AN36" s="210">
        <f t="shared" si="18"/>
        <v>33520.22357569891</v>
      </c>
      <c r="AO36" s="210">
        <f t="shared" si="18"/>
        <v>33519.790224146273</v>
      </c>
      <c r="AP36" s="210">
        <f t="shared" si="19"/>
        <v>33519.356872593635</v>
      </c>
      <c r="AQ36" s="210">
        <f t="shared" si="19"/>
        <v>33518.923521040997</v>
      </c>
      <c r="AR36" s="210">
        <f t="shared" si="19"/>
        <v>33518.490169488359</v>
      </c>
      <c r="AS36" s="210">
        <f t="shared" si="19"/>
        <v>33518.056817935721</v>
      </c>
      <c r="AT36" s="210">
        <f t="shared" si="19"/>
        <v>33517.623466383084</v>
      </c>
      <c r="AU36" s="210">
        <f t="shared" si="19"/>
        <v>33517.190114830446</v>
      </c>
      <c r="AV36" s="210">
        <f t="shared" si="19"/>
        <v>33516.756763277808</v>
      </c>
      <c r="AW36" s="210">
        <f t="shared" si="19"/>
        <v>33516.323411725163</v>
      </c>
      <c r="AX36" s="210">
        <f t="shared" si="19"/>
        <v>33515.890060172525</v>
      </c>
      <c r="AY36" s="210">
        <f t="shared" si="19"/>
        <v>33515.456708619888</v>
      </c>
      <c r="AZ36" s="210">
        <f t="shared" si="20"/>
        <v>33515.02335706725</v>
      </c>
      <c r="BA36" s="210">
        <f t="shared" si="20"/>
        <v>33514.590005514612</v>
      </c>
      <c r="BB36" s="210">
        <f t="shared" si="20"/>
        <v>33514.156653961974</v>
      </c>
      <c r="BC36" s="210">
        <f t="shared" si="20"/>
        <v>33513.723302409337</v>
      </c>
      <c r="BD36" s="210">
        <f t="shared" si="20"/>
        <v>33513.289950856699</v>
      </c>
      <c r="BE36" s="210">
        <f t="shared" si="20"/>
        <v>33512.856599304061</v>
      </c>
      <c r="BF36" s="210">
        <f t="shared" si="20"/>
        <v>33288.680427329564</v>
      </c>
      <c r="BG36" s="210">
        <f t="shared" si="20"/>
        <v>32940.202688454039</v>
      </c>
      <c r="BH36" s="210">
        <f t="shared" si="20"/>
        <v>32591.724949578514</v>
      </c>
      <c r="BI36" s="210">
        <f t="shared" si="20"/>
        <v>32243.247210702986</v>
      </c>
      <c r="BJ36" s="210">
        <f t="shared" si="21"/>
        <v>31894.769471827462</v>
      </c>
      <c r="BK36" s="210">
        <f t="shared" si="21"/>
        <v>31546.291732951937</v>
      </c>
      <c r="BL36" s="210">
        <f t="shared" si="21"/>
        <v>31197.813994076409</v>
      </c>
      <c r="BM36" s="210">
        <f t="shared" si="21"/>
        <v>30849.336255200884</v>
      </c>
      <c r="BN36" s="210">
        <f t="shared" si="21"/>
        <v>30500.858516325359</v>
      </c>
      <c r="BO36" s="210">
        <f t="shared" si="21"/>
        <v>30152.380777449831</v>
      </c>
      <c r="BP36" s="210">
        <f t="shared" si="21"/>
        <v>29803.903038574306</v>
      </c>
      <c r="BQ36" s="210">
        <f t="shared" si="21"/>
        <v>29455.425299698778</v>
      </c>
      <c r="BR36" s="210">
        <f t="shared" si="21"/>
        <v>29106.947560823253</v>
      </c>
      <c r="BS36" s="210">
        <f t="shared" si="21"/>
        <v>28758.469821947729</v>
      </c>
      <c r="BT36" s="210">
        <f t="shared" si="22"/>
        <v>28409.992083072204</v>
      </c>
      <c r="BU36" s="210">
        <f t="shared" si="22"/>
        <v>28061.514344196676</v>
      </c>
      <c r="BV36" s="210">
        <f t="shared" si="22"/>
        <v>27713.036605321151</v>
      </c>
      <c r="BW36" s="210">
        <f t="shared" si="22"/>
        <v>27364.558866445623</v>
      </c>
      <c r="BX36" s="210">
        <f t="shared" si="22"/>
        <v>27016.081127570098</v>
      </c>
      <c r="BY36" s="210">
        <f t="shared" si="22"/>
        <v>26667.603388694573</v>
      </c>
      <c r="BZ36" s="210">
        <f t="shared" si="22"/>
        <v>26319.125649819049</v>
      </c>
      <c r="CA36" s="210">
        <f t="shared" si="22"/>
        <v>25970.64791094352</v>
      </c>
      <c r="CB36" s="210">
        <f t="shared" si="22"/>
        <v>25622.170172067996</v>
      </c>
      <c r="CC36" s="210">
        <f t="shared" si="22"/>
        <v>25273.692433192467</v>
      </c>
      <c r="CD36" s="210">
        <f t="shared" si="23"/>
        <v>24925.214694316943</v>
      </c>
      <c r="CE36" s="210">
        <f t="shared" si="23"/>
        <v>24576.736955441418</v>
      </c>
      <c r="CF36" s="210">
        <f t="shared" si="23"/>
        <v>24228.259216565893</v>
      </c>
      <c r="CG36" s="210">
        <f t="shared" si="23"/>
        <v>23879.781477690365</v>
      </c>
      <c r="CH36" s="210">
        <f t="shared" si="23"/>
        <v>23369.434687153549</v>
      </c>
      <c r="CI36" s="210">
        <f t="shared" si="23"/>
        <v>22814.941791618192</v>
      </c>
      <c r="CJ36" s="210">
        <f t="shared" si="23"/>
        <v>22260.448896082838</v>
      </c>
      <c r="CK36" s="210">
        <f t="shared" si="23"/>
        <v>21705.956000547485</v>
      </c>
      <c r="CL36" s="210">
        <f t="shared" si="23"/>
        <v>21151.463105012128</v>
      </c>
      <c r="CM36" s="210">
        <f t="shared" si="23"/>
        <v>20596.970209476774</v>
      </c>
      <c r="CN36" s="210">
        <f t="shared" si="24"/>
        <v>20042.477313941421</v>
      </c>
      <c r="CO36" s="210">
        <f t="shared" si="24"/>
        <v>19487.984418406064</v>
      </c>
      <c r="CP36" s="210">
        <f t="shared" si="24"/>
        <v>18933.49152287071</v>
      </c>
      <c r="CQ36" s="210">
        <f t="shared" si="24"/>
        <v>18378.998627335357</v>
      </c>
      <c r="CR36" s="210">
        <f t="shared" si="24"/>
        <v>17824.505731800004</v>
      </c>
      <c r="CS36" s="210">
        <f t="shared" si="24"/>
        <v>17270.012836264646</v>
      </c>
      <c r="CT36" s="210">
        <f t="shared" si="24"/>
        <v>16715.519940729293</v>
      </c>
      <c r="CU36" s="210">
        <f t="shared" si="24"/>
        <v>16161.02704519394</v>
      </c>
      <c r="CV36" s="210">
        <f t="shared" si="24"/>
        <v>15606.534149658584</v>
      </c>
      <c r="CW36" s="210">
        <f t="shared" si="24"/>
        <v>15052.041254123229</v>
      </c>
      <c r="CX36" s="210">
        <f t="shared" si="25"/>
        <v>14854.008077146314</v>
      </c>
      <c r="CY36" s="210">
        <f t="shared" si="25"/>
        <v>14854.008077146314</v>
      </c>
      <c r="CZ36" s="210">
        <f t="shared" si="25"/>
        <v>14854.008077146314</v>
      </c>
      <c r="DA36" s="210">
        <f t="shared" si="25"/>
        <v>14854.008077146314</v>
      </c>
    </row>
    <row r="37" spans="1:105">
      <c r="A37" s="201" t="str">
        <f>Income!A86</f>
        <v>Cash transfer - gifts</v>
      </c>
      <c r="B37" s="203">
        <f>Income!B86</f>
        <v>2294.7781659834841</v>
      </c>
      <c r="C37" s="203">
        <f>Income!C86</f>
        <v>3994.5008235005075</v>
      </c>
      <c r="D37" s="203">
        <f>Income!D86</f>
        <v>6591.3840937823479</v>
      </c>
      <c r="E37" s="203">
        <f>Income!E86</f>
        <v>10326.501746925682</v>
      </c>
      <c r="F37" s="210">
        <f t="shared" si="16"/>
        <v>2294.7781659834841</v>
      </c>
      <c r="G37" s="210">
        <f t="shared" si="16"/>
        <v>2294.7781659834841</v>
      </c>
      <c r="H37" s="210">
        <f t="shared" si="16"/>
        <v>2294.7781659834841</v>
      </c>
      <c r="I37" s="210">
        <f t="shared" si="16"/>
        <v>2294.7781659834841</v>
      </c>
      <c r="J37" s="210">
        <f t="shared" si="16"/>
        <v>2294.7781659834841</v>
      </c>
      <c r="K37" s="210">
        <f t="shared" si="16"/>
        <v>2294.7781659834841</v>
      </c>
      <c r="L37" s="210">
        <f t="shared" si="16"/>
        <v>2294.7781659834841</v>
      </c>
      <c r="M37" s="210">
        <f t="shared" si="16"/>
        <v>2294.7781659834841</v>
      </c>
      <c r="N37" s="210">
        <f t="shared" si="16"/>
        <v>2294.7781659834841</v>
      </c>
      <c r="O37" s="210">
        <f t="shared" si="16"/>
        <v>2294.7781659834841</v>
      </c>
      <c r="P37" s="210">
        <f t="shared" si="17"/>
        <v>2294.7781659834841</v>
      </c>
      <c r="Q37" s="210">
        <f t="shared" si="17"/>
        <v>2294.7781659834841</v>
      </c>
      <c r="R37" s="210">
        <f t="shared" si="17"/>
        <v>2294.7781659834841</v>
      </c>
      <c r="S37" s="210">
        <f t="shared" si="17"/>
        <v>2294.7781659834841</v>
      </c>
      <c r="T37" s="210">
        <f t="shared" si="17"/>
        <v>2294.7781659834841</v>
      </c>
      <c r="U37" s="210">
        <f t="shared" si="17"/>
        <v>2294.7781659834841</v>
      </c>
      <c r="V37" s="210">
        <f t="shared" si="17"/>
        <v>2294.7781659834841</v>
      </c>
      <c r="W37" s="210">
        <f t="shared" si="17"/>
        <v>2294.7781659834841</v>
      </c>
      <c r="X37" s="210">
        <f t="shared" si="17"/>
        <v>2319.8795554404865</v>
      </c>
      <c r="Y37" s="210">
        <f t="shared" si="17"/>
        <v>2370.0823343544916</v>
      </c>
      <c r="Z37" s="210">
        <f t="shared" si="18"/>
        <v>2420.2851132684964</v>
      </c>
      <c r="AA37" s="210">
        <f t="shared" si="18"/>
        <v>2470.4878921825011</v>
      </c>
      <c r="AB37" s="210">
        <f t="shared" si="18"/>
        <v>2520.6906710965063</v>
      </c>
      <c r="AC37" s="210">
        <f t="shared" si="18"/>
        <v>2570.8934500105111</v>
      </c>
      <c r="AD37" s="210">
        <f t="shared" si="18"/>
        <v>2621.0962289245158</v>
      </c>
      <c r="AE37" s="210">
        <f t="shared" si="18"/>
        <v>2671.299007838521</v>
      </c>
      <c r="AF37" s="210">
        <f t="shared" si="18"/>
        <v>2721.5017867525257</v>
      </c>
      <c r="AG37" s="210">
        <f t="shared" si="18"/>
        <v>2771.7045656665305</v>
      </c>
      <c r="AH37" s="210">
        <f t="shared" si="18"/>
        <v>2821.9073445805357</v>
      </c>
      <c r="AI37" s="210">
        <f t="shared" si="18"/>
        <v>2872.1101234945404</v>
      </c>
      <c r="AJ37" s="210">
        <f t="shared" si="19"/>
        <v>2922.3129024085456</v>
      </c>
      <c r="AK37" s="210">
        <f t="shared" si="19"/>
        <v>2972.5156813225503</v>
      </c>
      <c r="AL37" s="210">
        <f t="shared" si="19"/>
        <v>3022.7184602365551</v>
      </c>
      <c r="AM37" s="210">
        <f t="shared" si="19"/>
        <v>3072.9212391505603</v>
      </c>
      <c r="AN37" s="210">
        <f t="shared" si="19"/>
        <v>3123.124018064565</v>
      </c>
      <c r="AO37" s="210">
        <f t="shared" si="19"/>
        <v>3173.3267969785702</v>
      </c>
      <c r="AP37" s="210">
        <f t="shared" si="19"/>
        <v>3223.5295758925749</v>
      </c>
      <c r="AQ37" s="210">
        <f t="shared" si="19"/>
        <v>3273.7323548065797</v>
      </c>
      <c r="AR37" s="210">
        <f t="shared" si="19"/>
        <v>3323.9351337205844</v>
      </c>
      <c r="AS37" s="210">
        <f t="shared" si="19"/>
        <v>3374.1379126345896</v>
      </c>
      <c r="AT37" s="210">
        <f t="shared" si="20"/>
        <v>3424.3406915485944</v>
      </c>
      <c r="AU37" s="210">
        <f t="shared" si="20"/>
        <v>3474.5434704625995</v>
      </c>
      <c r="AV37" s="210">
        <f t="shared" si="20"/>
        <v>3524.7462493766043</v>
      </c>
      <c r="AW37" s="210">
        <f t="shared" si="20"/>
        <v>3574.949028290609</v>
      </c>
      <c r="AX37" s="210">
        <f t="shared" si="20"/>
        <v>3625.1518072046138</v>
      </c>
      <c r="AY37" s="210">
        <f t="shared" si="20"/>
        <v>3675.354586118619</v>
      </c>
      <c r="AZ37" s="210">
        <f t="shared" si="20"/>
        <v>3725.5573650326241</v>
      </c>
      <c r="BA37" s="210">
        <f t="shared" si="20"/>
        <v>3775.7601439466289</v>
      </c>
      <c r="BB37" s="210">
        <f t="shared" si="20"/>
        <v>3825.9629228606336</v>
      </c>
      <c r="BC37" s="210">
        <f t="shared" si="20"/>
        <v>3876.1657017746384</v>
      </c>
      <c r="BD37" s="210">
        <f t="shared" si="21"/>
        <v>3926.3684806886436</v>
      </c>
      <c r="BE37" s="210">
        <f t="shared" si="21"/>
        <v>3976.5712596026488</v>
      </c>
      <c r="BF37" s="210">
        <f t="shared" si="21"/>
        <v>4054.4288989685497</v>
      </c>
      <c r="BG37" s="210">
        <f t="shared" si="21"/>
        <v>4147.6503496966161</v>
      </c>
      <c r="BH37" s="210">
        <f t="shared" si="21"/>
        <v>4240.8718004246821</v>
      </c>
      <c r="BI37" s="210">
        <f t="shared" si="21"/>
        <v>4334.0932511527481</v>
      </c>
      <c r="BJ37" s="210">
        <f t="shared" si="21"/>
        <v>4427.314701880814</v>
      </c>
      <c r="BK37" s="210">
        <f t="shared" si="21"/>
        <v>4520.53615260888</v>
      </c>
      <c r="BL37" s="210">
        <f t="shared" si="21"/>
        <v>4613.757603336946</v>
      </c>
      <c r="BM37" s="210">
        <f t="shared" si="21"/>
        <v>4706.979054065012</v>
      </c>
      <c r="BN37" s="210">
        <f t="shared" si="22"/>
        <v>4800.2005047930779</v>
      </c>
      <c r="BO37" s="210">
        <f t="shared" si="22"/>
        <v>4893.4219555211439</v>
      </c>
      <c r="BP37" s="210">
        <f t="shared" si="22"/>
        <v>4986.6434062492099</v>
      </c>
      <c r="BQ37" s="210">
        <f t="shared" si="22"/>
        <v>5079.8648569772758</v>
      </c>
      <c r="BR37" s="210">
        <f t="shared" si="22"/>
        <v>5173.0863077053418</v>
      </c>
      <c r="BS37" s="210">
        <f t="shared" si="22"/>
        <v>5266.3077584334078</v>
      </c>
      <c r="BT37" s="210">
        <f t="shared" si="22"/>
        <v>5359.5292091614747</v>
      </c>
      <c r="BU37" s="210">
        <f t="shared" si="22"/>
        <v>5452.7506598895407</v>
      </c>
      <c r="BV37" s="210">
        <f t="shared" si="22"/>
        <v>5545.9721106176066</v>
      </c>
      <c r="BW37" s="210">
        <f t="shared" si="22"/>
        <v>5639.1935613456726</v>
      </c>
      <c r="BX37" s="210">
        <f t="shared" si="23"/>
        <v>5732.4150120737386</v>
      </c>
      <c r="BY37" s="210">
        <f t="shared" si="23"/>
        <v>5825.6364628018046</v>
      </c>
      <c r="BZ37" s="210">
        <f t="shared" si="23"/>
        <v>5918.8579135298705</v>
      </c>
      <c r="CA37" s="210">
        <f t="shared" si="23"/>
        <v>6012.0793642579365</v>
      </c>
      <c r="CB37" s="210">
        <f t="shared" si="23"/>
        <v>6105.3008149860025</v>
      </c>
      <c r="CC37" s="210">
        <f t="shared" si="23"/>
        <v>6198.5222657140694</v>
      </c>
      <c r="CD37" s="210">
        <f t="shared" si="23"/>
        <v>6291.7437164421353</v>
      </c>
      <c r="CE37" s="210">
        <f t="shared" si="23"/>
        <v>6384.9651671702013</v>
      </c>
      <c r="CF37" s="210">
        <f t="shared" si="23"/>
        <v>6478.1866178982673</v>
      </c>
      <c r="CG37" s="210">
        <f t="shared" si="23"/>
        <v>6571.4080686263333</v>
      </c>
      <c r="CH37" s="210">
        <f t="shared" si="24"/>
        <v>6773.1818556610042</v>
      </c>
      <c r="CI37" s="210">
        <f t="shared" si="24"/>
        <v>7004.5608253247501</v>
      </c>
      <c r="CJ37" s="210">
        <f t="shared" si="24"/>
        <v>7235.9397949884969</v>
      </c>
      <c r="CK37" s="210">
        <f t="shared" si="24"/>
        <v>7467.3187646522429</v>
      </c>
      <c r="CL37" s="210">
        <f t="shared" si="24"/>
        <v>7698.6977343159897</v>
      </c>
      <c r="CM37" s="210">
        <f t="shared" si="24"/>
        <v>7930.0767039797356</v>
      </c>
      <c r="CN37" s="210">
        <f t="shared" si="24"/>
        <v>8161.4556736434824</v>
      </c>
      <c r="CO37" s="210">
        <f t="shared" si="24"/>
        <v>8392.8346433072293</v>
      </c>
      <c r="CP37" s="210">
        <f t="shared" si="24"/>
        <v>8624.2136129709761</v>
      </c>
      <c r="CQ37" s="210">
        <f t="shared" si="24"/>
        <v>8855.5925826347211</v>
      </c>
      <c r="CR37" s="210">
        <f t="shared" si="25"/>
        <v>9086.9715522984679</v>
      </c>
      <c r="CS37" s="210">
        <f t="shared" si="25"/>
        <v>9318.3505219622148</v>
      </c>
      <c r="CT37" s="210">
        <f t="shared" si="25"/>
        <v>9549.7294916259598</v>
      </c>
      <c r="CU37" s="210">
        <f t="shared" si="25"/>
        <v>9781.1084612897066</v>
      </c>
      <c r="CV37" s="210">
        <f t="shared" si="25"/>
        <v>10012.487430953453</v>
      </c>
      <c r="CW37" s="210">
        <f t="shared" si="25"/>
        <v>10243.8664006172</v>
      </c>
      <c r="CX37" s="210">
        <f t="shared" si="25"/>
        <v>10326.501746925682</v>
      </c>
      <c r="CY37" s="210">
        <f t="shared" si="25"/>
        <v>10326.501746925682</v>
      </c>
      <c r="CZ37" s="210">
        <f t="shared" si="25"/>
        <v>10326.501746925682</v>
      </c>
      <c r="DA37" s="210">
        <f t="shared" si="25"/>
        <v>10326.501746925682</v>
      </c>
    </row>
    <row r="38" spans="1:105">
      <c r="A38" s="201" t="str">
        <f>Income!A88</f>
        <v>TOTAL</v>
      </c>
      <c r="B38" s="203">
        <f>Income!B88</f>
        <v>61125.251628620994</v>
      </c>
      <c r="C38" s="203">
        <f>Income!C88</f>
        <v>69410.168049005326</v>
      </c>
      <c r="D38" s="203">
        <f>Income!D88</f>
        <v>167897.96230042638</v>
      </c>
      <c r="E38" s="203">
        <f>Income!E88</f>
        <v>367984.22692268266</v>
      </c>
      <c r="F38" s="204">
        <f t="shared" ref="F38:AK38" si="26">SUM(F25:F37)</f>
        <v>56049.607477289333</v>
      </c>
      <c r="G38" s="204">
        <f t="shared" si="26"/>
        <v>56049.607477289333</v>
      </c>
      <c r="H38" s="204">
        <f t="shared" si="26"/>
        <v>56049.607477289333</v>
      </c>
      <c r="I38" s="204">
        <f t="shared" si="26"/>
        <v>56049.607477289333</v>
      </c>
      <c r="J38" s="204">
        <f t="shared" si="26"/>
        <v>56049.607477289333</v>
      </c>
      <c r="K38" s="204">
        <f t="shared" si="26"/>
        <v>56049.607477289333</v>
      </c>
      <c r="L38" s="204">
        <f t="shared" si="26"/>
        <v>56049.607477289333</v>
      </c>
      <c r="M38" s="204">
        <f t="shared" si="26"/>
        <v>56049.607477289333</v>
      </c>
      <c r="N38" s="204">
        <f t="shared" si="26"/>
        <v>56049.607477289333</v>
      </c>
      <c r="O38" s="204">
        <f t="shared" si="26"/>
        <v>56049.607477289333</v>
      </c>
      <c r="P38" s="204">
        <f t="shared" si="26"/>
        <v>56049.607477289333</v>
      </c>
      <c r="Q38" s="204">
        <f t="shared" si="26"/>
        <v>56049.607477289333</v>
      </c>
      <c r="R38" s="204">
        <f t="shared" si="26"/>
        <v>56049.607477289333</v>
      </c>
      <c r="S38" s="204">
        <f t="shared" si="26"/>
        <v>56049.607477289333</v>
      </c>
      <c r="T38" s="204">
        <f t="shared" si="26"/>
        <v>56049.607477289333</v>
      </c>
      <c r="U38" s="204">
        <f t="shared" si="26"/>
        <v>56049.607477289333</v>
      </c>
      <c r="V38" s="204">
        <f t="shared" si="26"/>
        <v>56049.607477289333</v>
      </c>
      <c r="W38" s="204">
        <f t="shared" si="26"/>
        <v>56049.607477289333</v>
      </c>
      <c r="X38" s="204">
        <f t="shared" si="26"/>
        <v>56203.095552925784</v>
      </c>
      <c r="Y38" s="204">
        <f t="shared" si="26"/>
        <v>56510.071704198708</v>
      </c>
      <c r="Z38" s="204">
        <f t="shared" si="26"/>
        <v>56817.047855471617</v>
      </c>
      <c r="AA38" s="204">
        <f t="shared" si="26"/>
        <v>57124.024006744534</v>
      </c>
      <c r="AB38" s="204">
        <f t="shared" si="26"/>
        <v>57431.00015801745</v>
      </c>
      <c r="AC38" s="204">
        <f t="shared" si="26"/>
        <v>57737.976309290359</v>
      </c>
      <c r="AD38" s="204">
        <f t="shared" si="26"/>
        <v>58044.952460563269</v>
      </c>
      <c r="AE38" s="204">
        <f t="shared" si="26"/>
        <v>58351.928611836185</v>
      </c>
      <c r="AF38" s="204">
        <f t="shared" si="26"/>
        <v>58658.904763109102</v>
      </c>
      <c r="AG38" s="204">
        <f t="shared" si="26"/>
        <v>58965.880914382018</v>
      </c>
      <c r="AH38" s="204">
        <f t="shared" si="26"/>
        <v>59272.857065654935</v>
      </c>
      <c r="AI38" s="204">
        <f t="shared" si="26"/>
        <v>59579.833216927844</v>
      </c>
      <c r="AJ38" s="204">
        <f t="shared" si="26"/>
        <v>59886.809368200767</v>
      </c>
      <c r="AK38" s="204">
        <f t="shared" si="26"/>
        <v>60193.785519473677</v>
      </c>
      <c r="AL38" s="204">
        <f t="shared" ref="AL38:BQ38" si="27">SUM(AL25:AL37)</f>
        <v>60500.761670746593</v>
      </c>
      <c r="AM38" s="204">
        <f t="shared" si="27"/>
        <v>60807.737822019502</v>
      </c>
      <c r="AN38" s="204">
        <f t="shared" si="27"/>
        <v>61114.713973292419</v>
      </c>
      <c r="AO38" s="204">
        <f t="shared" si="27"/>
        <v>61421.690124565328</v>
      </c>
      <c r="AP38" s="204">
        <f t="shared" si="27"/>
        <v>61728.666275838244</v>
      </c>
      <c r="AQ38" s="204">
        <f t="shared" si="27"/>
        <v>62035.642427111161</v>
      </c>
      <c r="AR38" s="204">
        <f t="shared" si="27"/>
        <v>62342.618578384077</v>
      </c>
      <c r="AS38" s="204">
        <f t="shared" si="27"/>
        <v>62649.594729657001</v>
      </c>
      <c r="AT38" s="204">
        <f t="shared" si="27"/>
        <v>62956.57088092991</v>
      </c>
      <c r="AU38" s="204">
        <f t="shared" si="27"/>
        <v>63263.547032202827</v>
      </c>
      <c r="AV38" s="204">
        <f t="shared" si="27"/>
        <v>63570.523183475743</v>
      </c>
      <c r="AW38" s="204">
        <f t="shared" si="27"/>
        <v>63877.499334748652</v>
      </c>
      <c r="AX38" s="204">
        <f t="shared" si="27"/>
        <v>64184.475486021562</v>
      </c>
      <c r="AY38" s="204">
        <f t="shared" si="27"/>
        <v>64491.451637294471</v>
      </c>
      <c r="AZ38" s="204">
        <f t="shared" si="27"/>
        <v>64798.427788567395</v>
      </c>
      <c r="BA38" s="204">
        <f t="shared" si="27"/>
        <v>65105.403939840304</v>
      </c>
      <c r="BB38" s="204">
        <f t="shared" si="27"/>
        <v>65412.380091113228</v>
      </c>
      <c r="BC38" s="204">
        <f t="shared" si="27"/>
        <v>65719.356242386129</v>
      </c>
      <c r="BD38" s="204">
        <f t="shared" si="27"/>
        <v>66026.332393659046</v>
      </c>
      <c r="BE38" s="204">
        <f t="shared" si="27"/>
        <v>66333.308544931962</v>
      </c>
      <c r="BF38" s="204">
        <f t="shared" si="27"/>
        <v>68648.98690022745</v>
      </c>
      <c r="BG38" s="204">
        <f t="shared" si="27"/>
        <v>72080.610924424385</v>
      </c>
      <c r="BH38" s="204">
        <f t="shared" si="27"/>
        <v>75512.234948621335</v>
      </c>
      <c r="BI38" s="204">
        <f t="shared" si="27"/>
        <v>78943.858972818285</v>
      </c>
      <c r="BJ38" s="204">
        <f t="shared" si="27"/>
        <v>82375.48299701522</v>
      </c>
      <c r="BK38" s="204">
        <f t="shared" si="27"/>
        <v>85807.107021212156</v>
      </c>
      <c r="BL38" s="204">
        <f t="shared" si="27"/>
        <v>89238.731045409077</v>
      </c>
      <c r="BM38" s="204">
        <f t="shared" si="27"/>
        <v>92670.355069606041</v>
      </c>
      <c r="BN38" s="204">
        <f t="shared" si="27"/>
        <v>96101.979093802976</v>
      </c>
      <c r="BO38" s="204">
        <f t="shared" si="27"/>
        <v>99533.603117999926</v>
      </c>
      <c r="BP38" s="204">
        <f t="shared" si="27"/>
        <v>102965.22714219686</v>
      </c>
      <c r="BQ38" s="204">
        <f t="shared" si="27"/>
        <v>106396.8511663938</v>
      </c>
      <c r="BR38" s="204">
        <f t="shared" ref="BR38:CW38" si="28">SUM(BR25:BR37)</f>
        <v>109828.47519059073</v>
      </c>
      <c r="BS38" s="204">
        <f t="shared" si="28"/>
        <v>113260.0992147877</v>
      </c>
      <c r="BT38" s="204">
        <f t="shared" si="28"/>
        <v>116691.72323898465</v>
      </c>
      <c r="BU38" s="204">
        <f t="shared" si="28"/>
        <v>120123.34726318158</v>
      </c>
      <c r="BV38" s="204">
        <f t="shared" si="28"/>
        <v>123554.97128737849</v>
      </c>
      <c r="BW38" s="204">
        <f t="shared" si="28"/>
        <v>126986.59531157544</v>
      </c>
      <c r="BX38" s="204">
        <f t="shared" si="28"/>
        <v>130418.21933577239</v>
      </c>
      <c r="BY38" s="204">
        <f t="shared" si="28"/>
        <v>133849.84335996932</v>
      </c>
      <c r="BZ38" s="204">
        <f t="shared" si="28"/>
        <v>137281.46738416629</v>
      </c>
      <c r="CA38" s="204">
        <f t="shared" si="28"/>
        <v>140713.09140836319</v>
      </c>
      <c r="CB38" s="204">
        <f t="shared" si="28"/>
        <v>144144.71543256016</v>
      </c>
      <c r="CC38" s="204">
        <f t="shared" si="28"/>
        <v>147576.33945675712</v>
      </c>
      <c r="CD38" s="204">
        <f t="shared" si="28"/>
        <v>151007.96348095406</v>
      </c>
      <c r="CE38" s="204">
        <f t="shared" si="28"/>
        <v>154439.58750515099</v>
      </c>
      <c r="CF38" s="204">
        <f t="shared" si="28"/>
        <v>157871.2115293479</v>
      </c>
      <c r="CG38" s="204">
        <f t="shared" si="28"/>
        <v>161302.83555354484</v>
      </c>
      <c r="CH38" s="204">
        <f t="shared" si="28"/>
        <v>171962.52433165489</v>
      </c>
      <c r="CI38" s="204">
        <f t="shared" si="28"/>
        <v>184593.50349719581</v>
      </c>
      <c r="CJ38" s="204">
        <f t="shared" si="28"/>
        <v>197224.48266273676</v>
      </c>
      <c r="CK38" s="204">
        <f t="shared" si="28"/>
        <v>209855.46182827768</v>
      </c>
      <c r="CL38" s="204">
        <f t="shared" si="28"/>
        <v>222486.44099381866</v>
      </c>
      <c r="CM38" s="204">
        <f t="shared" si="28"/>
        <v>235117.42015935952</v>
      </c>
      <c r="CN38" s="204">
        <f t="shared" si="28"/>
        <v>247748.3993249005</v>
      </c>
      <c r="CO38" s="204">
        <f t="shared" si="28"/>
        <v>260379.37849044136</v>
      </c>
      <c r="CP38" s="204">
        <f t="shared" si="28"/>
        <v>273010.35765598231</v>
      </c>
      <c r="CQ38" s="204">
        <f t="shared" si="28"/>
        <v>285641.3368215232</v>
      </c>
      <c r="CR38" s="204">
        <f t="shared" si="28"/>
        <v>298272.31598706415</v>
      </c>
      <c r="CS38" s="204">
        <f t="shared" si="28"/>
        <v>310903.2951526051</v>
      </c>
      <c r="CT38" s="204">
        <f t="shared" si="28"/>
        <v>323534.27431814611</v>
      </c>
      <c r="CU38" s="204">
        <f t="shared" si="28"/>
        <v>336165.253483687</v>
      </c>
      <c r="CV38" s="204">
        <f t="shared" si="28"/>
        <v>348796.23264922801</v>
      </c>
      <c r="CW38" s="204">
        <f t="shared" si="28"/>
        <v>361427.21181476873</v>
      </c>
      <c r="CX38" s="204">
        <f>SUM(CX25:CX37)</f>
        <v>365938.27580246219</v>
      </c>
      <c r="CY38" s="204">
        <f>SUM(CY25:CY37)</f>
        <v>365938.27580246219</v>
      </c>
      <c r="CZ38" s="204">
        <f>SUM(CZ25:CZ37)</f>
        <v>365938.27580246219</v>
      </c>
      <c r="DA38" s="204">
        <f>SUM(DA25:DA37)</f>
        <v>365938.27580246219</v>
      </c>
    </row>
    <row r="39" spans="1:105">
      <c r="A39" s="201" t="str">
        <f>Income!A89</f>
        <v>Food Poverty line</v>
      </c>
      <c r="B39" s="203">
        <f>Income!B89</f>
        <v>37756.621173113177</v>
      </c>
      <c r="C39" s="203">
        <f>Income!C89</f>
        <v>37756.62117311317</v>
      </c>
      <c r="D39" s="203">
        <f>Income!D89</f>
        <v>37756.621173113177</v>
      </c>
      <c r="E39" s="203">
        <f>Income!E89</f>
        <v>37756.621173113177</v>
      </c>
      <c r="F39" s="204">
        <f t="shared" ref="F39:U39" si="29">IF(F$2&lt;=($B$2+$C$2+$D$2),IF(F$2&lt;=($B$2+$C$2),IF(F$2&lt;=$B$2,$B39,$C39),$D39),$E39)</f>
        <v>37756.621173113177</v>
      </c>
      <c r="G39" s="204">
        <f t="shared" si="29"/>
        <v>37756.621173113177</v>
      </c>
      <c r="H39" s="204">
        <f t="shared" si="29"/>
        <v>37756.621173113177</v>
      </c>
      <c r="I39" s="204">
        <f t="shared" si="29"/>
        <v>37756.621173113177</v>
      </c>
      <c r="J39" s="204">
        <f t="shared" si="29"/>
        <v>37756.621173113177</v>
      </c>
      <c r="K39" s="204">
        <f t="shared" si="29"/>
        <v>37756.621173113177</v>
      </c>
      <c r="L39" s="204">
        <f t="shared" si="29"/>
        <v>37756.621173113177</v>
      </c>
      <c r="M39" s="204">
        <f t="shared" si="29"/>
        <v>37756.621173113177</v>
      </c>
      <c r="N39" s="204">
        <f t="shared" si="29"/>
        <v>37756.621173113177</v>
      </c>
      <c r="O39" s="204">
        <f t="shared" si="29"/>
        <v>37756.621173113177</v>
      </c>
      <c r="P39" s="204">
        <f t="shared" si="29"/>
        <v>37756.621173113177</v>
      </c>
      <c r="Q39" s="204">
        <f t="shared" si="29"/>
        <v>37756.621173113177</v>
      </c>
      <c r="R39" s="204">
        <f t="shared" si="29"/>
        <v>37756.621173113177</v>
      </c>
      <c r="S39" s="204">
        <f t="shared" si="29"/>
        <v>37756.621173113177</v>
      </c>
      <c r="T39" s="204">
        <f t="shared" si="29"/>
        <v>37756.621173113177</v>
      </c>
      <c r="U39" s="204">
        <f t="shared" si="29"/>
        <v>37756.621173113177</v>
      </c>
      <c r="V39" s="204">
        <f t="shared" ref="V39:AK40" si="30">IF(V$2&lt;=($B$2+$C$2+$D$2),IF(V$2&lt;=($B$2+$C$2),IF(V$2&lt;=$B$2,$B39,$C39),$D39),$E39)</f>
        <v>37756.621173113177</v>
      </c>
      <c r="W39" s="204">
        <f t="shared" si="30"/>
        <v>37756.621173113177</v>
      </c>
      <c r="X39" s="204">
        <f t="shared" si="30"/>
        <v>37756.621173113177</v>
      </c>
      <c r="Y39" s="204">
        <f t="shared" si="30"/>
        <v>37756.621173113177</v>
      </c>
      <c r="Z39" s="204">
        <f t="shared" si="30"/>
        <v>37756.621173113177</v>
      </c>
      <c r="AA39" s="204">
        <f t="shared" si="30"/>
        <v>37756.621173113177</v>
      </c>
      <c r="AB39" s="204">
        <f t="shared" si="30"/>
        <v>37756.621173113177</v>
      </c>
      <c r="AC39" s="204">
        <f t="shared" si="30"/>
        <v>37756.621173113177</v>
      </c>
      <c r="AD39" s="204">
        <f t="shared" si="30"/>
        <v>37756.621173113177</v>
      </c>
      <c r="AE39" s="204">
        <f t="shared" si="30"/>
        <v>37756.621173113177</v>
      </c>
      <c r="AF39" s="204">
        <f t="shared" si="30"/>
        <v>37756.621173113177</v>
      </c>
      <c r="AG39" s="204">
        <f t="shared" si="30"/>
        <v>37756.621173113177</v>
      </c>
      <c r="AH39" s="204">
        <f t="shared" si="30"/>
        <v>37756.621173113177</v>
      </c>
      <c r="AI39" s="204">
        <f t="shared" si="30"/>
        <v>37756.621173113177</v>
      </c>
      <c r="AJ39" s="204">
        <f t="shared" si="30"/>
        <v>37756.621173113177</v>
      </c>
      <c r="AK39" s="204">
        <f t="shared" si="30"/>
        <v>37756.621173113177</v>
      </c>
      <c r="AL39" s="204">
        <f t="shared" ref="AL39:BA40" si="31">IF(AL$2&lt;=($B$2+$C$2+$D$2),IF(AL$2&lt;=($B$2+$C$2),IF(AL$2&lt;=$B$2,$B39,$C39),$D39),$E39)</f>
        <v>37756.621173113177</v>
      </c>
      <c r="AM39" s="204">
        <f t="shared" si="31"/>
        <v>37756.621173113177</v>
      </c>
      <c r="AN39" s="204">
        <f t="shared" si="31"/>
        <v>37756.621173113177</v>
      </c>
      <c r="AO39" s="204">
        <f t="shared" si="31"/>
        <v>37756.62117311317</v>
      </c>
      <c r="AP39" s="204">
        <f t="shared" si="31"/>
        <v>37756.62117311317</v>
      </c>
      <c r="AQ39" s="204">
        <f t="shared" si="31"/>
        <v>37756.62117311317</v>
      </c>
      <c r="AR39" s="204">
        <f t="shared" si="31"/>
        <v>37756.62117311317</v>
      </c>
      <c r="AS39" s="204">
        <f t="shared" si="31"/>
        <v>37756.62117311317</v>
      </c>
      <c r="AT39" s="204">
        <f t="shared" si="31"/>
        <v>37756.62117311317</v>
      </c>
      <c r="AU39" s="204">
        <f t="shared" si="31"/>
        <v>37756.62117311317</v>
      </c>
      <c r="AV39" s="204">
        <f t="shared" si="31"/>
        <v>37756.62117311317</v>
      </c>
      <c r="AW39" s="204">
        <f t="shared" si="31"/>
        <v>37756.62117311317</v>
      </c>
      <c r="AX39" s="204">
        <f t="shared" si="31"/>
        <v>37756.62117311317</v>
      </c>
      <c r="AY39" s="204">
        <f t="shared" si="31"/>
        <v>37756.62117311317</v>
      </c>
      <c r="AZ39" s="204">
        <f t="shared" si="31"/>
        <v>37756.62117311317</v>
      </c>
      <c r="BA39" s="204">
        <f t="shared" si="31"/>
        <v>37756.62117311317</v>
      </c>
      <c r="BB39" s="204">
        <f t="shared" ref="BB39:CD40" si="32">IF(BB$2&lt;=($B$2+$C$2+$D$2),IF(BB$2&lt;=($B$2+$C$2),IF(BB$2&lt;=$B$2,$B39,$C39),$D39),$E39)</f>
        <v>37756.62117311317</v>
      </c>
      <c r="BC39" s="204">
        <f t="shared" si="32"/>
        <v>37756.62117311317</v>
      </c>
      <c r="BD39" s="204">
        <f t="shared" si="32"/>
        <v>37756.62117311317</v>
      </c>
      <c r="BE39" s="204">
        <f t="shared" si="32"/>
        <v>37756.62117311317</v>
      </c>
      <c r="BF39" s="204">
        <f t="shared" si="32"/>
        <v>37756.62117311317</v>
      </c>
      <c r="BG39" s="204">
        <f t="shared" si="32"/>
        <v>37756.62117311317</v>
      </c>
      <c r="BH39" s="204">
        <f t="shared" si="32"/>
        <v>37756.62117311317</v>
      </c>
      <c r="BI39" s="204">
        <f t="shared" si="32"/>
        <v>37756.62117311317</v>
      </c>
      <c r="BJ39" s="204">
        <f t="shared" si="32"/>
        <v>37756.62117311317</v>
      </c>
      <c r="BK39" s="204">
        <f t="shared" si="32"/>
        <v>37756.62117311317</v>
      </c>
      <c r="BL39" s="204">
        <f t="shared" si="32"/>
        <v>37756.62117311317</v>
      </c>
      <c r="BM39" s="204">
        <f t="shared" si="32"/>
        <v>37756.62117311317</v>
      </c>
      <c r="BN39" s="204">
        <f t="shared" si="32"/>
        <v>37756.62117311317</v>
      </c>
      <c r="BO39" s="204">
        <f t="shared" si="32"/>
        <v>37756.62117311317</v>
      </c>
      <c r="BP39" s="204">
        <f t="shared" si="32"/>
        <v>37756.62117311317</v>
      </c>
      <c r="BQ39" s="204">
        <f t="shared" si="32"/>
        <v>37756.62117311317</v>
      </c>
      <c r="BR39" s="204">
        <f t="shared" si="32"/>
        <v>37756.62117311317</v>
      </c>
      <c r="BS39" s="204">
        <f t="shared" si="32"/>
        <v>37756.62117311317</v>
      </c>
      <c r="BT39" s="204">
        <f t="shared" si="32"/>
        <v>37756.62117311317</v>
      </c>
      <c r="BU39" s="204">
        <f t="shared" si="32"/>
        <v>37756.621173113177</v>
      </c>
      <c r="BV39" s="204">
        <f t="shared" si="32"/>
        <v>37756.621173113177</v>
      </c>
      <c r="BW39" s="204">
        <f t="shared" si="32"/>
        <v>37756.621173113177</v>
      </c>
      <c r="BX39" s="204">
        <f t="shared" si="32"/>
        <v>37756.621173113177</v>
      </c>
      <c r="BY39" s="204">
        <f t="shared" si="32"/>
        <v>37756.621173113177</v>
      </c>
      <c r="BZ39" s="204">
        <f t="shared" si="32"/>
        <v>37756.621173113177</v>
      </c>
      <c r="CA39" s="204">
        <f t="shared" si="32"/>
        <v>37756.621173113177</v>
      </c>
      <c r="CB39" s="204">
        <f t="shared" si="32"/>
        <v>37756.621173113177</v>
      </c>
      <c r="CC39" s="204">
        <f t="shared" si="32"/>
        <v>37756.621173113177</v>
      </c>
      <c r="CD39" s="204">
        <f t="shared" si="32"/>
        <v>37756.621173113177</v>
      </c>
      <c r="CE39" s="204">
        <f t="shared" ref="CE39:CR40" si="33">IF(CE$2&lt;=($B$2+$C$2+$D$2),IF(CE$2&lt;=($B$2+$C$2),IF(CE$2&lt;=$B$2,$B39,$C39),$D39),$E39)</f>
        <v>37756.621173113177</v>
      </c>
      <c r="CF39" s="204">
        <f t="shared" si="33"/>
        <v>37756.621173113177</v>
      </c>
      <c r="CG39" s="204">
        <f t="shared" si="33"/>
        <v>37756.621173113177</v>
      </c>
      <c r="CH39" s="204">
        <f t="shared" si="33"/>
        <v>37756.621173113177</v>
      </c>
      <c r="CI39" s="204">
        <f t="shared" si="33"/>
        <v>37756.621173113177</v>
      </c>
      <c r="CJ39" s="204">
        <f t="shared" si="33"/>
        <v>37756.621173113177</v>
      </c>
      <c r="CK39" s="204">
        <f t="shared" si="33"/>
        <v>37756.621173113177</v>
      </c>
      <c r="CL39" s="204">
        <f t="shared" si="33"/>
        <v>37756.621173113177</v>
      </c>
      <c r="CM39" s="204">
        <f t="shared" si="33"/>
        <v>37756.621173113177</v>
      </c>
      <c r="CN39" s="204">
        <f t="shared" si="33"/>
        <v>37756.621173113177</v>
      </c>
      <c r="CO39" s="204">
        <f t="shared" si="33"/>
        <v>37756.621173113177</v>
      </c>
      <c r="CP39" s="204">
        <f t="shared" si="33"/>
        <v>37756.621173113177</v>
      </c>
      <c r="CQ39" s="204">
        <f t="shared" si="33"/>
        <v>37756.621173113177</v>
      </c>
      <c r="CR39" s="204">
        <f t="shared" si="33"/>
        <v>37756.621173113177</v>
      </c>
      <c r="CS39" s="204">
        <f t="shared" ref="CS39:DA40" si="34">IF(CS$2&lt;=($B$2+$C$2+$D$2),IF(CS$2&lt;=($B$2+$C$2),IF(CS$2&lt;=$B$2,$B39,$C39),$D39),$E39)</f>
        <v>37756.621173113177</v>
      </c>
      <c r="CT39" s="204">
        <f t="shared" si="34"/>
        <v>37756.621173113177</v>
      </c>
      <c r="CU39" s="204">
        <f t="shared" si="34"/>
        <v>37756.621173113177</v>
      </c>
      <c r="CV39" s="204">
        <f t="shared" si="34"/>
        <v>37756.621173113177</v>
      </c>
      <c r="CW39" s="204">
        <f t="shared" si="34"/>
        <v>37756.621173113177</v>
      </c>
      <c r="CX39" s="204">
        <f t="shared" si="34"/>
        <v>37756.621173113177</v>
      </c>
      <c r="CY39" s="204">
        <f t="shared" si="34"/>
        <v>37756.621173113177</v>
      </c>
      <c r="CZ39" s="204">
        <f t="shared" si="34"/>
        <v>37756.621173113177</v>
      </c>
      <c r="DA39" s="204">
        <f t="shared" si="34"/>
        <v>37756.621173113177</v>
      </c>
    </row>
    <row r="40" spans="1:105">
      <c r="A40" s="201" t="str">
        <f>Income!A90</f>
        <v>Lower Bound Poverty line</v>
      </c>
      <c r="B40" s="203">
        <f>Income!B90</f>
        <v>56196.216275153995</v>
      </c>
      <c r="C40" s="203">
        <f>Income!C90</f>
        <v>56196.216275154024</v>
      </c>
      <c r="D40" s="203">
        <f>Income!D90</f>
        <v>56196.216275153995</v>
      </c>
      <c r="E40" s="203">
        <f>Income!E90</f>
        <v>56196.216275153995</v>
      </c>
      <c r="F40" s="204">
        <f t="shared" ref="F40:U40" si="35">IF(F$2&lt;=($B$2+$C$2+$D$2),IF(F$2&lt;=($B$2+$C$2),IF(F$2&lt;=$B$2,$B40,$C40),$D40),$E40)</f>
        <v>56196.216275153995</v>
      </c>
      <c r="G40" s="204">
        <f t="shared" si="35"/>
        <v>56196.216275153995</v>
      </c>
      <c r="H40" s="204">
        <f t="shared" si="35"/>
        <v>56196.216275153995</v>
      </c>
      <c r="I40" s="204">
        <f t="shared" si="35"/>
        <v>56196.216275153995</v>
      </c>
      <c r="J40" s="204">
        <f t="shared" si="35"/>
        <v>56196.216275153995</v>
      </c>
      <c r="K40" s="204">
        <f t="shared" si="35"/>
        <v>56196.216275153995</v>
      </c>
      <c r="L40" s="204">
        <f t="shared" si="35"/>
        <v>56196.216275153995</v>
      </c>
      <c r="M40" s="204">
        <f t="shared" si="35"/>
        <v>56196.216275153995</v>
      </c>
      <c r="N40" s="204">
        <f t="shared" si="35"/>
        <v>56196.216275153995</v>
      </c>
      <c r="O40" s="204">
        <f t="shared" si="35"/>
        <v>56196.216275153995</v>
      </c>
      <c r="P40" s="204">
        <f t="shared" si="35"/>
        <v>56196.216275153995</v>
      </c>
      <c r="Q40" s="204">
        <f t="shared" si="35"/>
        <v>56196.216275153995</v>
      </c>
      <c r="R40" s="204">
        <f t="shared" si="35"/>
        <v>56196.216275153995</v>
      </c>
      <c r="S40" s="204">
        <f t="shared" si="35"/>
        <v>56196.216275153995</v>
      </c>
      <c r="T40" s="204">
        <f t="shared" si="35"/>
        <v>56196.216275153995</v>
      </c>
      <c r="U40" s="204">
        <f t="shared" si="35"/>
        <v>56196.216275153995</v>
      </c>
      <c r="V40" s="204">
        <f t="shared" si="30"/>
        <v>56196.216275153995</v>
      </c>
      <c r="W40" s="204">
        <f t="shared" si="30"/>
        <v>56196.216275153995</v>
      </c>
      <c r="X40" s="204">
        <f t="shared" si="30"/>
        <v>56196.216275153995</v>
      </c>
      <c r="Y40" s="204">
        <f t="shared" si="30"/>
        <v>56196.216275153995</v>
      </c>
      <c r="Z40" s="204">
        <f t="shared" si="30"/>
        <v>56196.216275153995</v>
      </c>
      <c r="AA40" s="204">
        <f t="shared" si="30"/>
        <v>56196.216275153995</v>
      </c>
      <c r="AB40" s="204">
        <f t="shared" si="30"/>
        <v>56196.216275153995</v>
      </c>
      <c r="AC40" s="204">
        <f t="shared" si="30"/>
        <v>56196.216275153995</v>
      </c>
      <c r="AD40" s="204">
        <f t="shared" si="30"/>
        <v>56196.216275153995</v>
      </c>
      <c r="AE40" s="204">
        <f t="shared" si="30"/>
        <v>56196.216275153995</v>
      </c>
      <c r="AF40" s="204">
        <f t="shared" si="30"/>
        <v>56196.216275153995</v>
      </c>
      <c r="AG40" s="204">
        <f t="shared" si="30"/>
        <v>56196.216275153995</v>
      </c>
      <c r="AH40" s="204">
        <f t="shared" si="30"/>
        <v>56196.216275153995</v>
      </c>
      <c r="AI40" s="204">
        <f t="shared" si="30"/>
        <v>56196.216275153995</v>
      </c>
      <c r="AJ40" s="204">
        <f t="shared" si="30"/>
        <v>56196.216275153995</v>
      </c>
      <c r="AK40" s="204">
        <f t="shared" si="30"/>
        <v>56196.216275153995</v>
      </c>
      <c r="AL40" s="204">
        <f t="shared" si="31"/>
        <v>56196.216275153995</v>
      </c>
      <c r="AM40" s="204">
        <f t="shared" si="31"/>
        <v>56196.216275153995</v>
      </c>
      <c r="AN40" s="204">
        <f t="shared" si="31"/>
        <v>56196.216275153995</v>
      </c>
      <c r="AO40" s="204">
        <f t="shared" si="31"/>
        <v>56196.216275154024</v>
      </c>
      <c r="AP40" s="204">
        <f t="shared" si="31"/>
        <v>56196.216275154024</v>
      </c>
      <c r="AQ40" s="204">
        <f t="shared" si="31"/>
        <v>56196.216275154024</v>
      </c>
      <c r="AR40" s="204">
        <f t="shared" si="31"/>
        <v>56196.216275154024</v>
      </c>
      <c r="AS40" s="204">
        <f t="shared" si="31"/>
        <v>56196.216275154024</v>
      </c>
      <c r="AT40" s="204">
        <f t="shared" si="31"/>
        <v>56196.216275154024</v>
      </c>
      <c r="AU40" s="204">
        <f t="shared" si="31"/>
        <v>56196.216275154024</v>
      </c>
      <c r="AV40" s="204">
        <f t="shared" si="31"/>
        <v>56196.216275154024</v>
      </c>
      <c r="AW40" s="204">
        <f t="shared" si="31"/>
        <v>56196.216275154024</v>
      </c>
      <c r="AX40" s="204">
        <f t="shared" si="31"/>
        <v>56196.216275154024</v>
      </c>
      <c r="AY40" s="204">
        <f t="shared" si="31"/>
        <v>56196.216275154024</v>
      </c>
      <c r="AZ40" s="204">
        <f t="shared" si="31"/>
        <v>56196.216275154024</v>
      </c>
      <c r="BA40" s="204">
        <f t="shared" si="31"/>
        <v>56196.216275154024</v>
      </c>
      <c r="BB40" s="204">
        <f t="shared" si="32"/>
        <v>56196.216275154024</v>
      </c>
      <c r="BC40" s="204">
        <f t="shared" si="32"/>
        <v>56196.216275154024</v>
      </c>
      <c r="BD40" s="204">
        <f t="shared" si="32"/>
        <v>56196.216275154024</v>
      </c>
      <c r="BE40" s="204">
        <f t="shared" si="32"/>
        <v>56196.216275154024</v>
      </c>
      <c r="BF40" s="204">
        <f t="shared" si="32"/>
        <v>56196.216275154024</v>
      </c>
      <c r="BG40" s="204">
        <f t="shared" si="32"/>
        <v>56196.216275154024</v>
      </c>
      <c r="BH40" s="204">
        <f t="shared" si="32"/>
        <v>56196.216275154024</v>
      </c>
      <c r="BI40" s="204">
        <f t="shared" si="32"/>
        <v>56196.216275154024</v>
      </c>
      <c r="BJ40" s="204">
        <f t="shared" si="32"/>
        <v>56196.216275154024</v>
      </c>
      <c r="BK40" s="204">
        <f t="shared" si="32"/>
        <v>56196.216275154024</v>
      </c>
      <c r="BL40" s="204">
        <f t="shared" si="32"/>
        <v>56196.216275154024</v>
      </c>
      <c r="BM40" s="204">
        <f t="shared" si="32"/>
        <v>56196.216275154024</v>
      </c>
      <c r="BN40" s="204">
        <f t="shared" si="32"/>
        <v>56196.216275154024</v>
      </c>
      <c r="BO40" s="204">
        <f t="shared" si="32"/>
        <v>56196.216275154024</v>
      </c>
      <c r="BP40" s="204">
        <f t="shared" si="32"/>
        <v>56196.216275154024</v>
      </c>
      <c r="BQ40" s="204">
        <f t="shared" si="32"/>
        <v>56196.216275154024</v>
      </c>
      <c r="BR40" s="204">
        <f t="shared" si="32"/>
        <v>56196.216275154024</v>
      </c>
      <c r="BS40" s="204">
        <f t="shared" si="32"/>
        <v>56196.216275154024</v>
      </c>
      <c r="BT40" s="204">
        <f t="shared" si="32"/>
        <v>56196.216275154024</v>
      </c>
      <c r="BU40" s="204">
        <f t="shared" si="32"/>
        <v>56196.216275153995</v>
      </c>
      <c r="BV40" s="204">
        <f t="shared" si="32"/>
        <v>56196.216275153995</v>
      </c>
      <c r="BW40" s="204">
        <f t="shared" si="32"/>
        <v>56196.216275153995</v>
      </c>
      <c r="BX40" s="204">
        <f t="shared" si="32"/>
        <v>56196.216275153995</v>
      </c>
      <c r="BY40" s="204">
        <f t="shared" si="32"/>
        <v>56196.216275153995</v>
      </c>
      <c r="BZ40" s="204">
        <f t="shared" si="32"/>
        <v>56196.216275153995</v>
      </c>
      <c r="CA40" s="204">
        <f t="shared" si="32"/>
        <v>56196.216275153995</v>
      </c>
      <c r="CB40" s="204">
        <f t="shared" si="32"/>
        <v>56196.216275153995</v>
      </c>
      <c r="CC40" s="204">
        <f t="shared" si="32"/>
        <v>56196.216275153995</v>
      </c>
      <c r="CD40" s="204">
        <f t="shared" si="32"/>
        <v>56196.216275153995</v>
      </c>
      <c r="CE40" s="204">
        <f t="shared" si="33"/>
        <v>56196.216275153995</v>
      </c>
      <c r="CF40" s="204">
        <f t="shared" si="33"/>
        <v>56196.216275153995</v>
      </c>
      <c r="CG40" s="204">
        <f t="shared" si="33"/>
        <v>56196.216275153995</v>
      </c>
      <c r="CH40" s="204">
        <f t="shared" si="33"/>
        <v>56196.216275153995</v>
      </c>
      <c r="CI40" s="204">
        <f t="shared" si="33"/>
        <v>56196.216275153995</v>
      </c>
      <c r="CJ40" s="204">
        <f t="shared" si="33"/>
        <v>56196.216275153995</v>
      </c>
      <c r="CK40" s="204">
        <f t="shared" si="33"/>
        <v>56196.216275153995</v>
      </c>
      <c r="CL40" s="204">
        <f t="shared" si="33"/>
        <v>56196.216275153995</v>
      </c>
      <c r="CM40" s="204">
        <f t="shared" si="33"/>
        <v>56196.216275153995</v>
      </c>
      <c r="CN40" s="204">
        <f t="shared" si="33"/>
        <v>56196.216275153995</v>
      </c>
      <c r="CO40" s="204">
        <f t="shared" si="33"/>
        <v>56196.216275153995</v>
      </c>
      <c r="CP40" s="204">
        <f t="shared" si="33"/>
        <v>56196.216275153995</v>
      </c>
      <c r="CQ40" s="204">
        <f t="shared" si="33"/>
        <v>56196.216275153995</v>
      </c>
      <c r="CR40" s="204">
        <f t="shared" si="33"/>
        <v>56196.216275153995</v>
      </c>
      <c r="CS40" s="204">
        <f t="shared" si="34"/>
        <v>56196.216275153995</v>
      </c>
      <c r="CT40" s="204">
        <f t="shared" si="34"/>
        <v>56196.216275153995</v>
      </c>
      <c r="CU40" s="204">
        <f t="shared" si="34"/>
        <v>56196.216275153995</v>
      </c>
      <c r="CV40" s="204">
        <f t="shared" si="34"/>
        <v>56196.216275153995</v>
      </c>
      <c r="CW40" s="204">
        <f t="shared" si="34"/>
        <v>56196.216275153995</v>
      </c>
      <c r="CX40" s="204">
        <f t="shared" si="34"/>
        <v>56196.216275153995</v>
      </c>
      <c r="CY40" s="204">
        <f t="shared" si="34"/>
        <v>56196.216275153995</v>
      </c>
      <c r="CZ40" s="204">
        <f t="shared" si="34"/>
        <v>56196.216275153995</v>
      </c>
      <c r="DA40" s="204">
        <f t="shared" si="34"/>
        <v>56196.216275153995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34.900527349926691</v>
      </c>
      <c r="Y42" s="210">
        <f t="shared" si="36"/>
        <v>34.900527349926691</v>
      </c>
      <c r="Z42" s="210">
        <f t="shared" si="36"/>
        <v>34.900527349926691</v>
      </c>
      <c r="AA42" s="210">
        <f t="shared" si="36"/>
        <v>34.900527349926691</v>
      </c>
      <c r="AB42" s="210">
        <f t="shared" si="36"/>
        <v>34.900527349926691</v>
      </c>
      <c r="AC42" s="210">
        <f t="shared" si="36"/>
        <v>34.900527349926691</v>
      </c>
      <c r="AD42" s="210">
        <f t="shared" si="36"/>
        <v>34.900527349926691</v>
      </c>
      <c r="AE42" s="210">
        <f t="shared" si="36"/>
        <v>34.900527349926691</v>
      </c>
      <c r="AF42" s="210">
        <f t="shared" si="36"/>
        <v>34.900527349926691</v>
      </c>
      <c r="AG42" s="210">
        <f t="shared" si="36"/>
        <v>34.900527349926691</v>
      </c>
      <c r="AH42" s="210">
        <f t="shared" si="36"/>
        <v>34.900527349926691</v>
      </c>
      <c r="AI42" s="210">
        <f t="shared" si="36"/>
        <v>34.900527349926691</v>
      </c>
      <c r="AJ42" s="210">
        <f t="shared" si="36"/>
        <v>34.900527349926691</v>
      </c>
      <c r="AK42" s="210">
        <f t="shared" si="36"/>
        <v>34.900527349926691</v>
      </c>
      <c r="AL42" s="210">
        <f t="shared" ref="AL42:BQ42" si="37">IF(AL$22&lt;=$E$24,IF(AL$22&lt;=$D$24,IF(AL$22&lt;=$C$24,IF(AL$22&lt;=$B$24,$B108,($C25-$B25)/($C$24-$B$24)),($D25-$C25)/($D$24-$C$24)),($E25-$D25)/($E$24-$D$24)),$F108)</f>
        <v>34.900527349926691</v>
      </c>
      <c r="AM42" s="210">
        <f t="shared" si="37"/>
        <v>34.900527349926691</v>
      </c>
      <c r="AN42" s="210">
        <f t="shared" si="37"/>
        <v>34.900527349926691</v>
      </c>
      <c r="AO42" s="210">
        <f t="shared" si="37"/>
        <v>34.900527349926691</v>
      </c>
      <c r="AP42" s="210">
        <f t="shared" si="37"/>
        <v>34.900527349926691</v>
      </c>
      <c r="AQ42" s="210">
        <f t="shared" si="37"/>
        <v>34.900527349926691</v>
      </c>
      <c r="AR42" s="210">
        <f t="shared" si="37"/>
        <v>34.900527349926691</v>
      </c>
      <c r="AS42" s="210">
        <f t="shared" si="37"/>
        <v>34.900527349926691</v>
      </c>
      <c r="AT42" s="210">
        <f t="shared" si="37"/>
        <v>34.900527349926691</v>
      </c>
      <c r="AU42" s="210">
        <f t="shared" si="37"/>
        <v>34.900527349926691</v>
      </c>
      <c r="AV42" s="210">
        <f t="shared" si="37"/>
        <v>34.900527349926691</v>
      </c>
      <c r="AW42" s="210">
        <f t="shared" si="37"/>
        <v>34.900527349926691</v>
      </c>
      <c r="AX42" s="210">
        <f t="shared" si="37"/>
        <v>34.900527349926691</v>
      </c>
      <c r="AY42" s="210">
        <f t="shared" si="37"/>
        <v>34.900527349926691</v>
      </c>
      <c r="AZ42" s="210">
        <f t="shared" si="37"/>
        <v>34.900527349926691</v>
      </c>
      <c r="BA42" s="210">
        <f t="shared" si="37"/>
        <v>34.900527349926691</v>
      </c>
      <c r="BB42" s="210">
        <f t="shared" si="37"/>
        <v>34.900527349926691</v>
      </c>
      <c r="BC42" s="210">
        <f t="shared" si="37"/>
        <v>34.900527349926691</v>
      </c>
      <c r="BD42" s="210">
        <f t="shared" si="37"/>
        <v>34.900527349926691</v>
      </c>
      <c r="BE42" s="210">
        <f t="shared" si="37"/>
        <v>34.900527349926691</v>
      </c>
      <c r="BF42" s="210">
        <f t="shared" si="37"/>
        <v>47.093604619462788</v>
      </c>
      <c r="BG42" s="210">
        <f t="shared" si="37"/>
        <v>47.093604619462788</v>
      </c>
      <c r="BH42" s="210">
        <f t="shared" si="37"/>
        <v>47.093604619462788</v>
      </c>
      <c r="BI42" s="210">
        <f t="shared" si="37"/>
        <v>47.093604619462788</v>
      </c>
      <c r="BJ42" s="210">
        <f t="shared" si="37"/>
        <v>47.093604619462788</v>
      </c>
      <c r="BK42" s="210">
        <f t="shared" si="37"/>
        <v>47.093604619462788</v>
      </c>
      <c r="BL42" s="210">
        <f t="shared" si="37"/>
        <v>47.093604619462788</v>
      </c>
      <c r="BM42" s="210">
        <f t="shared" si="37"/>
        <v>47.093604619462788</v>
      </c>
      <c r="BN42" s="210">
        <f t="shared" si="37"/>
        <v>47.093604619462788</v>
      </c>
      <c r="BO42" s="210">
        <f t="shared" si="37"/>
        <v>47.093604619462788</v>
      </c>
      <c r="BP42" s="210">
        <f t="shared" si="37"/>
        <v>47.093604619462788</v>
      </c>
      <c r="BQ42" s="210">
        <f t="shared" si="37"/>
        <v>47.093604619462788</v>
      </c>
      <c r="BR42" s="210">
        <f t="shared" ref="BR42:DA42" si="38">IF(BR$22&lt;=$E$24,IF(BR$22&lt;=$D$24,IF(BR$22&lt;=$C$24,IF(BR$22&lt;=$B$24,$B108,($C25-$B25)/($C$24-$B$24)),($D25-$C25)/($D$24-$C$24)),($E25-$D25)/($E$24-$D$24)),$F108)</f>
        <v>47.093604619462788</v>
      </c>
      <c r="BS42" s="210">
        <f t="shared" si="38"/>
        <v>47.093604619462788</v>
      </c>
      <c r="BT42" s="210">
        <f t="shared" si="38"/>
        <v>47.093604619462788</v>
      </c>
      <c r="BU42" s="210">
        <f t="shared" si="38"/>
        <v>47.093604619462788</v>
      </c>
      <c r="BV42" s="210">
        <f t="shared" si="38"/>
        <v>47.093604619462788</v>
      </c>
      <c r="BW42" s="210">
        <f t="shared" si="38"/>
        <v>47.093604619462788</v>
      </c>
      <c r="BX42" s="210">
        <f t="shared" si="38"/>
        <v>47.093604619462788</v>
      </c>
      <c r="BY42" s="210">
        <f t="shared" si="38"/>
        <v>47.093604619462788</v>
      </c>
      <c r="BZ42" s="210">
        <f t="shared" si="38"/>
        <v>47.093604619462788</v>
      </c>
      <c r="CA42" s="210">
        <f t="shared" si="38"/>
        <v>47.093604619462788</v>
      </c>
      <c r="CB42" s="210">
        <f t="shared" si="38"/>
        <v>47.093604619462788</v>
      </c>
      <c r="CC42" s="210">
        <f t="shared" si="38"/>
        <v>47.093604619462788</v>
      </c>
      <c r="CD42" s="210">
        <f t="shared" si="38"/>
        <v>47.093604619462788</v>
      </c>
      <c r="CE42" s="210">
        <f t="shared" si="38"/>
        <v>47.093604619462788</v>
      </c>
      <c r="CF42" s="210">
        <f t="shared" si="38"/>
        <v>47.093604619462788</v>
      </c>
      <c r="CG42" s="210">
        <f t="shared" si="38"/>
        <v>47.093604619462788</v>
      </c>
      <c r="CH42" s="210">
        <f t="shared" si="38"/>
        <v>148.00253903366595</v>
      </c>
      <c r="CI42" s="210">
        <f t="shared" si="38"/>
        <v>148.00253903366595</v>
      </c>
      <c r="CJ42" s="210">
        <f t="shared" si="38"/>
        <v>148.00253903366595</v>
      </c>
      <c r="CK42" s="210">
        <f t="shared" si="38"/>
        <v>148.00253903366595</v>
      </c>
      <c r="CL42" s="210">
        <f t="shared" si="38"/>
        <v>148.00253903366595</v>
      </c>
      <c r="CM42" s="210">
        <f t="shared" si="38"/>
        <v>148.00253903366595</v>
      </c>
      <c r="CN42" s="210">
        <f t="shared" si="38"/>
        <v>148.00253903366595</v>
      </c>
      <c r="CO42" s="210">
        <f t="shared" si="38"/>
        <v>148.00253903366595</v>
      </c>
      <c r="CP42" s="210">
        <f t="shared" si="38"/>
        <v>148.00253903366595</v>
      </c>
      <c r="CQ42" s="210">
        <f t="shared" si="38"/>
        <v>148.00253903366595</v>
      </c>
      <c r="CR42" s="210">
        <f t="shared" si="38"/>
        <v>148.00253903366595</v>
      </c>
      <c r="CS42" s="210">
        <f t="shared" si="38"/>
        <v>148.00253903366595</v>
      </c>
      <c r="CT42" s="210">
        <f t="shared" si="38"/>
        <v>148.00253903366595</v>
      </c>
      <c r="CU42" s="210">
        <f t="shared" si="38"/>
        <v>148.00253903366595</v>
      </c>
      <c r="CV42" s="210">
        <f t="shared" si="38"/>
        <v>148.00253903366595</v>
      </c>
      <c r="CW42" s="210">
        <f t="shared" si="38"/>
        <v>148.00253903366595</v>
      </c>
      <c r="CX42" s="210">
        <f t="shared" si="38"/>
        <v>106.36000000000018</v>
      </c>
      <c r="CY42" s="210">
        <f t="shared" si="38"/>
        <v>106.36000000000018</v>
      </c>
      <c r="CZ42" s="210">
        <f t="shared" si="38"/>
        <v>106.36000000000018</v>
      </c>
      <c r="DA42" s="210">
        <f t="shared" si="38"/>
        <v>106.36000000000018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15.771063293308034</v>
      </c>
      <c r="Y43" s="210">
        <f t="shared" si="39"/>
        <v>15.771063293308034</v>
      </c>
      <c r="Z43" s="210">
        <f t="shared" si="39"/>
        <v>15.771063293308034</v>
      </c>
      <c r="AA43" s="210">
        <f t="shared" si="39"/>
        <v>15.771063293308034</v>
      </c>
      <c r="AB43" s="210">
        <f t="shared" si="39"/>
        <v>15.771063293308034</v>
      </c>
      <c r="AC43" s="210">
        <f t="shared" si="39"/>
        <v>15.771063293308034</v>
      </c>
      <c r="AD43" s="210">
        <f t="shared" si="39"/>
        <v>15.771063293308034</v>
      </c>
      <c r="AE43" s="210">
        <f t="shared" si="39"/>
        <v>15.771063293308034</v>
      </c>
      <c r="AF43" s="210">
        <f t="shared" si="39"/>
        <v>15.771063293308034</v>
      </c>
      <c r="AG43" s="210">
        <f t="shared" si="39"/>
        <v>15.771063293308034</v>
      </c>
      <c r="AH43" s="210">
        <f t="shared" si="39"/>
        <v>15.771063293308034</v>
      </c>
      <c r="AI43" s="210">
        <f t="shared" si="39"/>
        <v>15.771063293308034</v>
      </c>
      <c r="AJ43" s="210">
        <f t="shared" si="39"/>
        <v>15.771063293308034</v>
      </c>
      <c r="AK43" s="210">
        <f t="shared" si="39"/>
        <v>15.771063293308034</v>
      </c>
      <c r="AL43" s="210">
        <f t="shared" ref="AL43:BQ43" si="40">IF(AL$22&lt;=$E$24,IF(AL$22&lt;=$D$24,IF(AL$22&lt;=$C$24,IF(AL$22&lt;=$B$24,$B109,($C26-$B26)/($C$24-$B$24)),($D26-$C26)/($D$24-$C$24)),($E26-$D26)/($E$24-$D$24)),$F109)</f>
        <v>15.771063293308034</v>
      </c>
      <c r="AM43" s="210">
        <f t="shared" si="40"/>
        <v>15.771063293308034</v>
      </c>
      <c r="AN43" s="210">
        <f t="shared" si="40"/>
        <v>15.771063293308034</v>
      </c>
      <c r="AO43" s="210">
        <f t="shared" si="40"/>
        <v>15.771063293308034</v>
      </c>
      <c r="AP43" s="210">
        <f t="shared" si="40"/>
        <v>15.771063293308034</v>
      </c>
      <c r="AQ43" s="210">
        <f t="shared" si="40"/>
        <v>15.771063293308034</v>
      </c>
      <c r="AR43" s="210">
        <f t="shared" si="40"/>
        <v>15.771063293308034</v>
      </c>
      <c r="AS43" s="210">
        <f t="shared" si="40"/>
        <v>15.771063293308034</v>
      </c>
      <c r="AT43" s="210">
        <f t="shared" si="40"/>
        <v>15.771063293308034</v>
      </c>
      <c r="AU43" s="210">
        <f t="shared" si="40"/>
        <v>15.771063293308034</v>
      </c>
      <c r="AV43" s="210">
        <f t="shared" si="40"/>
        <v>15.771063293308034</v>
      </c>
      <c r="AW43" s="210">
        <f t="shared" si="40"/>
        <v>15.771063293308034</v>
      </c>
      <c r="AX43" s="210">
        <f t="shared" si="40"/>
        <v>15.771063293308034</v>
      </c>
      <c r="AY43" s="210">
        <f t="shared" si="40"/>
        <v>15.771063293308034</v>
      </c>
      <c r="AZ43" s="210">
        <f t="shared" si="40"/>
        <v>15.771063293308034</v>
      </c>
      <c r="BA43" s="210">
        <f t="shared" si="40"/>
        <v>15.771063293308034</v>
      </c>
      <c r="BB43" s="210">
        <f t="shared" si="40"/>
        <v>15.771063293308034</v>
      </c>
      <c r="BC43" s="210">
        <f t="shared" si="40"/>
        <v>15.771063293308034</v>
      </c>
      <c r="BD43" s="210">
        <f t="shared" si="40"/>
        <v>15.771063293308034</v>
      </c>
      <c r="BE43" s="210">
        <f t="shared" si="40"/>
        <v>15.771063293308034</v>
      </c>
      <c r="BF43" s="210">
        <f t="shared" si="40"/>
        <v>204.45841236886744</v>
      </c>
      <c r="BG43" s="210">
        <f t="shared" si="40"/>
        <v>204.45841236886744</v>
      </c>
      <c r="BH43" s="210">
        <f t="shared" si="40"/>
        <v>204.45841236886744</v>
      </c>
      <c r="BI43" s="210">
        <f t="shared" si="40"/>
        <v>204.45841236886744</v>
      </c>
      <c r="BJ43" s="210">
        <f t="shared" si="40"/>
        <v>204.45841236886744</v>
      </c>
      <c r="BK43" s="210">
        <f t="shared" si="40"/>
        <v>204.45841236886744</v>
      </c>
      <c r="BL43" s="210">
        <f t="shared" si="40"/>
        <v>204.45841236886744</v>
      </c>
      <c r="BM43" s="210">
        <f t="shared" si="40"/>
        <v>204.45841236886744</v>
      </c>
      <c r="BN43" s="210">
        <f t="shared" si="40"/>
        <v>204.45841236886744</v>
      </c>
      <c r="BO43" s="210">
        <f t="shared" si="40"/>
        <v>204.45841236886744</v>
      </c>
      <c r="BP43" s="210">
        <f t="shared" si="40"/>
        <v>204.45841236886744</v>
      </c>
      <c r="BQ43" s="210">
        <f t="shared" si="40"/>
        <v>204.45841236886744</v>
      </c>
      <c r="BR43" s="210">
        <f t="shared" ref="BR43:DA43" si="41">IF(BR$22&lt;=$E$24,IF(BR$22&lt;=$D$24,IF(BR$22&lt;=$C$24,IF(BR$22&lt;=$B$24,$B109,($C26-$B26)/($C$24-$B$24)),($D26-$C26)/($D$24-$C$24)),($E26-$D26)/($E$24-$D$24)),$F109)</f>
        <v>204.45841236886744</v>
      </c>
      <c r="BS43" s="210">
        <f t="shared" si="41"/>
        <v>204.45841236886744</v>
      </c>
      <c r="BT43" s="210">
        <f t="shared" si="41"/>
        <v>204.45841236886744</v>
      </c>
      <c r="BU43" s="210">
        <f t="shared" si="41"/>
        <v>204.45841236886744</v>
      </c>
      <c r="BV43" s="210">
        <f t="shared" si="41"/>
        <v>204.45841236886744</v>
      </c>
      <c r="BW43" s="210">
        <f t="shared" si="41"/>
        <v>204.45841236886744</v>
      </c>
      <c r="BX43" s="210">
        <f t="shared" si="41"/>
        <v>204.45841236886744</v>
      </c>
      <c r="BY43" s="210">
        <f t="shared" si="41"/>
        <v>204.45841236886744</v>
      </c>
      <c r="BZ43" s="210">
        <f t="shared" si="41"/>
        <v>204.45841236886744</v>
      </c>
      <c r="CA43" s="210">
        <f t="shared" si="41"/>
        <v>204.45841236886744</v>
      </c>
      <c r="CB43" s="210">
        <f t="shared" si="41"/>
        <v>204.45841236886744</v>
      </c>
      <c r="CC43" s="210">
        <f t="shared" si="41"/>
        <v>204.45841236886744</v>
      </c>
      <c r="CD43" s="210">
        <f t="shared" si="41"/>
        <v>204.45841236886744</v>
      </c>
      <c r="CE43" s="210">
        <f t="shared" si="41"/>
        <v>204.45841236886744</v>
      </c>
      <c r="CF43" s="210">
        <f t="shared" si="41"/>
        <v>204.45841236886744</v>
      </c>
      <c r="CG43" s="210">
        <f t="shared" si="41"/>
        <v>204.45841236886744</v>
      </c>
      <c r="CH43" s="210">
        <f t="shared" si="41"/>
        <v>1425.1243215333359</v>
      </c>
      <c r="CI43" s="210">
        <f t="shared" si="41"/>
        <v>1425.1243215333359</v>
      </c>
      <c r="CJ43" s="210">
        <f t="shared" si="41"/>
        <v>1425.1243215333359</v>
      </c>
      <c r="CK43" s="210">
        <f t="shared" si="41"/>
        <v>1425.1243215333359</v>
      </c>
      <c r="CL43" s="210">
        <f t="shared" si="41"/>
        <v>1425.1243215333359</v>
      </c>
      <c r="CM43" s="210">
        <f t="shared" si="41"/>
        <v>1425.1243215333359</v>
      </c>
      <c r="CN43" s="210">
        <f t="shared" si="41"/>
        <v>1425.1243215333359</v>
      </c>
      <c r="CO43" s="210">
        <f t="shared" si="41"/>
        <v>1425.1243215333359</v>
      </c>
      <c r="CP43" s="210">
        <f t="shared" si="41"/>
        <v>1425.1243215333359</v>
      </c>
      <c r="CQ43" s="210">
        <f t="shared" si="41"/>
        <v>1425.1243215333359</v>
      </c>
      <c r="CR43" s="210">
        <f t="shared" si="41"/>
        <v>1425.1243215333359</v>
      </c>
      <c r="CS43" s="210">
        <f t="shared" si="41"/>
        <v>1425.1243215333359</v>
      </c>
      <c r="CT43" s="210">
        <f t="shared" si="41"/>
        <v>1425.1243215333359</v>
      </c>
      <c r="CU43" s="210">
        <f t="shared" si="41"/>
        <v>1425.1243215333359</v>
      </c>
      <c r="CV43" s="210">
        <f t="shared" si="41"/>
        <v>1425.1243215333359</v>
      </c>
      <c r="CW43" s="210">
        <f t="shared" si="41"/>
        <v>1425.1243215333359</v>
      </c>
      <c r="CX43" s="210">
        <f t="shared" si="41"/>
        <v>724.86000000000081</v>
      </c>
      <c r="CY43" s="210">
        <f t="shared" si="41"/>
        <v>724.86000000000081</v>
      </c>
      <c r="CZ43" s="210">
        <f t="shared" si="41"/>
        <v>724.86000000000081</v>
      </c>
      <c r="DA43" s="210">
        <f t="shared" si="41"/>
        <v>724.86000000000081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19.760435295601614</v>
      </c>
      <c r="Y44" s="210">
        <f t="shared" si="42"/>
        <v>19.760435295601614</v>
      </c>
      <c r="Z44" s="210">
        <f t="shared" si="42"/>
        <v>19.760435295601614</v>
      </c>
      <c r="AA44" s="210">
        <f t="shared" si="42"/>
        <v>19.760435295601614</v>
      </c>
      <c r="AB44" s="210">
        <f t="shared" si="42"/>
        <v>19.760435295601614</v>
      </c>
      <c r="AC44" s="210">
        <f t="shared" si="42"/>
        <v>19.760435295601614</v>
      </c>
      <c r="AD44" s="210">
        <f t="shared" si="42"/>
        <v>19.760435295601614</v>
      </c>
      <c r="AE44" s="210">
        <f t="shared" si="42"/>
        <v>19.760435295601614</v>
      </c>
      <c r="AF44" s="210">
        <f t="shared" si="42"/>
        <v>19.760435295601614</v>
      </c>
      <c r="AG44" s="210">
        <f t="shared" si="42"/>
        <v>19.760435295601614</v>
      </c>
      <c r="AH44" s="210">
        <f t="shared" si="42"/>
        <v>19.760435295601614</v>
      </c>
      <c r="AI44" s="210">
        <f t="shared" si="42"/>
        <v>19.760435295601614</v>
      </c>
      <c r="AJ44" s="210">
        <f t="shared" si="42"/>
        <v>19.760435295601614</v>
      </c>
      <c r="AK44" s="210">
        <f t="shared" si="42"/>
        <v>19.760435295601614</v>
      </c>
      <c r="AL44" s="210">
        <f t="shared" ref="AL44:BQ44" si="43">IF(AL$22&lt;=$E$24,IF(AL$22&lt;=$D$24,IF(AL$22&lt;=$C$24,IF(AL$22&lt;=$B$24,$B110,($C27-$B27)/($C$24-$B$24)),($D27-$C27)/($D$24-$C$24)),($E27-$D27)/($E$24-$D$24)),$F110)</f>
        <v>19.760435295601614</v>
      </c>
      <c r="AM44" s="210">
        <f t="shared" si="43"/>
        <v>19.760435295601614</v>
      </c>
      <c r="AN44" s="210">
        <f t="shared" si="43"/>
        <v>19.760435295601614</v>
      </c>
      <c r="AO44" s="210">
        <f t="shared" si="43"/>
        <v>19.760435295601614</v>
      </c>
      <c r="AP44" s="210">
        <f t="shared" si="43"/>
        <v>19.760435295601614</v>
      </c>
      <c r="AQ44" s="210">
        <f t="shared" si="43"/>
        <v>19.760435295601614</v>
      </c>
      <c r="AR44" s="210">
        <f t="shared" si="43"/>
        <v>19.760435295601614</v>
      </c>
      <c r="AS44" s="210">
        <f t="shared" si="43"/>
        <v>19.760435295601614</v>
      </c>
      <c r="AT44" s="210">
        <f t="shared" si="43"/>
        <v>19.760435295601614</v>
      </c>
      <c r="AU44" s="210">
        <f t="shared" si="43"/>
        <v>19.760435295601614</v>
      </c>
      <c r="AV44" s="210">
        <f t="shared" si="43"/>
        <v>19.760435295601614</v>
      </c>
      <c r="AW44" s="210">
        <f t="shared" si="43"/>
        <v>19.760435295601614</v>
      </c>
      <c r="AX44" s="210">
        <f t="shared" si="43"/>
        <v>19.760435295601614</v>
      </c>
      <c r="AY44" s="210">
        <f t="shared" si="43"/>
        <v>19.760435295601614</v>
      </c>
      <c r="AZ44" s="210">
        <f t="shared" si="43"/>
        <v>19.760435295601614</v>
      </c>
      <c r="BA44" s="210">
        <f t="shared" si="43"/>
        <v>19.760435295601614</v>
      </c>
      <c r="BB44" s="210">
        <f t="shared" si="43"/>
        <v>19.760435295601614</v>
      </c>
      <c r="BC44" s="210">
        <f t="shared" si="43"/>
        <v>19.760435295601614</v>
      </c>
      <c r="BD44" s="210">
        <f t="shared" si="43"/>
        <v>19.760435295601614</v>
      </c>
      <c r="BE44" s="210">
        <f t="shared" si="43"/>
        <v>19.760435295601614</v>
      </c>
      <c r="BF44" s="210">
        <f t="shared" si="43"/>
        <v>44.301799045437981</v>
      </c>
      <c r="BG44" s="210">
        <f t="shared" si="43"/>
        <v>44.301799045437981</v>
      </c>
      <c r="BH44" s="210">
        <f t="shared" si="43"/>
        <v>44.301799045437981</v>
      </c>
      <c r="BI44" s="210">
        <f t="shared" si="43"/>
        <v>44.301799045437981</v>
      </c>
      <c r="BJ44" s="210">
        <f t="shared" si="43"/>
        <v>44.301799045437981</v>
      </c>
      <c r="BK44" s="210">
        <f t="shared" si="43"/>
        <v>44.301799045437981</v>
      </c>
      <c r="BL44" s="210">
        <f t="shared" si="43"/>
        <v>44.301799045437981</v>
      </c>
      <c r="BM44" s="210">
        <f t="shared" si="43"/>
        <v>44.301799045437981</v>
      </c>
      <c r="BN44" s="210">
        <f t="shared" si="43"/>
        <v>44.301799045437981</v>
      </c>
      <c r="BO44" s="210">
        <f t="shared" si="43"/>
        <v>44.301799045437981</v>
      </c>
      <c r="BP44" s="210">
        <f t="shared" si="43"/>
        <v>44.301799045437981</v>
      </c>
      <c r="BQ44" s="210">
        <f t="shared" si="43"/>
        <v>44.301799045437981</v>
      </c>
      <c r="BR44" s="210">
        <f t="shared" ref="BR44:DA44" si="44">IF(BR$22&lt;=$E$24,IF(BR$22&lt;=$D$24,IF(BR$22&lt;=$C$24,IF(BR$22&lt;=$B$24,$B110,($C27-$B27)/($C$24-$B$24)),($D27-$C27)/($D$24-$C$24)),($E27-$D27)/($E$24-$D$24)),$F110)</f>
        <v>44.301799045437981</v>
      </c>
      <c r="BS44" s="210">
        <f t="shared" si="44"/>
        <v>44.301799045437981</v>
      </c>
      <c r="BT44" s="210">
        <f t="shared" si="44"/>
        <v>44.301799045437981</v>
      </c>
      <c r="BU44" s="210">
        <f t="shared" si="44"/>
        <v>44.301799045437981</v>
      </c>
      <c r="BV44" s="210">
        <f t="shared" si="44"/>
        <v>44.301799045437981</v>
      </c>
      <c r="BW44" s="210">
        <f t="shared" si="44"/>
        <v>44.301799045437981</v>
      </c>
      <c r="BX44" s="210">
        <f t="shared" si="44"/>
        <v>44.301799045437981</v>
      </c>
      <c r="BY44" s="210">
        <f t="shared" si="44"/>
        <v>44.301799045437981</v>
      </c>
      <c r="BZ44" s="210">
        <f t="shared" si="44"/>
        <v>44.301799045437981</v>
      </c>
      <c r="CA44" s="210">
        <f t="shared" si="44"/>
        <v>44.301799045437981</v>
      </c>
      <c r="CB44" s="210">
        <f t="shared" si="44"/>
        <v>44.301799045437981</v>
      </c>
      <c r="CC44" s="210">
        <f t="shared" si="44"/>
        <v>44.301799045437981</v>
      </c>
      <c r="CD44" s="210">
        <f t="shared" si="44"/>
        <v>44.301799045437981</v>
      </c>
      <c r="CE44" s="210">
        <f t="shared" si="44"/>
        <v>44.301799045437981</v>
      </c>
      <c r="CF44" s="210">
        <f t="shared" si="44"/>
        <v>44.301799045437981</v>
      </c>
      <c r="CG44" s="210">
        <f t="shared" si="44"/>
        <v>44.301799045437981</v>
      </c>
      <c r="CH44" s="210">
        <f t="shared" si="44"/>
        <v>75.579772313265266</v>
      </c>
      <c r="CI44" s="210">
        <f t="shared" si="44"/>
        <v>75.579772313265266</v>
      </c>
      <c r="CJ44" s="210">
        <f t="shared" si="44"/>
        <v>75.579772313265266</v>
      </c>
      <c r="CK44" s="210">
        <f t="shared" si="44"/>
        <v>75.579772313265266</v>
      </c>
      <c r="CL44" s="210">
        <f t="shared" si="44"/>
        <v>75.579772313265266</v>
      </c>
      <c r="CM44" s="210">
        <f t="shared" si="44"/>
        <v>75.579772313265266</v>
      </c>
      <c r="CN44" s="210">
        <f t="shared" si="44"/>
        <v>75.579772313265266</v>
      </c>
      <c r="CO44" s="210">
        <f t="shared" si="44"/>
        <v>75.579772313265266</v>
      </c>
      <c r="CP44" s="210">
        <f t="shared" si="44"/>
        <v>75.579772313265266</v>
      </c>
      <c r="CQ44" s="210">
        <f t="shared" si="44"/>
        <v>75.579772313265266</v>
      </c>
      <c r="CR44" s="210">
        <f t="shared" si="44"/>
        <v>75.579772313265266</v>
      </c>
      <c r="CS44" s="210">
        <f t="shared" si="44"/>
        <v>75.579772313265266</v>
      </c>
      <c r="CT44" s="210">
        <f t="shared" si="44"/>
        <v>75.579772313265266</v>
      </c>
      <c r="CU44" s="210">
        <f t="shared" si="44"/>
        <v>75.579772313265266</v>
      </c>
      <c r="CV44" s="210">
        <f t="shared" si="44"/>
        <v>75.579772313265266</v>
      </c>
      <c r="CW44" s="210">
        <f t="shared" si="44"/>
        <v>75.579772313265266</v>
      </c>
      <c r="CX44" s="210">
        <f t="shared" si="44"/>
        <v>8.4309999999999938</v>
      </c>
      <c r="CY44" s="210">
        <f t="shared" si="44"/>
        <v>8.4309999999999938</v>
      </c>
      <c r="CZ44" s="210">
        <f t="shared" si="44"/>
        <v>8.4309999999999938</v>
      </c>
      <c r="DA44" s="210">
        <f t="shared" si="44"/>
        <v>8.4309999999999938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6.3091463626217995E-2</v>
      </c>
      <c r="Y45" s="210">
        <f t="shared" si="45"/>
        <v>6.3091463626217995E-2</v>
      </c>
      <c r="Z45" s="210">
        <f t="shared" si="45"/>
        <v>6.3091463626217995E-2</v>
      </c>
      <c r="AA45" s="210">
        <f t="shared" si="45"/>
        <v>6.3091463626217995E-2</v>
      </c>
      <c r="AB45" s="210">
        <f t="shared" si="45"/>
        <v>6.3091463626217995E-2</v>
      </c>
      <c r="AC45" s="210">
        <f t="shared" si="45"/>
        <v>6.3091463626217995E-2</v>
      </c>
      <c r="AD45" s="210">
        <f t="shared" si="45"/>
        <v>6.3091463626217995E-2</v>
      </c>
      <c r="AE45" s="210">
        <f t="shared" si="45"/>
        <v>6.3091463626217995E-2</v>
      </c>
      <c r="AF45" s="210">
        <f t="shared" si="45"/>
        <v>6.3091463626217995E-2</v>
      </c>
      <c r="AG45" s="210">
        <f t="shared" si="45"/>
        <v>6.3091463626217995E-2</v>
      </c>
      <c r="AH45" s="210">
        <f t="shared" si="45"/>
        <v>6.3091463626217995E-2</v>
      </c>
      <c r="AI45" s="210">
        <f t="shared" si="45"/>
        <v>6.3091463626217995E-2</v>
      </c>
      <c r="AJ45" s="210">
        <f t="shared" si="45"/>
        <v>6.3091463626217995E-2</v>
      </c>
      <c r="AK45" s="210">
        <f t="shared" si="45"/>
        <v>6.3091463626217995E-2</v>
      </c>
      <c r="AL45" s="210">
        <f t="shared" ref="AL45:BQ45" si="46">IF(AL$22&lt;=$E$24,IF(AL$22&lt;=$D$24,IF(AL$22&lt;=$C$24,IF(AL$22&lt;=$B$24,$B111,($C28-$B28)/($C$24-$B$24)),($D28-$C28)/($D$24-$C$24)),($E28-$D28)/($E$24-$D$24)),$F111)</f>
        <v>6.3091463626217995E-2</v>
      </c>
      <c r="AM45" s="210">
        <f t="shared" si="46"/>
        <v>6.3091463626217995E-2</v>
      </c>
      <c r="AN45" s="210">
        <f t="shared" si="46"/>
        <v>6.3091463626217995E-2</v>
      </c>
      <c r="AO45" s="210">
        <f t="shared" si="46"/>
        <v>6.3091463626217995E-2</v>
      </c>
      <c r="AP45" s="210">
        <f t="shared" si="46"/>
        <v>6.3091463626217995E-2</v>
      </c>
      <c r="AQ45" s="210">
        <f t="shared" si="46"/>
        <v>6.3091463626217995E-2</v>
      </c>
      <c r="AR45" s="210">
        <f t="shared" si="46"/>
        <v>6.3091463626217995E-2</v>
      </c>
      <c r="AS45" s="210">
        <f t="shared" si="46"/>
        <v>6.3091463626217995E-2</v>
      </c>
      <c r="AT45" s="210">
        <f t="shared" si="46"/>
        <v>6.3091463626217995E-2</v>
      </c>
      <c r="AU45" s="210">
        <f t="shared" si="46"/>
        <v>6.3091463626217995E-2</v>
      </c>
      <c r="AV45" s="210">
        <f t="shared" si="46"/>
        <v>6.3091463626217995E-2</v>
      </c>
      <c r="AW45" s="210">
        <f t="shared" si="46"/>
        <v>6.3091463626217995E-2</v>
      </c>
      <c r="AX45" s="210">
        <f t="shared" si="46"/>
        <v>6.3091463626217995E-2</v>
      </c>
      <c r="AY45" s="210">
        <f t="shared" si="46"/>
        <v>6.3091463626217995E-2</v>
      </c>
      <c r="AZ45" s="210">
        <f t="shared" si="46"/>
        <v>6.3091463626217995E-2</v>
      </c>
      <c r="BA45" s="210">
        <f t="shared" si="46"/>
        <v>6.3091463626217995E-2</v>
      </c>
      <c r="BB45" s="210">
        <f t="shared" si="46"/>
        <v>6.3091463626217995E-2</v>
      </c>
      <c r="BC45" s="210">
        <f t="shared" si="46"/>
        <v>6.3091463626217995E-2</v>
      </c>
      <c r="BD45" s="210">
        <f t="shared" si="46"/>
        <v>6.3091463626217995E-2</v>
      </c>
      <c r="BE45" s="210">
        <f t="shared" si="46"/>
        <v>6.3091463626217995E-2</v>
      </c>
      <c r="BF45" s="210">
        <f t="shared" si="46"/>
        <v>48.516780878331929</v>
      </c>
      <c r="BG45" s="210">
        <f t="shared" si="46"/>
        <v>48.516780878331929</v>
      </c>
      <c r="BH45" s="210">
        <f t="shared" si="46"/>
        <v>48.516780878331929</v>
      </c>
      <c r="BI45" s="210">
        <f t="shared" si="46"/>
        <v>48.516780878331929</v>
      </c>
      <c r="BJ45" s="210">
        <f t="shared" si="46"/>
        <v>48.516780878331929</v>
      </c>
      <c r="BK45" s="210">
        <f t="shared" si="46"/>
        <v>48.516780878331929</v>
      </c>
      <c r="BL45" s="210">
        <f t="shared" si="46"/>
        <v>48.516780878331929</v>
      </c>
      <c r="BM45" s="210">
        <f t="shared" si="46"/>
        <v>48.516780878331929</v>
      </c>
      <c r="BN45" s="210">
        <f t="shared" si="46"/>
        <v>48.516780878331929</v>
      </c>
      <c r="BO45" s="210">
        <f t="shared" si="46"/>
        <v>48.516780878331929</v>
      </c>
      <c r="BP45" s="210">
        <f t="shared" si="46"/>
        <v>48.516780878331929</v>
      </c>
      <c r="BQ45" s="210">
        <f t="shared" si="46"/>
        <v>48.516780878331929</v>
      </c>
      <c r="BR45" s="210">
        <f t="shared" ref="BR45:DA45" si="47">IF(BR$22&lt;=$E$24,IF(BR$22&lt;=$D$24,IF(BR$22&lt;=$C$24,IF(BR$22&lt;=$B$24,$B111,($C28-$B28)/($C$24-$B$24)),($D28-$C28)/($D$24-$C$24)),($E28-$D28)/($E$24-$D$24)),$F111)</f>
        <v>48.516780878331929</v>
      </c>
      <c r="BS45" s="210">
        <f t="shared" si="47"/>
        <v>48.516780878331929</v>
      </c>
      <c r="BT45" s="210">
        <f t="shared" si="47"/>
        <v>48.516780878331929</v>
      </c>
      <c r="BU45" s="210">
        <f t="shared" si="47"/>
        <v>48.516780878331929</v>
      </c>
      <c r="BV45" s="210">
        <f t="shared" si="47"/>
        <v>48.516780878331929</v>
      </c>
      <c r="BW45" s="210">
        <f t="shared" si="47"/>
        <v>48.516780878331929</v>
      </c>
      <c r="BX45" s="210">
        <f t="shared" si="47"/>
        <v>48.516780878331929</v>
      </c>
      <c r="BY45" s="210">
        <f t="shared" si="47"/>
        <v>48.516780878331929</v>
      </c>
      <c r="BZ45" s="210">
        <f t="shared" si="47"/>
        <v>48.516780878331929</v>
      </c>
      <c r="CA45" s="210">
        <f t="shared" si="47"/>
        <v>48.516780878331929</v>
      </c>
      <c r="CB45" s="210">
        <f t="shared" si="47"/>
        <v>48.516780878331929</v>
      </c>
      <c r="CC45" s="210">
        <f t="shared" si="47"/>
        <v>48.516780878331929</v>
      </c>
      <c r="CD45" s="210">
        <f t="shared" si="47"/>
        <v>48.516780878331929</v>
      </c>
      <c r="CE45" s="210">
        <f t="shared" si="47"/>
        <v>48.516780878331929</v>
      </c>
      <c r="CF45" s="210">
        <f t="shared" si="47"/>
        <v>48.516780878331929</v>
      </c>
      <c r="CG45" s="210">
        <f t="shared" si="47"/>
        <v>48.516780878331929</v>
      </c>
      <c r="CH45" s="210">
        <f t="shared" si="47"/>
        <v>68.355094305891086</v>
      </c>
      <c r="CI45" s="210">
        <f t="shared" si="47"/>
        <v>68.355094305891086</v>
      </c>
      <c r="CJ45" s="210">
        <f t="shared" si="47"/>
        <v>68.355094305891086</v>
      </c>
      <c r="CK45" s="210">
        <f t="shared" si="47"/>
        <v>68.355094305891086</v>
      </c>
      <c r="CL45" s="210">
        <f t="shared" si="47"/>
        <v>68.355094305891086</v>
      </c>
      <c r="CM45" s="210">
        <f t="shared" si="47"/>
        <v>68.355094305891086</v>
      </c>
      <c r="CN45" s="210">
        <f t="shared" si="47"/>
        <v>68.355094305891086</v>
      </c>
      <c r="CO45" s="210">
        <f t="shared" si="47"/>
        <v>68.355094305891086</v>
      </c>
      <c r="CP45" s="210">
        <f t="shared" si="47"/>
        <v>68.355094305891086</v>
      </c>
      <c r="CQ45" s="210">
        <f t="shared" si="47"/>
        <v>68.355094305891086</v>
      </c>
      <c r="CR45" s="210">
        <f t="shared" si="47"/>
        <v>68.355094305891086</v>
      </c>
      <c r="CS45" s="210">
        <f t="shared" si="47"/>
        <v>68.355094305891086</v>
      </c>
      <c r="CT45" s="210">
        <f t="shared" si="47"/>
        <v>68.355094305891086</v>
      </c>
      <c r="CU45" s="210">
        <f t="shared" si="47"/>
        <v>68.355094305891086</v>
      </c>
      <c r="CV45" s="210">
        <f t="shared" si="47"/>
        <v>68.355094305891086</v>
      </c>
      <c r="CW45" s="210">
        <f t="shared" si="47"/>
        <v>68.355094305891086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118.14372282652094</v>
      </c>
      <c r="Y46" s="210">
        <f t="shared" si="48"/>
        <v>118.14372282652094</v>
      </c>
      <c r="Z46" s="210">
        <f t="shared" si="48"/>
        <v>118.14372282652094</v>
      </c>
      <c r="AA46" s="210">
        <f t="shared" si="48"/>
        <v>118.14372282652094</v>
      </c>
      <c r="AB46" s="210">
        <f t="shared" si="48"/>
        <v>118.14372282652094</v>
      </c>
      <c r="AC46" s="210">
        <f t="shared" si="48"/>
        <v>118.14372282652094</v>
      </c>
      <c r="AD46" s="210">
        <f t="shared" si="48"/>
        <v>118.14372282652094</v>
      </c>
      <c r="AE46" s="210">
        <f t="shared" si="48"/>
        <v>118.14372282652094</v>
      </c>
      <c r="AF46" s="210">
        <f t="shared" si="48"/>
        <v>118.14372282652094</v>
      </c>
      <c r="AG46" s="210">
        <f t="shared" si="48"/>
        <v>118.14372282652094</v>
      </c>
      <c r="AH46" s="210">
        <f t="shared" si="48"/>
        <v>118.14372282652094</v>
      </c>
      <c r="AI46" s="210">
        <f t="shared" si="48"/>
        <v>118.14372282652094</v>
      </c>
      <c r="AJ46" s="210">
        <f t="shared" si="48"/>
        <v>118.14372282652094</v>
      </c>
      <c r="AK46" s="210">
        <f t="shared" si="48"/>
        <v>118.14372282652094</v>
      </c>
      <c r="AL46" s="210">
        <f t="shared" ref="AL46:BQ46" si="49">IF(AL$22&lt;=$E$24,IF(AL$22&lt;=$D$24,IF(AL$22&lt;=$C$24,IF(AL$22&lt;=$B$24,$B112,($C29-$B29)/($C$24-$B$24)),($D29-$C29)/($D$24-$C$24)),($E29-$D29)/($E$24-$D$24)),$F112)</f>
        <v>118.14372282652094</v>
      </c>
      <c r="AM46" s="210">
        <f t="shared" si="49"/>
        <v>118.14372282652094</v>
      </c>
      <c r="AN46" s="210">
        <f t="shared" si="49"/>
        <v>118.14372282652094</v>
      </c>
      <c r="AO46" s="210">
        <f t="shared" si="49"/>
        <v>118.14372282652094</v>
      </c>
      <c r="AP46" s="210">
        <f t="shared" si="49"/>
        <v>118.14372282652094</v>
      </c>
      <c r="AQ46" s="210">
        <f t="shared" si="49"/>
        <v>118.14372282652094</v>
      </c>
      <c r="AR46" s="210">
        <f t="shared" si="49"/>
        <v>118.14372282652094</v>
      </c>
      <c r="AS46" s="210">
        <f t="shared" si="49"/>
        <v>118.14372282652094</v>
      </c>
      <c r="AT46" s="210">
        <f t="shared" si="49"/>
        <v>118.14372282652094</v>
      </c>
      <c r="AU46" s="210">
        <f t="shared" si="49"/>
        <v>118.14372282652094</v>
      </c>
      <c r="AV46" s="210">
        <f t="shared" si="49"/>
        <v>118.14372282652094</v>
      </c>
      <c r="AW46" s="210">
        <f t="shared" si="49"/>
        <v>118.14372282652094</v>
      </c>
      <c r="AX46" s="210">
        <f t="shared" si="49"/>
        <v>118.14372282652094</v>
      </c>
      <c r="AY46" s="210">
        <f t="shared" si="49"/>
        <v>118.14372282652094</v>
      </c>
      <c r="AZ46" s="210">
        <f t="shared" si="49"/>
        <v>118.14372282652094</v>
      </c>
      <c r="BA46" s="210">
        <f t="shared" si="49"/>
        <v>118.14372282652094</v>
      </c>
      <c r="BB46" s="210">
        <f t="shared" si="49"/>
        <v>118.14372282652094</v>
      </c>
      <c r="BC46" s="210">
        <f t="shared" si="49"/>
        <v>118.14372282652094</v>
      </c>
      <c r="BD46" s="210">
        <f t="shared" si="49"/>
        <v>118.14372282652094</v>
      </c>
      <c r="BE46" s="210">
        <f t="shared" si="49"/>
        <v>118.14372282652094</v>
      </c>
      <c r="BF46" s="210">
        <f t="shared" si="49"/>
        <v>511.05894390298107</v>
      </c>
      <c r="BG46" s="210">
        <f t="shared" si="49"/>
        <v>511.05894390298107</v>
      </c>
      <c r="BH46" s="210">
        <f t="shared" si="49"/>
        <v>511.05894390298107</v>
      </c>
      <c r="BI46" s="210">
        <f t="shared" si="49"/>
        <v>511.05894390298107</v>
      </c>
      <c r="BJ46" s="210">
        <f t="shared" si="49"/>
        <v>511.05894390298107</v>
      </c>
      <c r="BK46" s="210">
        <f t="shared" si="49"/>
        <v>511.05894390298107</v>
      </c>
      <c r="BL46" s="210">
        <f t="shared" si="49"/>
        <v>511.05894390298107</v>
      </c>
      <c r="BM46" s="210">
        <f t="shared" si="49"/>
        <v>511.05894390298107</v>
      </c>
      <c r="BN46" s="210">
        <f t="shared" si="49"/>
        <v>511.05894390298107</v>
      </c>
      <c r="BO46" s="210">
        <f t="shared" si="49"/>
        <v>511.05894390298107</v>
      </c>
      <c r="BP46" s="210">
        <f t="shared" si="49"/>
        <v>511.05894390298107</v>
      </c>
      <c r="BQ46" s="210">
        <f t="shared" si="49"/>
        <v>511.05894390298107</v>
      </c>
      <c r="BR46" s="210">
        <f t="shared" ref="BR46:DA46" si="50">IF(BR$22&lt;=$E$24,IF(BR$22&lt;=$D$24,IF(BR$22&lt;=$C$24,IF(BR$22&lt;=$B$24,$B112,($C29-$B29)/($C$24-$B$24)),($D29-$C29)/($D$24-$C$24)),($E29-$D29)/($E$24-$D$24)),$F112)</f>
        <v>511.05894390298107</v>
      </c>
      <c r="BS46" s="210">
        <f t="shared" si="50"/>
        <v>511.05894390298107</v>
      </c>
      <c r="BT46" s="210">
        <f t="shared" si="50"/>
        <v>511.05894390298107</v>
      </c>
      <c r="BU46" s="210">
        <f t="shared" si="50"/>
        <v>511.05894390298107</v>
      </c>
      <c r="BV46" s="210">
        <f t="shared" si="50"/>
        <v>511.05894390298107</v>
      </c>
      <c r="BW46" s="210">
        <f t="shared" si="50"/>
        <v>511.05894390298107</v>
      </c>
      <c r="BX46" s="210">
        <f t="shared" si="50"/>
        <v>511.05894390298107</v>
      </c>
      <c r="BY46" s="210">
        <f t="shared" si="50"/>
        <v>511.05894390298107</v>
      </c>
      <c r="BZ46" s="210">
        <f t="shared" si="50"/>
        <v>511.05894390298107</v>
      </c>
      <c r="CA46" s="210">
        <f t="shared" si="50"/>
        <v>511.05894390298107</v>
      </c>
      <c r="CB46" s="210">
        <f t="shared" si="50"/>
        <v>511.05894390298107</v>
      </c>
      <c r="CC46" s="210">
        <f t="shared" si="50"/>
        <v>511.05894390298107</v>
      </c>
      <c r="CD46" s="210">
        <f t="shared" si="50"/>
        <v>511.05894390298107</v>
      </c>
      <c r="CE46" s="210">
        <f t="shared" si="50"/>
        <v>511.05894390298107</v>
      </c>
      <c r="CF46" s="210">
        <f t="shared" si="50"/>
        <v>511.05894390298107</v>
      </c>
      <c r="CG46" s="210">
        <f t="shared" si="50"/>
        <v>511.05894390298107</v>
      </c>
      <c r="CH46" s="210">
        <f t="shared" si="50"/>
        <v>1207.4201514328868</v>
      </c>
      <c r="CI46" s="210">
        <f t="shared" si="50"/>
        <v>1207.4201514328868</v>
      </c>
      <c r="CJ46" s="210">
        <f t="shared" si="50"/>
        <v>1207.4201514328868</v>
      </c>
      <c r="CK46" s="210">
        <f t="shared" si="50"/>
        <v>1207.4201514328868</v>
      </c>
      <c r="CL46" s="210">
        <f t="shared" si="50"/>
        <v>1207.4201514328868</v>
      </c>
      <c r="CM46" s="210">
        <f t="shared" si="50"/>
        <v>1207.4201514328868</v>
      </c>
      <c r="CN46" s="210">
        <f t="shared" si="50"/>
        <v>1207.4201514328868</v>
      </c>
      <c r="CO46" s="210">
        <f t="shared" si="50"/>
        <v>1207.4201514328868</v>
      </c>
      <c r="CP46" s="210">
        <f t="shared" si="50"/>
        <v>1207.4201514328868</v>
      </c>
      <c r="CQ46" s="210">
        <f t="shared" si="50"/>
        <v>1207.4201514328868</v>
      </c>
      <c r="CR46" s="210">
        <f t="shared" si="50"/>
        <v>1207.4201514328868</v>
      </c>
      <c r="CS46" s="210">
        <f t="shared" si="50"/>
        <v>1207.4201514328868</v>
      </c>
      <c r="CT46" s="210">
        <f t="shared" si="50"/>
        <v>1207.4201514328868</v>
      </c>
      <c r="CU46" s="210">
        <f t="shared" si="50"/>
        <v>1207.4201514328868</v>
      </c>
      <c r="CV46" s="210">
        <f t="shared" si="50"/>
        <v>1207.4201514328868</v>
      </c>
      <c r="CW46" s="210">
        <f t="shared" si="50"/>
        <v>1207.4201514328868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-2.1275458520077519</v>
      </c>
      <c r="Y47" s="210">
        <f t="shared" si="51"/>
        <v>-2.1275458520077519</v>
      </c>
      <c r="Z47" s="210">
        <f t="shared" si="51"/>
        <v>-2.1275458520077519</v>
      </c>
      <c r="AA47" s="210">
        <f t="shared" si="51"/>
        <v>-2.1275458520077519</v>
      </c>
      <c r="AB47" s="210">
        <f t="shared" si="51"/>
        <v>-2.1275458520077519</v>
      </c>
      <c r="AC47" s="210">
        <f t="shared" si="51"/>
        <v>-2.1275458520077519</v>
      </c>
      <c r="AD47" s="210">
        <f t="shared" si="51"/>
        <v>-2.1275458520077519</v>
      </c>
      <c r="AE47" s="210">
        <f t="shared" si="51"/>
        <v>-2.1275458520077519</v>
      </c>
      <c r="AF47" s="210">
        <f t="shared" si="51"/>
        <v>-2.1275458520077519</v>
      </c>
      <c r="AG47" s="210">
        <f t="shared" si="51"/>
        <v>-2.1275458520077519</v>
      </c>
      <c r="AH47" s="210">
        <f t="shared" si="51"/>
        <v>-2.1275458520077519</v>
      </c>
      <c r="AI47" s="210">
        <f t="shared" si="51"/>
        <v>-2.1275458520077519</v>
      </c>
      <c r="AJ47" s="210">
        <f t="shared" si="51"/>
        <v>-2.1275458520077519</v>
      </c>
      <c r="AK47" s="210">
        <f t="shared" si="51"/>
        <v>-2.1275458520077519</v>
      </c>
      <c r="AL47" s="210">
        <f t="shared" ref="AL47:BQ47" si="52">IF(AL$22&lt;=$E$24,IF(AL$22&lt;=$D$24,IF(AL$22&lt;=$C$24,IF(AL$22&lt;=$B$24,$B113,($C30-$B30)/($C$24-$B$24)),($D30-$C30)/($D$24-$C$24)),($E30-$D30)/($E$24-$D$24)),$F113)</f>
        <v>-2.1275458520077519</v>
      </c>
      <c r="AM47" s="210">
        <f t="shared" si="52"/>
        <v>-2.1275458520077519</v>
      </c>
      <c r="AN47" s="210">
        <f t="shared" si="52"/>
        <v>-2.1275458520077519</v>
      </c>
      <c r="AO47" s="210">
        <f t="shared" si="52"/>
        <v>-2.1275458520077519</v>
      </c>
      <c r="AP47" s="210">
        <f t="shared" si="52"/>
        <v>-2.1275458520077519</v>
      </c>
      <c r="AQ47" s="210">
        <f t="shared" si="52"/>
        <v>-2.1275458520077519</v>
      </c>
      <c r="AR47" s="210">
        <f t="shared" si="52"/>
        <v>-2.1275458520077519</v>
      </c>
      <c r="AS47" s="210">
        <f t="shared" si="52"/>
        <v>-2.1275458520077519</v>
      </c>
      <c r="AT47" s="210">
        <f t="shared" si="52"/>
        <v>-2.1275458520077519</v>
      </c>
      <c r="AU47" s="210">
        <f t="shared" si="52"/>
        <v>-2.1275458520077519</v>
      </c>
      <c r="AV47" s="210">
        <f t="shared" si="52"/>
        <v>-2.1275458520077519</v>
      </c>
      <c r="AW47" s="210">
        <f t="shared" si="52"/>
        <v>-2.1275458520077519</v>
      </c>
      <c r="AX47" s="210">
        <f t="shared" si="52"/>
        <v>-2.1275458520077519</v>
      </c>
      <c r="AY47" s="210">
        <f t="shared" si="52"/>
        <v>-2.1275458520077519</v>
      </c>
      <c r="AZ47" s="210">
        <f t="shared" si="52"/>
        <v>-2.1275458520077519</v>
      </c>
      <c r="BA47" s="210">
        <f t="shared" si="52"/>
        <v>-2.1275458520077519</v>
      </c>
      <c r="BB47" s="210">
        <f t="shared" si="52"/>
        <v>-2.1275458520077519</v>
      </c>
      <c r="BC47" s="210">
        <f t="shared" si="52"/>
        <v>-2.1275458520077519</v>
      </c>
      <c r="BD47" s="210">
        <f t="shared" si="52"/>
        <v>-2.1275458520077519</v>
      </c>
      <c r="BE47" s="210">
        <f t="shared" si="52"/>
        <v>-2.1275458520077519</v>
      </c>
      <c r="BF47" s="210">
        <f t="shared" si="52"/>
        <v>-7.9794306249545732</v>
      </c>
      <c r="BG47" s="210">
        <f t="shared" si="52"/>
        <v>-7.9794306249545732</v>
      </c>
      <c r="BH47" s="210">
        <f t="shared" si="52"/>
        <v>-7.9794306249545732</v>
      </c>
      <c r="BI47" s="210">
        <f t="shared" si="52"/>
        <v>-7.9794306249545732</v>
      </c>
      <c r="BJ47" s="210">
        <f t="shared" si="52"/>
        <v>-7.9794306249545732</v>
      </c>
      <c r="BK47" s="210">
        <f t="shared" si="52"/>
        <v>-7.9794306249545732</v>
      </c>
      <c r="BL47" s="210">
        <f t="shared" si="52"/>
        <v>-7.9794306249545732</v>
      </c>
      <c r="BM47" s="210">
        <f t="shared" si="52"/>
        <v>-7.9794306249545732</v>
      </c>
      <c r="BN47" s="210">
        <f t="shared" si="52"/>
        <v>-7.9794306249545732</v>
      </c>
      <c r="BO47" s="210">
        <f t="shared" si="52"/>
        <v>-7.9794306249545732</v>
      </c>
      <c r="BP47" s="210">
        <f t="shared" si="52"/>
        <v>-7.9794306249545732</v>
      </c>
      <c r="BQ47" s="210">
        <f t="shared" si="52"/>
        <v>-7.9794306249545732</v>
      </c>
      <c r="BR47" s="210">
        <f t="shared" ref="BR47:DA47" si="53">IF(BR$22&lt;=$E$24,IF(BR$22&lt;=$D$24,IF(BR$22&lt;=$C$24,IF(BR$22&lt;=$B$24,$B113,($C30-$B30)/($C$24-$B$24)),($D30-$C30)/($D$24-$C$24)),($E30-$D30)/($E$24-$D$24)),$F113)</f>
        <v>-7.9794306249545732</v>
      </c>
      <c r="BS47" s="210">
        <f t="shared" si="53"/>
        <v>-7.9794306249545732</v>
      </c>
      <c r="BT47" s="210">
        <f t="shared" si="53"/>
        <v>-7.9794306249545732</v>
      </c>
      <c r="BU47" s="210">
        <f t="shared" si="53"/>
        <v>-7.9794306249545732</v>
      </c>
      <c r="BV47" s="210">
        <f t="shared" si="53"/>
        <v>-7.9794306249545732</v>
      </c>
      <c r="BW47" s="210">
        <f t="shared" si="53"/>
        <v>-7.9794306249545732</v>
      </c>
      <c r="BX47" s="210">
        <f t="shared" si="53"/>
        <v>-7.9794306249545732</v>
      </c>
      <c r="BY47" s="210">
        <f t="shared" si="53"/>
        <v>-7.9794306249545732</v>
      </c>
      <c r="BZ47" s="210">
        <f t="shared" si="53"/>
        <v>-7.9794306249545732</v>
      </c>
      <c r="CA47" s="210">
        <f t="shared" si="53"/>
        <v>-7.9794306249545732</v>
      </c>
      <c r="CB47" s="210">
        <f t="shared" si="53"/>
        <v>-7.9794306249545732</v>
      </c>
      <c r="CC47" s="210">
        <f t="shared" si="53"/>
        <v>-7.9794306249545732</v>
      </c>
      <c r="CD47" s="210">
        <f t="shared" si="53"/>
        <v>-7.9794306249545732</v>
      </c>
      <c r="CE47" s="210">
        <f t="shared" si="53"/>
        <v>-7.9794306249545732</v>
      </c>
      <c r="CF47" s="210">
        <f t="shared" si="53"/>
        <v>-7.9794306249545732</v>
      </c>
      <c r="CG47" s="210">
        <f t="shared" si="53"/>
        <v>-7.9794306249545732</v>
      </c>
      <c r="CH47" s="210">
        <f t="shared" si="53"/>
        <v>-0.51791090370556336</v>
      </c>
      <c r="CI47" s="210">
        <f t="shared" si="53"/>
        <v>-0.51791090370556336</v>
      </c>
      <c r="CJ47" s="210">
        <f t="shared" si="53"/>
        <v>-0.51791090370556336</v>
      </c>
      <c r="CK47" s="210">
        <f t="shared" si="53"/>
        <v>-0.51791090370556336</v>
      </c>
      <c r="CL47" s="210">
        <f t="shared" si="53"/>
        <v>-0.51791090370556336</v>
      </c>
      <c r="CM47" s="210">
        <f t="shared" si="53"/>
        <v>-0.51791090370556336</v>
      </c>
      <c r="CN47" s="210">
        <f t="shared" si="53"/>
        <v>-0.51791090370556336</v>
      </c>
      <c r="CO47" s="210">
        <f t="shared" si="53"/>
        <v>-0.51791090370556336</v>
      </c>
      <c r="CP47" s="210">
        <f t="shared" si="53"/>
        <v>-0.51791090370556336</v>
      </c>
      <c r="CQ47" s="210">
        <f t="shared" si="53"/>
        <v>-0.51791090370556336</v>
      </c>
      <c r="CR47" s="210">
        <f t="shared" si="53"/>
        <v>-0.51791090370556336</v>
      </c>
      <c r="CS47" s="210">
        <f t="shared" si="53"/>
        <v>-0.51791090370556336</v>
      </c>
      <c r="CT47" s="210">
        <f t="shared" si="53"/>
        <v>-0.51791090370556336</v>
      </c>
      <c r="CU47" s="210">
        <f t="shared" si="53"/>
        <v>-0.51791090370556336</v>
      </c>
      <c r="CV47" s="210">
        <f t="shared" si="53"/>
        <v>-0.51791090370556336</v>
      </c>
      <c r="CW47" s="210">
        <f t="shared" si="53"/>
        <v>-0.51791090370556336</v>
      </c>
      <c r="CX47" s="210">
        <f t="shared" si="53"/>
        <v>52.190000000000225</v>
      </c>
      <c r="CY47" s="210">
        <f t="shared" si="53"/>
        <v>52.190000000000225</v>
      </c>
      <c r="CZ47" s="210">
        <f t="shared" si="53"/>
        <v>52.190000000000225</v>
      </c>
      <c r="DA47" s="210">
        <f t="shared" si="53"/>
        <v>52.190000000000225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38.743087614929273</v>
      </c>
      <c r="Y48" s="210">
        <f t="shared" si="54"/>
        <v>38.743087614929273</v>
      </c>
      <c r="Z48" s="210">
        <f t="shared" si="54"/>
        <v>38.743087614929273</v>
      </c>
      <c r="AA48" s="210">
        <f t="shared" si="54"/>
        <v>38.743087614929273</v>
      </c>
      <c r="AB48" s="210">
        <f t="shared" si="54"/>
        <v>38.743087614929273</v>
      </c>
      <c r="AC48" s="210">
        <f t="shared" si="54"/>
        <v>38.743087614929273</v>
      </c>
      <c r="AD48" s="210">
        <f t="shared" si="54"/>
        <v>38.743087614929273</v>
      </c>
      <c r="AE48" s="210">
        <f t="shared" si="54"/>
        <v>38.743087614929273</v>
      </c>
      <c r="AF48" s="210">
        <f t="shared" si="54"/>
        <v>38.743087614929273</v>
      </c>
      <c r="AG48" s="210">
        <f t="shared" si="54"/>
        <v>38.743087614929273</v>
      </c>
      <c r="AH48" s="210">
        <f t="shared" si="54"/>
        <v>38.743087614929273</v>
      </c>
      <c r="AI48" s="210">
        <f t="shared" si="54"/>
        <v>38.743087614929273</v>
      </c>
      <c r="AJ48" s="210">
        <f t="shared" si="54"/>
        <v>38.743087614929273</v>
      </c>
      <c r="AK48" s="210">
        <f t="shared" si="54"/>
        <v>38.743087614929273</v>
      </c>
      <c r="AL48" s="210">
        <f t="shared" ref="AL48:BQ48" si="55">IF(AL$22&lt;=$E$24,IF(AL$22&lt;=$D$24,IF(AL$22&lt;=$C$24,IF(AL$22&lt;=$B$24,$B114,($C31-$B31)/($C$24-$B$24)),($D31-$C31)/($D$24-$C$24)),($E31-$D31)/($E$24-$D$24)),$F114)</f>
        <v>38.743087614929273</v>
      </c>
      <c r="AM48" s="210">
        <f t="shared" si="55"/>
        <v>38.743087614929273</v>
      </c>
      <c r="AN48" s="210">
        <f t="shared" si="55"/>
        <v>38.743087614929273</v>
      </c>
      <c r="AO48" s="210">
        <f t="shared" si="55"/>
        <v>38.743087614929273</v>
      </c>
      <c r="AP48" s="210">
        <f t="shared" si="55"/>
        <v>38.743087614929273</v>
      </c>
      <c r="AQ48" s="210">
        <f t="shared" si="55"/>
        <v>38.743087614929273</v>
      </c>
      <c r="AR48" s="210">
        <f t="shared" si="55"/>
        <v>38.743087614929273</v>
      </c>
      <c r="AS48" s="210">
        <f t="shared" si="55"/>
        <v>38.743087614929273</v>
      </c>
      <c r="AT48" s="210">
        <f t="shared" si="55"/>
        <v>38.743087614929273</v>
      </c>
      <c r="AU48" s="210">
        <f t="shared" si="55"/>
        <v>38.743087614929273</v>
      </c>
      <c r="AV48" s="210">
        <f t="shared" si="55"/>
        <v>38.743087614929273</v>
      </c>
      <c r="AW48" s="210">
        <f t="shared" si="55"/>
        <v>38.743087614929273</v>
      </c>
      <c r="AX48" s="210">
        <f t="shared" si="55"/>
        <v>38.743087614929273</v>
      </c>
      <c r="AY48" s="210">
        <f t="shared" si="55"/>
        <v>38.743087614929273</v>
      </c>
      <c r="AZ48" s="210">
        <f t="shared" si="55"/>
        <v>38.743087614929273</v>
      </c>
      <c r="BA48" s="210">
        <f t="shared" si="55"/>
        <v>38.743087614929273</v>
      </c>
      <c r="BB48" s="210">
        <f t="shared" si="55"/>
        <v>38.743087614929273</v>
      </c>
      <c r="BC48" s="210">
        <f t="shared" si="55"/>
        <v>38.743087614929273</v>
      </c>
      <c r="BD48" s="210">
        <f t="shared" si="55"/>
        <v>38.743087614929273</v>
      </c>
      <c r="BE48" s="210">
        <f t="shared" si="55"/>
        <v>38.743087614929273</v>
      </c>
      <c r="BF48" s="210">
        <f t="shared" si="55"/>
        <v>-54.88825685644936</v>
      </c>
      <c r="BG48" s="210">
        <f t="shared" si="55"/>
        <v>-54.88825685644936</v>
      </c>
      <c r="BH48" s="210">
        <f t="shared" si="55"/>
        <v>-54.88825685644936</v>
      </c>
      <c r="BI48" s="210">
        <f t="shared" si="55"/>
        <v>-54.88825685644936</v>
      </c>
      <c r="BJ48" s="210">
        <f t="shared" si="55"/>
        <v>-54.88825685644936</v>
      </c>
      <c r="BK48" s="210">
        <f t="shared" si="55"/>
        <v>-54.88825685644936</v>
      </c>
      <c r="BL48" s="210">
        <f t="shared" si="55"/>
        <v>-54.88825685644936</v>
      </c>
      <c r="BM48" s="210">
        <f t="shared" si="55"/>
        <v>-54.88825685644936</v>
      </c>
      <c r="BN48" s="210">
        <f t="shared" si="55"/>
        <v>-54.88825685644936</v>
      </c>
      <c r="BO48" s="210">
        <f t="shared" si="55"/>
        <v>-54.88825685644936</v>
      </c>
      <c r="BP48" s="210">
        <f t="shared" si="55"/>
        <v>-54.88825685644936</v>
      </c>
      <c r="BQ48" s="210">
        <f t="shared" si="55"/>
        <v>-54.88825685644936</v>
      </c>
      <c r="BR48" s="210">
        <f t="shared" ref="BR48:DA48" si="56">IF(BR$22&lt;=$E$24,IF(BR$22&lt;=$D$24,IF(BR$22&lt;=$C$24,IF(BR$22&lt;=$B$24,$B114,($C31-$B31)/($C$24-$B$24)),($D31-$C31)/($D$24-$C$24)),($E31-$D31)/($E$24-$D$24)),$F114)</f>
        <v>-54.88825685644936</v>
      </c>
      <c r="BS48" s="210">
        <f t="shared" si="56"/>
        <v>-54.88825685644936</v>
      </c>
      <c r="BT48" s="210">
        <f t="shared" si="56"/>
        <v>-54.88825685644936</v>
      </c>
      <c r="BU48" s="210">
        <f t="shared" si="56"/>
        <v>-54.88825685644936</v>
      </c>
      <c r="BV48" s="210">
        <f t="shared" si="56"/>
        <v>-54.88825685644936</v>
      </c>
      <c r="BW48" s="210">
        <f t="shared" si="56"/>
        <v>-54.88825685644936</v>
      </c>
      <c r="BX48" s="210">
        <f t="shared" si="56"/>
        <v>-54.88825685644936</v>
      </c>
      <c r="BY48" s="210">
        <f t="shared" si="56"/>
        <v>-54.88825685644936</v>
      </c>
      <c r="BZ48" s="210">
        <f t="shared" si="56"/>
        <v>-54.88825685644936</v>
      </c>
      <c r="CA48" s="210">
        <f t="shared" si="56"/>
        <v>-54.88825685644936</v>
      </c>
      <c r="CB48" s="210">
        <f t="shared" si="56"/>
        <v>-54.88825685644936</v>
      </c>
      <c r="CC48" s="210">
        <f t="shared" si="56"/>
        <v>-54.88825685644936</v>
      </c>
      <c r="CD48" s="210">
        <f t="shared" si="56"/>
        <v>-54.88825685644936</v>
      </c>
      <c r="CE48" s="210">
        <f t="shared" si="56"/>
        <v>-54.88825685644936</v>
      </c>
      <c r="CF48" s="210">
        <f t="shared" si="56"/>
        <v>-54.88825685644936</v>
      </c>
      <c r="CG48" s="210">
        <f t="shared" si="56"/>
        <v>-54.88825685644936</v>
      </c>
      <c r="CH48" s="210">
        <f t="shared" si="56"/>
        <v>-525.6607873796396</v>
      </c>
      <c r="CI48" s="210">
        <f t="shared" si="56"/>
        <v>-525.6607873796396</v>
      </c>
      <c r="CJ48" s="210">
        <f t="shared" si="56"/>
        <v>-525.6607873796396</v>
      </c>
      <c r="CK48" s="210">
        <f t="shared" si="56"/>
        <v>-525.6607873796396</v>
      </c>
      <c r="CL48" s="210">
        <f t="shared" si="56"/>
        <v>-525.6607873796396</v>
      </c>
      <c r="CM48" s="210">
        <f t="shared" si="56"/>
        <v>-525.6607873796396</v>
      </c>
      <c r="CN48" s="210">
        <f t="shared" si="56"/>
        <v>-525.6607873796396</v>
      </c>
      <c r="CO48" s="210">
        <f t="shared" si="56"/>
        <v>-525.6607873796396</v>
      </c>
      <c r="CP48" s="210">
        <f t="shared" si="56"/>
        <v>-525.6607873796396</v>
      </c>
      <c r="CQ48" s="210">
        <f t="shared" si="56"/>
        <v>-525.6607873796396</v>
      </c>
      <c r="CR48" s="210">
        <f t="shared" si="56"/>
        <v>-525.6607873796396</v>
      </c>
      <c r="CS48" s="210">
        <f t="shared" si="56"/>
        <v>-525.6607873796396</v>
      </c>
      <c r="CT48" s="210">
        <f t="shared" si="56"/>
        <v>-525.6607873796396</v>
      </c>
      <c r="CU48" s="210">
        <f t="shared" si="56"/>
        <v>-525.6607873796396</v>
      </c>
      <c r="CV48" s="210">
        <f t="shared" si="56"/>
        <v>-525.6607873796396</v>
      </c>
      <c r="CW48" s="210">
        <f t="shared" si="56"/>
        <v>-525.6607873796396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1908.684556387572</v>
      </c>
      <c r="BG49" s="210">
        <f t="shared" si="58"/>
        <v>1908.684556387572</v>
      </c>
      <c r="BH49" s="210">
        <f t="shared" si="58"/>
        <v>1908.684556387572</v>
      </c>
      <c r="BI49" s="210">
        <f t="shared" si="58"/>
        <v>1908.684556387572</v>
      </c>
      <c r="BJ49" s="210">
        <f t="shared" si="58"/>
        <v>1908.684556387572</v>
      </c>
      <c r="BK49" s="210">
        <f t="shared" si="58"/>
        <v>1908.684556387572</v>
      </c>
      <c r="BL49" s="210">
        <f t="shared" si="58"/>
        <v>1908.684556387572</v>
      </c>
      <c r="BM49" s="210">
        <f t="shared" si="58"/>
        <v>1908.684556387572</v>
      </c>
      <c r="BN49" s="210">
        <f t="shared" si="58"/>
        <v>1908.684556387572</v>
      </c>
      <c r="BO49" s="210">
        <f t="shared" si="58"/>
        <v>1908.684556387572</v>
      </c>
      <c r="BP49" s="210">
        <f t="shared" si="58"/>
        <v>1908.684556387572</v>
      </c>
      <c r="BQ49" s="210">
        <f t="shared" si="58"/>
        <v>1908.684556387572</v>
      </c>
      <c r="BR49" s="210">
        <f t="shared" ref="BR49:DA49" si="59">IF(BR$22&lt;=$E$24,IF(BR$22&lt;=$D$24,IF(BR$22&lt;=$C$24,IF(BR$22&lt;=$B$24,$B115,($C32-$B32)/($C$24-$B$24)),($D32-$C32)/($D$24-$C$24)),($E32-$D32)/($E$24-$D$24)),$F115)</f>
        <v>1908.684556387572</v>
      </c>
      <c r="BS49" s="210">
        <f t="shared" si="59"/>
        <v>1908.684556387572</v>
      </c>
      <c r="BT49" s="210">
        <f t="shared" si="59"/>
        <v>1908.684556387572</v>
      </c>
      <c r="BU49" s="210">
        <f t="shared" si="59"/>
        <v>1908.684556387572</v>
      </c>
      <c r="BV49" s="210">
        <f t="shared" si="59"/>
        <v>1908.684556387572</v>
      </c>
      <c r="BW49" s="210">
        <f t="shared" si="59"/>
        <v>1908.684556387572</v>
      </c>
      <c r="BX49" s="210">
        <f t="shared" si="59"/>
        <v>1908.684556387572</v>
      </c>
      <c r="BY49" s="210">
        <f t="shared" si="59"/>
        <v>1908.684556387572</v>
      </c>
      <c r="BZ49" s="210">
        <f t="shared" si="59"/>
        <v>1908.684556387572</v>
      </c>
      <c r="CA49" s="210">
        <f t="shared" si="59"/>
        <v>1908.684556387572</v>
      </c>
      <c r="CB49" s="210">
        <f t="shared" si="59"/>
        <v>1908.684556387572</v>
      </c>
      <c r="CC49" s="210">
        <f t="shared" si="59"/>
        <v>1908.684556387572</v>
      </c>
      <c r="CD49" s="210">
        <f t="shared" si="59"/>
        <v>1908.684556387572</v>
      </c>
      <c r="CE49" s="210">
        <f t="shared" si="59"/>
        <v>1908.684556387572</v>
      </c>
      <c r="CF49" s="210">
        <f t="shared" si="59"/>
        <v>1908.684556387572</v>
      </c>
      <c r="CG49" s="210">
        <f t="shared" si="59"/>
        <v>1908.684556387572</v>
      </c>
      <c r="CH49" s="210">
        <f t="shared" si="59"/>
        <v>8661.1348696614841</v>
      </c>
      <c r="CI49" s="210">
        <f t="shared" si="59"/>
        <v>8661.1348696614841</v>
      </c>
      <c r="CJ49" s="210">
        <f t="shared" si="59"/>
        <v>8661.1348696614841</v>
      </c>
      <c r="CK49" s="210">
        <f t="shared" si="59"/>
        <v>8661.1348696614841</v>
      </c>
      <c r="CL49" s="210">
        <f t="shared" si="59"/>
        <v>8661.1348696614841</v>
      </c>
      <c r="CM49" s="210">
        <f t="shared" si="59"/>
        <v>8661.1348696614841</v>
      </c>
      <c r="CN49" s="210">
        <f t="shared" si="59"/>
        <v>8661.1348696614841</v>
      </c>
      <c r="CO49" s="210">
        <f t="shared" si="59"/>
        <v>8661.1348696614841</v>
      </c>
      <c r="CP49" s="210">
        <f t="shared" si="59"/>
        <v>8661.1348696614841</v>
      </c>
      <c r="CQ49" s="210">
        <f t="shared" si="59"/>
        <v>8661.1348696614841</v>
      </c>
      <c r="CR49" s="210">
        <f t="shared" si="59"/>
        <v>8661.1348696614841</v>
      </c>
      <c r="CS49" s="210">
        <f t="shared" si="59"/>
        <v>8661.1348696614841</v>
      </c>
      <c r="CT49" s="210">
        <f t="shared" si="59"/>
        <v>8661.1348696614841</v>
      </c>
      <c r="CU49" s="210">
        <f t="shared" si="59"/>
        <v>8661.1348696614841</v>
      </c>
      <c r="CV49" s="210">
        <f t="shared" si="59"/>
        <v>8661.1348696614841</v>
      </c>
      <c r="CW49" s="210">
        <f t="shared" si="59"/>
        <v>8661.1348696614841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-31.23928756121019</v>
      </c>
      <c r="Y50" s="210">
        <f t="shared" si="60"/>
        <v>-31.23928756121019</v>
      </c>
      <c r="Z50" s="210">
        <f t="shared" si="60"/>
        <v>-31.23928756121019</v>
      </c>
      <c r="AA50" s="210">
        <f t="shared" si="60"/>
        <v>-31.23928756121019</v>
      </c>
      <c r="AB50" s="210">
        <f t="shared" si="60"/>
        <v>-31.23928756121019</v>
      </c>
      <c r="AC50" s="210">
        <f t="shared" si="60"/>
        <v>-31.23928756121019</v>
      </c>
      <c r="AD50" s="210">
        <f t="shared" si="60"/>
        <v>-31.23928756121019</v>
      </c>
      <c r="AE50" s="210">
        <f t="shared" si="60"/>
        <v>-31.23928756121019</v>
      </c>
      <c r="AF50" s="210">
        <f t="shared" si="60"/>
        <v>-31.23928756121019</v>
      </c>
      <c r="AG50" s="210">
        <f t="shared" si="60"/>
        <v>-31.23928756121019</v>
      </c>
      <c r="AH50" s="210">
        <f t="shared" si="60"/>
        <v>-31.23928756121019</v>
      </c>
      <c r="AI50" s="210">
        <f t="shared" si="60"/>
        <v>-31.23928756121019</v>
      </c>
      <c r="AJ50" s="210">
        <f t="shared" si="60"/>
        <v>-31.23928756121019</v>
      </c>
      <c r="AK50" s="210">
        <f t="shared" si="60"/>
        <v>-31.23928756121019</v>
      </c>
      <c r="AL50" s="210">
        <f t="shared" ref="AL50:BQ50" si="61">IF(AL$22&lt;=$E$24,IF(AL$22&lt;=$D$24,IF(AL$22&lt;=$C$24,IF(AL$22&lt;=$B$24,$B116,($C33-$B33)/($C$24-$B$24)),($D33-$C33)/($D$24-$C$24)),($E33-$D33)/($E$24-$D$24)),$F116)</f>
        <v>-31.23928756121019</v>
      </c>
      <c r="AM50" s="210">
        <f t="shared" si="61"/>
        <v>-31.23928756121019</v>
      </c>
      <c r="AN50" s="210">
        <f t="shared" si="61"/>
        <v>-31.23928756121019</v>
      </c>
      <c r="AO50" s="210">
        <f t="shared" si="61"/>
        <v>-31.23928756121019</v>
      </c>
      <c r="AP50" s="210">
        <f t="shared" si="61"/>
        <v>-31.23928756121019</v>
      </c>
      <c r="AQ50" s="210">
        <f t="shared" si="61"/>
        <v>-31.23928756121019</v>
      </c>
      <c r="AR50" s="210">
        <f t="shared" si="61"/>
        <v>-31.23928756121019</v>
      </c>
      <c r="AS50" s="210">
        <f t="shared" si="61"/>
        <v>-31.23928756121019</v>
      </c>
      <c r="AT50" s="210">
        <f t="shared" si="61"/>
        <v>-31.23928756121019</v>
      </c>
      <c r="AU50" s="210">
        <f t="shared" si="61"/>
        <v>-31.23928756121019</v>
      </c>
      <c r="AV50" s="210">
        <f t="shared" si="61"/>
        <v>-31.23928756121019</v>
      </c>
      <c r="AW50" s="210">
        <f t="shared" si="61"/>
        <v>-31.23928756121019</v>
      </c>
      <c r="AX50" s="210">
        <f t="shared" si="61"/>
        <v>-31.23928756121019</v>
      </c>
      <c r="AY50" s="210">
        <f t="shared" si="61"/>
        <v>-31.23928756121019</v>
      </c>
      <c r="AZ50" s="210">
        <f t="shared" si="61"/>
        <v>-31.23928756121019</v>
      </c>
      <c r="BA50" s="210">
        <f t="shared" si="61"/>
        <v>-31.23928756121019</v>
      </c>
      <c r="BB50" s="210">
        <f t="shared" si="61"/>
        <v>-31.23928756121019</v>
      </c>
      <c r="BC50" s="210">
        <f t="shared" si="61"/>
        <v>-31.23928756121019</v>
      </c>
      <c r="BD50" s="210">
        <f t="shared" si="61"/>
        <v>-31.23928756121019</v>
      </c>
      <c r="BE50" s="210">
        <f t="shared" si="61"/>
        <v>-31.23928756121019</v>
      </c>
      <c r="BF50" s="210">
        <f t="shared" si="61"/>
        <v>391.21460800723509</v>
      </c>
      <c r="BG50" s="210">
        <f t="shared" si="61"/>
        <v>391.21460800723509</v>
      </c>
      <c r="BH50" s="210">
        <f t="shared" si="61"/>
        <v>391.21460800723509</v>
      </c>
      <c r="BI50" s="210">
        <f t="shared" si="61"/>
        <v>391.21460800723509</v>
      </c>
      <c r="BJ50" s="210">
        <f t="shared" si="61"/>
        <v>391.21460800723509</v>
      </c>
      <c r="BK50" s="210">
        <f t="shared" si="61"/>
        <v>391.21460800723509</v>
      </c>
      <c r="BL50" s="210">
        <f t="shared" si="61"/>
        <v>391.21460800723509</v>
      </c>
      <c r="BM50" s="210">
        <f t="shared" si="61"/>
        <v>391.21460800723509</v>
      </c>
      <c r="BN50" s="210">
        <f t="shared" si="61"/>
        <v>391.21460800723509</v>
      </c>
      <c r="BO50" s="210">
        <f t="shared" si="61"/>
        <v>391.21460800723509</v>
      </c>
      <c r="BP50" s="210">
        <f t="shared" si="61"/>
        <v>391.21460800723509</v>
      </c>
      <c r="BQ50" s="210">
        <f t="shared" si="61"/>
        <v>391.21460800723509</v>
      </c>
      <c r="BR50" s="210">
        <f t="shared" ref="BR50:DA50" si="62">IF(BR$22&lt;=$E$24,IF(BR$22&lt;=$D$24,IF(BR$22&lt;=$C$24,IF(BR$22&lt;=$B$24,$B116,($C33-$B33)/($C$24-$B$24)),($D33-$C33)/($D$24-$C$24)),($E33-$D33)/($E$24-$D$24)),$F116)</f>
        <v>391.21460800723509</v>
      </c>
      <c r="BS50" s="210">
        <f t="shared" si="62"/>
        <v>391.21460800723509</v>
      </c>
      <c r="BT50" s="210">
        <f t="shared" si="62"/>
        <v>391.21460800723509</v>
      </c>
      <c r="BU50" s="210">
        <f t="shared" si="62"/>
        <v>391.21460800723509</v>
      </c>
      <c r="BV50" s="210">
        <f t="shared" si="62"/>
        <v>391.21460800723509</v>
      </c>
      <c r="BW50" s="210">
        <f t="shared" si="62"/>
        <v>391.21460800723509</v>
      </c>
      <c r="BX50" s="210">
        <f t="shared" si="62"/>
        <v>391.21460800723509</v>
      </c>
      <c r="BY50" s="210">
        <f t="shared" si="62"/>
        <v>391.21460800723509</v>
      </c>
      <c r="BZ50" s="210">
        <f t="shared" si="62"/>
        <v>391.21460800723509</v>
      </c>
      <c r="CA50" s="210">
        <f t="shared" si="62"/>
        <v>391.21460800723509</v>
      </c>
      <c r="CB50" s="210">
        <f t="shared" si="62"/>
        <v>391.21460800723509</v>
      </c>
      <c r="CC50" s="210">
        <f t="shared" si="62"/>
        <v>391.21460800723509</v>
      </c>
      <c r="CD50" s="210">
        <f t="shared" si="62"/>
        <v>391.21460800723509</v>
      </c>
      <c r="CE50" s="210">
        <f t="shared" si="62"/>
        <v>391.21460800723509</v>
      </c>
      <c r="CF50" s="210">
        <f t="shared" si="62"/>
        <v>391.21460800723509</v>
      </c>
      <c r="CG50" s="210">
        <f t="shared" si="62"/>
        <v>391.21460800723509</v>
      </c>
      <c r="CH50" s="210">
        <f t="shared" si="62"/>
        <v>-740.24635203076559</v>
      </c>
      <c r="CI50" s="210">
        <f t="shared" si="62"/>
        <v>-740.24635203076559</v>
      </c>
      <c r="CJ50" s="210">
        <f t="shared" si="62"/>
        <v>-740.24635203076559</v>
      </c>
      <c r="CK50" s="210">
        <f t="shared" si="62"/>
        <v>-740.24635203076559</v>
      </c>
      <c r="CL50" s="210">
        <f t="shared" si="62"/>
        <v>-740.24635203076559</v>
      </c>
      <c r="CM50" s="210">
        <f t="shared" si="62"/>
        <v>-740.24635203076559</v>
      </c>
      <c r="CN50" s="210">
        <f t="shared" si="62"/>
        <v>-740.24635203076559</v>
      </c>
      <c r="CO50" s="210">
        <f t="shared" si="62"/>
        <v>-740.24635203076559</v>
      </c>
      <c r="CP50" s="210">
        <f t="shared" si="62"/>
        <v>-740.24635203076559</v>
      </c>
      <c r="CQ50" s="210">
        <f t="shared" si="62"/>
        <v>-740.24635203076559</v>
      </c>
      <c r="CR50" s="210">
        <f t="shared" si="62"/>
        <v>-740.24635203076559</v>
      </c>
      <c r="CS50" s="210">
        <f t="shared" si="62"/>
        <v>-740.24635203076559</v>
      </c>
      <c r="CT50" s="210">
        <f t="shared" si="62"/>
        <v>-740.24635203076559</v>
      </c>
      <c r="CU50" s="210">
        <f t="shared" si="62"/>
        <v>-740.24635203076559</v>
      </c>
      <c r="CV50" s="210">
        <f t="shared" si="62"/>
        <v>-740.24635203076559</v>
      </c>
      <c r="CW50" s="210">
        <f t="shared" si="62"/>
        <v>-740.24635203076559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62.622784182137501</v>
      </c>
      <c r="Y51" s="210">
        <f t="shared" si="63"/>
        <v>62.622784182137501</v>
      </c>
      <c r="Z51" s="210">
        <f t="shared" si="63"/>
        <v>62.622784182137501</v>
      </c>
      <c r="AA51" s="210">
        <f t="shared" si="63"/>
        <v>62.622784182137501</v>
      </c>
      <c r="AB51" s="210">
        <f t="shared" si="63"/>
        <v>62.622784182137501</v>
      </c>
      <c r="AC51" s="210">
        <f t="shared" si="63"/>
        <v>62.622784182137501</v>
      </c>
      <c r="AD51" s="210">
        <f t="shared" si="63"/>
        <v>62.622784182137501</v>
      </c>
      <c r="AE51" s="210">
        <f t="shared" si="63"/>
        <v>62.622784182137501</v>
      </c>
      <c r="AF51" s="210">
        <f t="shared" si="63"/>
        <v>62.622784182137501</v>
      </c>
      <c r="AG51" s="210">
        <f t="shared" si="63"/>
        <v>62.622784182137501</v>
      </c>
      <c r="AH51" s="210">
        <f t="shared" si="63"/>
        <v>62.622784182137501</v>
      </c>
      <c r="AI51" s="210">
        <f t="shared" si="63"/>
        <v>62.622784182137501</v>
      </c>
      <c r="AJ51" s="210">
        <f t="shared" si="63"/>
        <v>62.622784182137501</v>
      </c>
      <c r="AK51" s="210">
        <f t="shared" si="63"/>
        <v>62.622784182137501</v>
      </c>
      <c r="AL51" s="210">
        <f t="shared" ref="AL51:BQ51" si="64">IF(AL$22&lt;=$E$24,IF(AL$22&lt;=$D$24,IF(AL$22&lt;=$C$24,IF(AL$22&lt;=$B$24,$B117,($C34-$B34)/($C$24-$B$24)),($D34-$C34)/($D$24-$C$24)),($E34-$D34)/($E$24-$D$24)),$F117)</f>
        <v>62.622784182137501</v>
      </c>
      <c r="AM51" s="210">
        <f t="shared" si="64"/>
        <v>62.622784182137501</v>
      </c>
      <c r="AN51" s="210">
        <f t="shared" si="64"/>
        <v>62.622784182137501</v>
      </c>
      <c r="AO51" s="210">
        <f t="shared" si="64"/>
        <v>62.622784182137501</v>
      </c>
      <c r="AP51" s="210">
        <f t="shared" si="64"/>
        <v>62.622784182137501</v>
      </c>
      <c r="AQ51" s="210">
        <f t="shared" si="64"/>
        <v>62.622784182137501</v>
      </c>
      <c r="AR51" s="210">
        <f t="shared" si="64"/>
        <v>62.622784182137501</v>
      </c>
      <c r="AS51" s="210">
        <f t="shared" si="64"/>
        <v>62.622784182137501</v>
      </c>
      <c r="AT51" s="210">
        <f t="shared" si="64"/>
        <v>62.622784182137501</v>
      </c>
      <c r="AU51" s="210">
        <f t="shared" si="64"/>
        <v>62.622784182137501</v>
      </c>
      <c r="AV51" s="210">
        <f t="shared" si="64"/>
        <v>62.622784182137501</v>
      </c>
      <c r="AW51" s="210">
        <f t="shared" si="64"/>
        <v>62.622784182137501</v>
      </c>
      <c r="AX51" s="210">
        <f t="shared" si="64"/>
        <v>62.622784182137501</v>
      </c>
      <c r="AY51" s="210">
        <f t="shared" si="64"/>
        <v>62.622784182137501</v>
      </c>
      <c r="AZ51" s="210">
        <f t="shared" si="64"/>
        <v>62.622784182137501</v>
      </c>
      <c r="BA51" s="210">
        <f t="shared" si="64"/>
        <v>62.622784182137501</v>
      </c>
      <c r="BB51" s="210">
        <f t="shared" si="64"/>
        <v>62.622784182137501</v>
      </c>
      <c r="BC51" s="210">
        <f t="shared" si="64"/>
        <v>62.622784182137501</v>
      </c>
      <c r="BD51" s="210">
        <f t="shared" si="64"/>
        <v>62.622784182137501</v>
      </c>
      <c r="BE51" s="210">
        <f t="shared" si="64"/>
        <v>62.622784182137501</v>
      </c>
      <c r="BF51" s="210">
        <f t="shared" si="64"/>
        <v>606.38855775591389</v>
      </c>
      <c r="BG51" s="210">
        <f t="shared" si="64"/>
        <v>606.38855775591389</v>
      </c>
      <c r="BH51" s="210">
        <f t="shared" si="64"/>
        <v>606.38855775591389</v>
      </c>
      <c r="BI51" s="210">
        <f t="shared" si="64"/>
        <v>606.38855775591389</v>
      </c>
      <c r="BJ51" s="210">
        <f t="shared" si="64"/>
        <v>606.38855775591389</v>
      </c>
      <c r="BK51" s="210">
        <f t="shared" si="64"/>
        <v>606.38855775591389</v>
      </c>
      <c r="BL51" s="210">
        <f t="shared" si="64"/>
        <v>606.38855775591389</v>
      </c>
      <c r="BM51" s="210">
        <f t="shared" si="64"/>
        <v>606.38855775591389</v>
      </c>
      <c r="BN51" s="210">
        <f t="shared" si="64"/>
        <v>606.38855775591389</v>
      </c>
      <c r="BO51" s="210">
        <f t="shared" si="64"/>
        <v>606.38855775591389</v>
      </c>
      <c r="BP51" s="210">
        <f t="shared" si="64"/>
        <v>606.38855775591389</v>
      </c>
      <c r="BQ51" s="210">
        <f t="shared" si="64"/>
        <v>606.38855775591389</v>
      </c>
      <c r="BR51" s="210">
        <f t="shared" ref="BR51:DA51" si="65">IF(BR$22&lt;=$E$24,IF(BR$22&lt;=$D$24,IF(BR$22&lt;=$C$24,IF(BR$22&lt;=$B$24,$B117,($C34-$B34)/($C$24-$B$24)),($D34-$C34)/($D$24-$C$24)),($E34-$D34)/($E$24-$D$24)),$F117)</f>
        <v>606.38855775591389</v>
      </c>
      <c r="BS51" s="210">
        <f t="shared" si="65"/>
        <v>606.38855775591389</v>
      </c>
      <c r="BT51" s="210">
        <f t="shared" si="65"/>
        <v>606.38855775591389</v>
      </c>
      <c r="BU51" s="210">
        <f t="shared" si="65"/>
        <v>606.38855775591389</v>
      </c>
      <c r="BV51" s="210">
        <f t="shared" si="65"/>
        <v>606.38855775591389</v>
      </c>
      <c r="BW51" s="210">
        <f t="shared" si="65"/>
        <v>606.38855775591389</v>
      </c>
      <c r="BX51" s="210">
        <f t="shared" si="65"/>
        <v>606.38855775591389</v>
      </c>
      <c r="BY51" s="210">
        <f t="shared" si="65"/>
        <v>606.38855775591389</v>
      </c>
      <c r="BZ51" s="210">
        <f t="shared" si="65"/>
        <v>606.38855775591389</v>
      </c>
      <c r="CA51" s="210">
        <f t="shared" si="65"/>
        <v>606.38855775591389</v>
      </c>
      <c r="CB51" s="210">
        <f t="shared" si="65"/>
        <v>606.38855775591389</v>
      </c>
      <c r="CC51" s="210">
        <f t="shared" si="65"/>
        <v>606.38855775591389</v>
      </c>
      <c r="CD51" s="210">
        <f t="shared" si="65"/>
        <v>606.38855775591389</v>
      </c>
      <c r="CE51" s="210">
        <f t="shared" si="65"/>
        <v>606.38855775591389</v>
      </c>
      <c r="CF51" s="210">
        <f t="shared" si="65"/>
        <v>606.38855775591389</v>
      </c>
      <c r="CG51" s="210">
        <f t="shared" si="65"/>
        <v>606.38855775591389</v>
      </c>
      <c r="CH51" s="210">
        <f t="shared" si="65"/>
        <v>2681.6368899773943</v>
      </c>
      <c r="CI51" s="210">
        <f t="shared" si="65"/>
        <v>2681.6368899773943</v>
      </c>
      <c r="CJ51" s="210">
        <f t="shared" si="65"/>
        <v>2681.6368899773943</v>
      </c>
      <c r="CK51" s="210">
        <f t="shared" si="65"/>
        <v>2681.6368899773943</v>
      </c>
      <c r="CL51" s="210">
        <f t="shared" si="65"/>
        <v>2681.6368899773943</v>
      </c>
      <c r="CM51" s="210">
        <f t="shared" si="65"/>
        <v>2681.6368899773943</v>
      </c>
      <c r="CN51" s="210">
        <f t="shared" si="65"/>
        <v>2681.6368899773943</v>
      </c>
      <c r="CO51" s="210">
        <f t="shared" si="65"/>
        <v>2681.6368899773943</v>
      </c>
      <c r="CP51" s="210">
        <f t="shared" si="65"/>
        <v>2681.6368899773943</v>
      </c>
      <c r="CQ51" s="210">
        <f t="shared" si="65"/>
        <v>2681.6368899773943</v>
      </c>
      <c r="CR51" s="210">
        <f t="shared" si="65"/>
        <v>2681.6368899773943</v>
      </c>
      <c r="CS51" s="210">
        <f t="shared" si="65"/>
        <v>2681.6368899773943</v>
      </c>
      <c r="CT51" s="210">
        <f t="shared" si="65"/>
        <v>2681.6368899773943</v>
      </c>
      <c r="CU51" s="210">
        <f t="shared" si="65"/>
        <v>2681.6368899773943</v>
      </c>
      <c r="CV51" s="210">
        <f t="shared" si="65"/>
        <v>2681.6368899773943</v>
      </c>
      <c r="CW51" s="210">
        <f t="shared" si="65"/>
        <v>2681.6368899773943</v>
      </c>
      <c r="CX51" s="210">
        <f t="shared" si="65"/>
        <v>6203.5000000000036</v>
      </c>
      <c r="CY51" s="210">
        <f t="shared" si="65"/>
        <v>6203.5000000000036</v>
      </c>
      <c r="CZ51" s="210">
        <f t="shared" si="65"/>
        <v>6203.5000000000036</v>
      </c>
      <c r="DA51" s="210">
        <f t="shared" si="65"/>
        <v>6203.5000000000036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0.56884529871561373</v>
      </c>
      <c r="Y52" s="210">
        <f t="shared" si="66"/>
        <v>0.56884529871561373</v>
      </c>
      <c r="Z52" s="210">
        <f t="shared" si="66"/>
        <v>0.56884529871561373</v>
      </c>
      <c r="AA52" s="210">
        <f t="shared" si="66"/>
        <v>0.56884529871561373</v>
      </c>
      <c r="AB52" s="210">
        <f t="shared" si="66"/>
        <v>0.56884529871561373</v>
      </c>
      <c r="AC52" s="210">
        <f t="shared" si="66"/>
        <v>0.56884529871561373</v>
      </c>
      <c r="AD52" s="210">
        <f t="shared" si="66"/>
        <v>0.56884529871561373</v>
      </c>
      <c r="AE52" s="210">
        <f t="shared" si="66"/>
        <v>0.56884529871561373</v>
      </c>
      <c r="AF52" s="210">
        <f t="shared" si="66"/>
        <v>0.56884529871561373</v>
      </c>
      <c r="AG52" s="210">
        <f t="shared" si="66"/>
        <v>0.56884529871561373</v>
      </c>
      <c r="AH52" s="210">
        <f t="shared" si="66"/>
        <v>0.56884529871561373</v>
      </c>
      <c r="AI52" s="210">
        <f t="shared" si="66"/>
        <v>0.56884529871561373</v>
      </c>
      <c r="AJ52" s="210">
        <f t="shared" si="66"/>
        <v>0.56884529871561373</v>
      </c>
      <c r="AK52" s="210">
        <f t="shared" si="66"/>
        <v>0.56884529871561373</v>
      </c>
      <c r="AL52" s="210">
        <f t="shared" ref="AL52:BQ52" si="67">IF(AL$22&lt;=$E$24,IF(AL$22&lt;=$D$24,IF(AL$22&lt;=$C$24,IF(AL$22&lt;=$B$24,$B118,($C35-$B35)/($C$24-$B$24)),($D35-$C35)/($D$24-$C$24)),($E35-$D35)/($E$24-$D$24)),$F118)</f>
        <v>0.56884529871561373</v>
      </c>
      <c r="AM52" s="210">
        <f t="shared" si="67"/>
        <v>0.56884529871561373</v>
      </c>
      <c r="AN52" s="210">
        <f t="shared" si="67"/>
        <v>0.56884529871561373</v>
      </c>
      <c r="AO52" s="210">
        <f t="shared" si="67"/>
        <v>0.56884529871561373</v>
      </c>
      <c r="AP52" s="210">
        <f t="shared" si="67"/>
        <v>0.56884529871561373</v>
      </c>
      <c r="AQ52" s="210">
        <f t="shared" si="67"/>
        <v>0.56884529871561373</v>
      </c>
      <c r="AR52" s="210">
        <f t="shared" si="67"/>
        <v>0.56884529871561373</v>
      </c>
      <c r="AS52" s="210">
        <f t="shared" si="67"/>
        <v>0.56884529871561373</v>
      </c>
      <c r="AT52" s="210">
        <f t="shared" si="67"/>
        <v>0.56884529871561373</v>
      </c>
      <c r="AU52" s="210">
        <f t="shared" si="67"/>
        <v>0.56884529871561373</v>
      </c>
      <c r="AV52" s="210">
        <f t="shared" si="67"/>
        <v>0.56884529871561373</v>
      </c>
      <c r="AW52" s="210">
        <f t="shared" si="67"/>
        <v>0.56884529871561373</v>
      </c>
      <c r="AX52" s="210">
        <f t="shared" si="67"/>
        <v>0.56884529871561373</v>
      </c>
      <c r="AY52" s="210">
        <f t="shared" si="67"/>
        <v>0.56884529871561373</v>
      </c>
      <c r="AZ52" s="210">
        <f t="shared" si="67"/>
        <v>0.56884529871561373</v>
      </c>
      <c r="BA52" s="210">
        <f t="shared" si="67"/>
        <v>0.56884529871561373</v>
      </c>
      <c r="BB52" s="210">
        <f t="shared" si="67"/>
        <v>0.56884529871561373</v>
      </c>
      <c r="BC52" s="210">
        <f t="shared" si="67"/>
        <v>0.56884529871561373</v>
      </c>
      <c r="BD52" s="210">
        <f t="shared" si="67"/>
        <v>0.56884529871561373</v>
      </c>
      <c r="BE52" s="210">
        <f t="shared" si="67"/>
        <v>0.56884529871561373</v>
      </c>
      <c r="BF52" s="210">
        <f t="shared" si="67"/>
        <v>-11.969263139997375</v>
      </c>
      <c r="BG52" s="210">
        <f t="shared" si="67"/>
        <v>-11.969263139997375</v>
      </c>
      <c r="BH52" s="210">
        <f t="shared" si="67"/>
        <v>-11.969263139997375</v>
      </c>
      <c r="BI52" s="210">
        <f t="shared" si="67"/>
        <v>-11.969263139997375</v>
      </c>
      <c r="BJ52" s="210">
        <f t="shared" si="67"/>
        <v>-11.969263139997375</v>
      </c>
      <c r="BK52" s="210">
        <f t="shared" si="67"/>
        <v>-11.969263139997375</v>
      </c>
      <c r="BL52" s="210">
        <f t="shared" si="67"/>
        <v>-11.969263139997375</v>
      </c>
      <c r="BM52" s="210">
        <f t="shared" si="67"/>
        <v>-11.969263139997375</v>
      </c>
      <c r="BN52" s="210">
        <f t="shared" si="67"/>
        <v>-11.969263139997375</v>
      </c>
      <c r="BO52" s="210">
        <f t="shared" si="67"/>
        <v>-11.969263139997375</v>
      </c>
      <c r="BP52" s="210">
        <f t="shared" si="67"/>
        <v>-11.969263139997375</v>
      </c>
      <c r="BQ52" s="210">
        <f t="shared" si="67"/>
        <v>-11.969263139997375</v>
      </c>
      <c r="BR52" s="210">
        <f t="shared" ref="BR52:DA52" si="68">IF(BR$22&lt;=$E$24,IF(BR$22&lt;=$D$24,IF(BR$22&lt;=$C$24,IF(BR$22&lt;=$B$24,$B118,($C35-$B35)/($C$24-$B$24)),($D35-$C35)/($D$24-$C$24)),($E35-$D35)/($E$24-$D$24)),$F118)</f>
        <v>-11.969263139997375</v>
      </c>
      <c r="BS52" s="210">
        <f t="shared" si="68"/>
        <v>-11.969263139997375</v>
      </c>
      <c r="BT52" s="210">
        <f t="shared" si="68"/>
        <v>-11.969263139997375</v>
      </c>
      <c r="BU52" s="210">
        <f t="shared" si="68"/>
        <v>-11.969263139997375</v>
      </c>
      <c r="BV52" s="210">
        <f t="shared" si="68"/>
        <v>-11.969263139997375</v>
      </c>
      <c r="BW52" s="210">
        <f t="shared" si="68"/>
        <v>-11.969263139997375</v>
      </c>
      <c r="BX52" s="210">
        <f t="shared" si="68"/>
        <v>-11.969263139997375</v>
      </c>
      <c r="BY52" s="210">
        <f t="shared" si="68"/>
        <v>-11.969263139997375</v>
      </c>
      <c r="BZ52" s="210">
        <f t="shared" si="68"/>
        <v>-11.969263139997375</v>
      </c>
      <c r="CA52" s="210">
        <f t="shared" si="68"/>
        <v>-11.969263139997375</v>
      </c>
      <c r="CB52" s="210">
        <f t="shared" si="68"/>
        <v>-11.969263139997375</v>
      </c>
      <c r="CC52" s="210">
        <f t="shared" si="68"/>
        <v>-11.969263139997375</v>
      </c>
      <c r="CD52" s="210">
        <f t="shared" si="68"/>
        <v>-11.969263139997375</v>
      </c>
      <c r="CE52" s="210">
        <f t="shared" si="68"/>
        <v>-11.969263139997375</v>
      </c>
      <c r="CF52" s="210">
        <f t="shared" si="68"/>
        <v>-11.969263139997375</v>
      </c>
      <c r="CG52" s="210">
        <f t="shared" si="68"/>
        <v>-11.969263139997375</v>
      </c>
      <c r="CH52" s="210">
        <f t="shared" si="68"/>
        <v>-46.735496531270499</v>
      </c>
      <c r="CI52" s="210">
        <f t="shared" si="68"/>
        <v>-46.735496531270499</v>
      </c>
      <c r="CJ52" s="210">
        <f t="shared" si="68"/>
        <v>-46.735496531270499</v>
      </c>
      <c r="CK52" s="210">
        <f t="shared" si="68"/>
        <v>-46.735496531270499</v>
      </c>
      <c r="CL52" s="210">
        <f t="shared" si="68"/>
        <v>-46.735496531270499</v>
      </c>
      <c r="CM52" s="210">
        <f t="shared" si="68"/>
        <v>-46.735496531270499</v>
      </c>
      <c r="CN52" s="210">
        <f t="shared" si="68"/>
        <v>-46.735496531270499</v>
      </c>
      <c r="CO52" s="210">
        <f t="shared" si="68"/>
        <v>-46.735496531270499</v>
      </c>
      <c r="CP52" s="210">
        <f t="shared" si="68"/>
        <v>-46.735496531270499</v>
      </c>
      <c r="CQ52" s="210">
        <f t="shared" si="68"/>
        <v>-46.735496531270499</v>
      </c>
      <c r="CR52" s="210">
        <f t="shared" si="68"/>
        <v>-46.735496531270499</v>
      </c>
      <c r="CS52" s="210">
        <f t="shared" si="68"/>
        <v>-46.735496531270499</v>
      </c>
      <c r="CT52" s="210">
        <f t="shared" si="68"/>
        <v>-46.735496531270499</v>
      </c>
      <c r="CU52" s="210">
        <f t="shared" si="68"/>
        <v>-46.735496531270499</v>
      </c>
      <c r="CV52" s="210">
        <f t="shared" si="68"/>
        <v>-46.735496531270499</v>
      </c>
      <c r="CW52" s="210">
        <f t="shared" si="68"/>
        <v>-46.735496531270499</v>
      </c>
      <c r="CX52" s="210">
        <f t="shared" si="68"/>
        <v>14.730000000000061</v>
      </c>
      <c r="CY52" s="210">
        <f t="shared" si="68"/>
        <v>14.730000000000061</v>
      </c>
      <c r="CZ52" s="210">
        <f t="shared" si="68"/>
        <v>14.730000000000061</v>
      </c>
      <c r="DA52" s="210">
        <f t="shared" si="68"/>
        <v>14.730000000000061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-0.43335155263849634</v>
      </c>
      <c r="Y53" s="210">
        <f t="shared" si="69"/>
        <v>-0.43335155263849634</v>
      </c>
      <c r="Z53" s="210">
        <f t="shared" si="69"/>
        <v>-0.43335155263849634</v>
      </c>
      <c r="AA53" s="210">
        <f t="shared" si="69"/>
        <v>-0.43335155263849634</v>
      </c>
      <c r="AB53" s="210">
        <f t="shared" si="69"/>
        <v>-0.43335155263849634</v>
      </c>
      <c r="AC53" s="210">
        <f t="shared" si="69"/>
        <v>-0.43335155263849634</v>
      </c>
      <c r="AD53" s="210">
        <f t="shared" si="69"/>
        <v>-0.43335155263849634</v>
      </c>
      <c r="AE53" s="210">
        <f t="shared" si="69"/>
        <v>-0.43335155263849634</v>
      </c>
      <c r="AF53" s="210">
        <f t="shared" si="69"/>
        <v>-0.43335155263849634</v>
      </c>
      <c r="AG53" s="210">
        <f t="shared" si="69"/>
        <v>-0.43335155263849634</v>
      </c>
      <c r="AH53" s="210">
        <f t="shared" si="69"/>
        <v>-0.43335155263849634</v>
      </c>
      <c r="AI53" s="210">
        <f t="shared" si="69"/>
        <v>-0.43335155263849634</v>
      </c>
      <c r="AJ53" s="210">
        <f t="shared" si="69"/>
        <v>-0.43335155263849634</v>
      </c>
      <c r="AK53" s="210">
        <f t="shared" si="69"/>
        <v>-0.43335155263849634</v>
      </c>
      <c r="AL53" s="210">
        <f t="shared" ref="AL53:BQ53" si="70">IF(AL$22&lt;=$E$24,IF(AL$22&lt;=$D$24,IF(AL$22&lt;=$C$24,IF(AL$22&lt;=$B$24,$B119,($C36-$B36)/($C$24-$B$24)),($D36-$C36)/($D$24-$C$24)),($E36-$D36)/($E$24-$D$24)),$F119)</f>
        <v>-0.43335155263849634</v>
      </c>
      <c r="AM53" s="210">
        <f t="shared" si="70"/>
        <v>-0.43335155263849634</v>
      </c>
      <c r="AN53" s="210">
        <f t="shared" si="70"/>
        <v>-0.43335155263849634</v>
      </c>
      <c r="AO53" s="210">
        <f t="shared" si="70"/>
        <v>-0.43335155263849634</v>
      </c>
      <c r="AP53" s="210">
        <f t="shared" si="70"/>
        <v>-0.43335155263849634</v>
      </c>
      <c r="AQ53" s="210">
        <f t="shared" si="70"/>
        <v>-0.43335155263849634</v>
      </c>
      <c r="AR53" s="210">
        <f t="shared" si="70"/>
        <v>-0.43335155263849634</v>
      </c>
      <c r="AS53" s="210">
        <f t="shared" si="70"/>
        <v>-0.43335155263849634</v>
      </c>
      <c r="AT53" s="210">
        <f t="shared" si="70"/>
        <v>-0.43335155263849634</v>
      </c>
      <c r="AU53" s="210">
        <f t="shared" si="70"/>
        <v>-0.43335155263849634</v>
      </c>
      <c r="AV53" s="210">
        <f t="shared" si="70"/>
        <v>-0.43335155263849634</v>
      </c>
      <c r="AW53" s="210">
        <f t="shared" si="70"/>
        <v>-0.43335155263849634</v>
      </c>
      <c r="AX53" s="210">
        <f t="shared" si="70"/>
        <v>-0.43335155263849634</v>
      </c>
      <c r="AY53" s="210">
        <f t="shared" si="70"/>
        <v>-0.43335155263849634</v>
      </c>
      <c r="AZ53" s="210">
        <f t="shared" si="70"/>
        <v>-0.43335155263849634</v>
      </c>
      <c r="BA53" s="210">
        <f t="shared" si="70"/>
        <v>-0.43335155263849634</v>
      </c>
      <c r="BB53" s="210">
        <f t="shared" si="70"/>
        <v>-0.43335155263849634</v>
      </c>
      <c r="BC53" s="210">
        <f t="shared" si="70"/>
        <v>-0.43335155263849634</v>
      </c>
      <c r="BD53" s="210">
        <f t="shared" si="70"/>
        <v>-0.43335155263849634</v>
      </c>
      <c r="BE53" s="210">
        <f t="shared" si="70"/>
        <v>-0.43335155263849634</v>
      </c>
      <c r="BF53" s="210">
        <f t="shared" si="70"/>
        <v>-348.47773887552592</v>
      </c>
      <c r="BG53" s="210">
        <f t="shared" si="70"/>
        <v>-348.47773887552592</v>
      </c>
      <c r="BH53" s="210">
        <f t="shared" si="70"/>
        <v>-348.47773887552592</v>
      </c>
      <c r="BI53" s="210">
        <f t="shared" si="70"/>
        <v>-348.47773887552592</v>
      </c>
      <c r="BJ53" s="210">
        <f t="shared" si="70"/>
        <v>-348.47773887552592</v>
      </c>
      <c r="BK53" s="210">
        <f t="shared" si="70"/>
        <v>-348.47773887552592</v>
      </c>
      <c r="BL53" s="210">
        <f t="shared" si="70"/>
        <v>-348.47773887552592</v>
      </c>
      <c r="BM53" s="210">
        <f t="shared" si="70"/>
        <v>-348.47773887552592</v>
      </c>
      <c r="BN53" s="210">
        <f t="shared" si="70"/>
        <v>-348.47773887552592</v>
      </c>
      <c r="BO53" s="210">
        <f t="shared" si="70"/>
        <v>-348.47773887552592</v>
      </c>
      <c r="BP53" s="210">
        <f t="shared" si="70"/>
        <v>-348.47773887552592</v>
      </c>
      <c r="BQ53" s="210">
        <f t="shared" si="70"/>
        <v>-348.47773887552592</v>
      </c>
      <c r="BR53" s="210">
        <f t="shared" ref="BR53:DA53" si="71">IF(BR$22&lt;=$E$24,IF(BR$22&lt;=$D$24,IF(BR$22&lt;=$C$24,IF(BR$22&lt;=$B$24,$B119,($C36-$B36)/($C$24-$B$24)),($D36-$C36)/($D$24-$C$24)),($E36-$D36)/($E$24-$D$24)),$F119)</f>
        <v>-348.47773887552592</v>
      </c>
      <c r="BS53" s="210">
        <f t="shared" si="71"/>
        <v>-348.47773887552592</v>
      </c>
      <c r="BT53" s="210">
        <f t="shared" si="71"/>
        <v>-348.47773887552592</v>
      </c>
      <c r="BU53" s="210">
        <f t="shared" si="71"/>
        <v>-348.47773887552592</v>
      </c>
      <c r="BV53" s="210">
        <f t="shared" si="71"/>
        <v>-348.47773887552592</v>
      </c>
      <c r="BW53" s="210">
        <f t="shared" si="71"/>
        <v>-348.47773887552592</v>
      </c>
      <c r="BX53" s="210">
        <f t="shared" si="71"/>
        <v>-348.47773887552592</v>
      </c>
      <c r="BY53" s="210">
        <f t="shared" si="71"/>
        <v>-348.47773887552592</v>
      </c>
      <c r="BZ53" s="210">
        <f t="shared" si="71"/>
        <v>-348.47773887552592</v>
      </c>
      <c r="CA53" s="210">
        <f t="shared" si="71"/>
        <v>-348.47773887552592</v>
      </c>
      <c r="CB53" s="210">
        <f t="shared" si="71"/>
        <v>-348.47773887552592</v>
      </c>
      <c r="CC53" s="210">
        <f t="shared" si="71"/>
        <v>-348.47773887552592</v>
      </c>
      <c r="CD53" s="210">
        <f t="shared" si="71"/>
        <v>-348.47773887552592</v>
      </c>
      <c r="CE53" s="210">
        <f t="shared" si="71"/>
        <v>-348.47773887552592</v>
      </c>
      <c r="CF53" s="210">
        <f t="shared" si="71"/>
        <v>-348.47773887552592</v>
      </c>
      <c r="CG53" s="210">
        <f t="shared" si="71"/>
        <v>-348.47773887552592</v>
      </c>
      <c r="CH53" s="210">
        <f t="shared" si="71"/>
        <v>-554.49289553535459</v>
      </c>
      <c r="CI53" s="210">
        <f t="shared" si="71"/>
        <v>-554.49289553535459</v>
      </c>
      <c r="CJ53" s="210">
        <f t="shared" si="71"/>
        <v>-554.49289553535459</v>
      </c>
      <c r="CK53" s="210">
        <f t="shared" si="71"/>
        <v>-554.49289553535459</v>
      </c>
      <c r="CL53" s="210">
        <f t="shared" si="71"/>
        <v>-554.49289553535459</v>
      </c>
      <c r="CM53" s="210">
        <f t="shared" si="71"/>
        <v>-554.49289553535459</v>
      </c>
      <c r="CN53" s="210">
        <f t="shared" si="71"/>
        <v>-554.49289553535459</v>
      </c>
      <c r="CO53" s="210">
        <f t="shared" si="71"/>
        <v>-554.49289553535459</v>
      </c>
      <c r="CP53" s="210">
        <f t="shared" si="71"/>
        <v>-554.49289553535459</v>
      </c>
      <c r="CQ53" s="210">
        <f t="shared" si="71"/>
        <v>-554.49289553535459</v>
      </c>
      <c r="CR53" s="210">
        <f t="shared" si="71"/>
        <v>-554.49289553535459</v>
      </c>
      <c r="CS53" s="210">
        <f t="shared" si="71"/>
        <v>-554.49289553535459</v>
      </c>
      <c r="CT53" s="210">
        <f t="shared" si="71"/>
        <v>-554.49289553535459</v>
      </c>
      <c r="CU53" s="210">
        <f t="shared" si="71"/>
        <v>-554.49289553535459</v>
      </c>
      <c r="CV53" s="210">
        <f t="shared" si="71"/>
        <v>-554.49289553535459</v>
      </c>
      <c r="CW53" s="210">
        <f t="shared" si="71"/>
        <v>-554.49289553535459</v>
      </c>
      <c r="CX53" s="210">
        <f t="shared" si="71"/>
        <v>-1127.8300000000017</v>
      </c>
      <c r="CY53" s="210">
        <f t="shared" si="71"/>
        <v>-1127.8300000000017</v>
      </c>
      <c r="CZ53" s="210">
        <f t="shared" si="71"/>
        <v>-1127.8300000000017</v>
      </c>
      <c r="DA53" s="210">
        <f t="shared" si="71"/>
        <v>-1127.8300000000017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50.202778914004902</v>
      </c>
      <c r="Y54" s="210">
        <f t="shared" si="72"/>
        <v>50.202778914004902</v>
      </c>
      <c r="Z54" s="210">
        <f t="shared" si="72"/>
        <v>50.202778914004902</v>
      </c>
      <c r="AA54" s="210">
        <f t="shared" si="72"/>
        <v>50.202778914004902</v>
      </c>
      <c r="AB54" s="210">
        <f t="shared" si="72"/>
        <v>50.202778914004902</v>
      </c>
      <c r="AC54" s="210">
        <f t="shared" si="72"/>
        <v>50.202778914004902</v>
      </c>
      <c r="AD54" s="210">
        <f t="shared" si="72"/>
        <v>50.202778914004902</v>
      </c>
      <c r="AE54" s="210">
        <f t="shared" si="72"/>
        <v>50.202778914004902</v>
      </c>
      <c r="AF54" s="210">
        <f t="shared" si="72"/>
        <v>50.202778914004902</v>
      </c>
      <c r="AG54" s="210">
        <f t="shared" si="72"/>
        <v>50.202778914004902</v>
      </c>
      <c r="AH54" s="210">
        <f t="shared" si="72"/>
        <v>50.202778914004902</v>
      </c>
      <c r="AI54" s="210">
        <f t="shared" si="72"/>
        <v>50.202778914004902</v>
      </c>
      <c r="AJ54" s="210">
        <f t="shared" si="72"/>
        <v>50.202778914004902</v>
      </c>
      <c r="AK54" s="210">
        <f t="shared" si="72"/>
        <v>50.202778914004902</v>
      </c>
      <c r="AL54" s="210">
        <f t="shared" ref="AL54:BQ54" si="73">IF(AL$22&lt;=$E$24,IF(AL$22&lt;=$D$24,IF(AL$22&lt;=$C$24,IF(AL$22&lt;=$B$24,$B120,($C37-$B37)/($C$24-$B$24)),($D37-$C37)/($D$24-$C$24)),($E37-$D37)/($E$24-$D$24)),$F120)</f>
        <v>50.202778914004902</v>
      </c>
      <c r="AM54" s="210">
        <f t="shared" si="73"/>
        <v>50.202778914004902</v>
      </c>
      <c r="AN54" s="210">
        <f t="shared" si="73"/>
        <v>50.202778914004902</v>
      </c>
      <c r="AO54" s="210">
        <f t="shared" si="73"/>
        <v>50.202778914004902</v>
      </c>
      <c r="AP54" s="210">
        <f t="shared" si="73"/>
        <v>50.202778914004902</v>
      </c>
      <c r="AQ54" s="210">
        <f t="shared" si="73"/>
        <v>50.202778914004902</v>
      </c>
      <c r="AR54" s="210">
        <f t="shared" si="73"/>
        <v>50.202778914004902</v>
      </c>
      <c r="AS54" s="210">
        <f t="shared" si="73"/>
        <v>50.202778914004902</v>
      </c>
      <c r="AT54" s="210">
        <f t="shared" si="73"/>
        <v>50.202778914004902</v>
      </c>
      <c r="AU54" s="210">
        <f t="shared" si="73"/>
        <v>50.202778914004902</v>
      </c>
      <c r="AV54" s="210">
        <f t="shared" si="73"/>
        <v>50.202778914004902</v>
      </c>
      <c r="AW54" s="210">
        <f t="shared" si="73"/>
        <v>50.202778914004902</v>
      </c>
      <c r="AX54" s="210">
        <f t="shared" si="73"/>
        <v>50.202778914004902</v>
      </c>
      <c r="AY54" s="210">
        <f t="shared" si="73"/>
        <v>50.202778914004902</v>
      </c>
      <c r="AZ54" s="210">
        <f t="shared" si="73"/>
        <v>50.202778914004902</v>
      </c>
      <c r="BA54" s="210">
        <f t="shared" si="73"/>
        <v>50.202778914004902</v>
      </c>
      <c r="BB54" s="210">
        <f t="shared" si="73"/>
        <v>50.202778914004902</v>
      </c>
      <c r="BC54" s="210">
        <f t="shared" si="73"/>
        <v>50.202778914004902</v>
      </c>
      <c r="BD54" s="210">
        <f t="shared" si="73"/>
        <v>50.202778914004902</v>
      </c>
      <c r="BE54" s="210">
        <f t="shared" si="73"/>
        <v>50.202778914004902</v>
      </c>
      <c r="BF54" s="210">
        <f t="shared" si="73"/>
        <v>93.221450728066046</v>
      </c>
      <c r="BG54" s="210">
        <f t="shared" si="73"/>
        <v>93.221450728066046</v>
      </c>
      <c r="BH54" s="210">
        <f t="shared" si="73"/>
        <v>93.221450728066046</v>
      </c>
      <c r="BI54" s="210">
        <f t="shared" si="73"/>
        <v>93.221450728066046</v>
      </c>
      <c r="BJ54" s="210">
        <f t="shared" si="73"/>
        <v>93.221450728066046</v>
      </c>
      <c r="BK54" s="210">
        <f t="shared" si="73"/>
        <v>93.221450728066046</v>
      </c>
      <c r="BL54" s="210">
        <f t="shared" si="73"/>
        <v>93.221450728066046</v>
      </c>
      <c r="BM54" s="210">
        <f t="shared" si="73"/>
        <v>93.221450728066046</v>
      </c>
      <c r="BN54" s="210">
        <f t="shared" si="73"/>
        <v>93.221450728066046</v>
      </c>
      <c r="BO54" s="210">
        <f t="shared" si="73"/>
        <v>93.221450728066046</v>
      </c>
      <c r="BP54" s="210">
        <f t="shared" si="73"/>
        <v>93.221450728066046</v>
      </c>
      <c r="BQ54" s="210">
        <f t="shared" si="73"/>
        <v>93.221450728066046</v>
      </c>
      <c r="BR54" s="210">
        <f t="shared" ref="BR54:DA54" si="74">IF(BR$22&lt;=$E$24,IF(BR$22&lt;=$D$24,IF(BR$22&lt;=$C$24,IF(BR$22&lt;=$B$24,$B120,($C37-$B37)/($C$24-$B$24)),($D37-$C37)/($D$24-$C$24)),($E37-$D37)/($E$24-$D$24)),$F120)</f>
        <v>93.221450728066046</v>
      </c>
      <c r="BS54" s="210">
        <f t="shared" si="74"/>
        <v>93.221450728066046</v>
      </c>
      <c r="BT54" s="210">
        <f t="shared" si="74"/>
        <v>93.221450728066046</v>
      </c>
      <c r="BU54" s="210">
        <f t="shared" si="74"/>
        <v>93.221450728066046</v>
      </c>
      <c r="BV54" s="210">
        <f t="shared" si="74"/>
        <v>93.221450728066046</v>
      </c>
      <c r="BW54" s="210">
        <f t="shared" si="74"/>
        <v>93.221450728066046</v>
      </c>
      <c r="BX54" s="210">
        <f t="shared" si="74"/>
        <v>93.221450728066046</v>
      </c>
      <c r="BY54" s="210">
        <f t="shared" si="74"/>
        <v>93.221450728066046</v>
      </c>
      <c r="BZ54" s="210">
        <f t="shared" si="74"/>
        <v>93.221450728066046</v>
      </c>
      <c r="CA54" s="210">
        <f t="shared" si="74"/>
        <v>93.221450728066046</v>
      </c>
      <c r="CB54" s="210">
        <f t="shared" si="74"/>
        <v>93.221450728066046</v>
      </c>
      <c r="CC54" s="210">
        <f t="shared" si="74"/>
        <v>93.221450728066046</v>
      </c>
      <c r="CD54" s="210">
        <f t="shared" si="74"/>
        <v>93.221450728066046</v>
      </c>
      <c r="CE54" s="210">
        <f t="shared" si="74"/>
        <v>93.221450728066046</v>
      </c>
      <c r="CF54" s="210">
        <f t="shared" si="74"/>
        <v>93.221450728066046</v>
      </c>
      <c r="CG54" s="210">
        <f t="shared" si="74"/>
        <v>93.221450728066046</v>
      </c>
      <c r="CH54" s="210">
        <f t="shared" si="74"/>
        <v>231.3789696637464</v>
      </c>
      <c r="CI54" s="210">
        <f t="shared" si="74"/>
        <v>231.3789696637464</v>
      </c>
      <c r="CJ54" s="210">
        <f t="shared" si="74"/>
        <v>231.3789696637464</v>
      </c>
      <c r="CK54" s="210">
        <f t="shared" si="74"/>
        <v>231.3789696637464</v>
      </c>
      <c r="CL54" s="210">
        <f t="shared" si="74"/>
        <v>231.3789696637464</v>
      </c>
      <c r="CM54" s="210">
        <f t="shared" si="74"/>
        <v>231.3789696637464</v>
      </c>
      <c r="CN54" s="210">
        <f t="shared" si="74"/>
        <v>231.3789696637464</v>
      </c>
      <c r="CO54" s="210">
        <f t="shared" si="74"/>
        <v>231.3789696637464</v>
      </c>
      <c r="CP54" s="210">
        <f t="shared" si="74"/>
        <v>231.3789696637464</v>
      </c>
      <c r="CQ54" s="210">
        <f t="shared" si="74"/>
        <v>231.3789696637464</v>
      </c>
      <c r="CR54" s="210">
        <f t="shared" si="74"/>
        <v>231.3789696637464</v>
      </c>
      <c r="CS54" s="210">
        <f t="shared" si="74"/>
        <v>231.3789696637464</v>
      </c>
      <c r="CT54" s="210">
        <f t="shared" si="74"/>
        <v>231.3789696637464</v>
      </c>
      <c r="CU54" s="210">
        <f t="shared" si="74"/>
        <v>231.3789696637464</v>
      </c>
      <c r="CV54" s="210">
        <f t="shared" si="74"/>
        <v>231.3789696637464</v>
      </c>
      <c r="CW54" s="210">
        <f t="shared" si="74"/>
        <v>231.3789696637464</v>
      </c>
      <c r="CX54" s="210">
        <f t="shared" si="74"/>
        <v>296.33000000000021</v>
      </c>
      <c r="CY54" s="210">
        <f t="shared" si="74"/>
        <v>296.33000000000021</v>
      </c>
      <c r="CZ54" s="210">
        <f t="shared" si="74"/>
        <v>296.33000000000021</v>
      </c>
      <c r="DA54" s="210">
        <f t="shared" si="74"/>
        <v>296.33000000000021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3341.4747240587867</v>
      </c>
      <c r="G59" s="204">
        <f t="shared" si="75"/>
        <v>3341.4747240587867</v>
      </c>
      <c r="H59" s="204">
        <f t="shared" si="75"/>
        <v>3341.4747240587867</v>
      </c>
      <c r="I59" s="204">
        <f t="shared" si="75"/>
        <v>3341.4747240587867</v>
      </c>
      <c r="J59" s="204">
        <f t="shared" si="75"/>
        <v>3341.4747240587867</v>
      </c>
      <c r="K59" s="204">
        <f t="shared" si="75"/>
        <v>3341.4747240587867</v>
      </c>
      <c r="L59" s="204">
        <f t="shared" si="75"/>
        <v>3341.4747240587867</v>
      </c>
      <c r="M59" s="204">
        <f t="shared" si="75"/>
        <v>3341.4747240587867</v>
      </c>
      <c r="N59" s="204">
        <f t="shared" si="75"/>
        <v>3341.4747240587867</v>
      </c>
      <c r="O59" s="204">
        <f t="shared" si="75"/>
        <v>3341.4747240587867</v>
      </c>
      <c r="P59" s="204">
        <f t="shared" si="75"/>
        <v>3341.4747240587867</v>
      </c>
      <c r="Q59" s="204">
        <f t="shared" si="75"/>
        <v>3341.4747240587867</v>
      </c>
      <c r="R59" s="204">
        <f t="shared" si="75"/>
        <v>3341.4747240587867</v>
      </c>
      <c r="S59" s="204">
        <f t="shared" si="75"/>
        <v>3341.4747240587867</v>
      </c>
      <c r="T59" s="204">
        <f t="shared" si="75"/>
        <v>3341.4747240587867</v>
      </c>
      <c r="U59" s="204">
        <f t="shared" si="75"/>
        <v>3341.4747240587867</v>
      </c>
      <c r="V59" s="204">
        <f t="shared" si="75"/>
        <v>3341.4747240587867</v>
      </c>
      <c r="W59" s="204">
        <f t="shared" si="75"/>
        <v>3341.4747240587867</v>
      </c>
      <c r="X59" s="204">
        <f t="shared" si="75"/>
        <v>3358.9249877337502</v>
      </c>
      <c r="Y59" s="204">
        <f t="shared" si="75"/>
        <v>3393.8255150836767</v>
      </c>
      <c r="Z59" s="204">
        <f t="shared" si="75"/>
        <v>3428.7260424336037</v>
      </c>
      <c r="AA59" s="204">
        <f t="shared" si="75"/>
        <v>3463.6265697835302</v>
      </c>
      <c r="AB59" s="204">
        <f t="shared" si="75"/>
        <v>3498.5270971334567</v>
      </c>
      <c r="AC59" s="204">
        <f t="shared" si="75"/>
        <v>3533.4276244833836</v>
      </c>
      <c r="AD59" s="204">
        <f t="shared" si="75"/>
        <v>3568.3281518333101</v>
      </c>
      <c r="AE59" s="204">
        <f t="shared" si="75"/>
        <v>3603.2286791832366</v>
      </c>
      <c r="AF59" s="204">
        <f t="shared" si="75"/>
        <v>3638.1292065331636</v>
      </c>
      <c r="AG59" s="204">
        <f t="shared" si="75"/>
        <v>3673.0297338830901</v>
      </c>
      <c r="AH59" s="204">
        <f t="shared" si="75"/>
        <v>3707.9302612330171</v>
      </c>
      <c r="AI59" s="204">
        <f t="shared" si="75"/>
        <v>3742.8307885829436</v>
      </c>
      <c r="AJ59" s="204">
        <f t="shared" si="75"/>
        <v>3777.7313159328705</v>
      </c>
      <c r="AK59" s="204">
        <f t="shared" si="75"/>
        <v>3812.631843282797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3847.5323706327235</v>
      </c>
      <c r="AM59" s="204">
        <f t="shared" si="76"/>
        <v>3882.4328979826505</v>
      </c>
      <c r="AN59" s="204">
        <f t="shared" si="76"/>
        <v>3917.333425332577</v>
      </c>
      <c r="AO59" s="204">
        <f t="shared" si="76"/>
        <v>3952.2339526825035</v>
      </c>
      <c r="AP59" s="204">
        <f t="shared" si="76"/>
        <v>3987.1344800324305</v>
      </c>
      <c r="AQ59" s="204">
        <f t="shared" si="76"/>
        <v>4022.0350073823574</v>
      </c>
      <c r="AR59" s="204">
        <f t="shared" si="76"/>
        <v>4056.9355347322839</v>
      </c>
      <c r="AS59" s="204">
        <f t="shared" si="76"/>
        <v>4091.8360620822104</v>
      </c>
      <c r="AT59" s="204">
        <f t="shared" si="76"/>
        <v>4126.7365894321374</v>
      </c>
      <c r="AU59" s="204">
        <f t="shared" si="76"/>
        <v>4161.6371167820635</v>
      </c>
      <c r="AV59" s="204">
        <f t="shared" si="76"/>
        <v>4196.5376441319904</v>
      </c>
      <c r="AW59" s="204">
        <f t="shared" si="76"/>
        <v>4231.4381714819174</v>
      </c>
      <c r="AX59" s="204">
        <f t="shared" si="76"/>
        <v>4266.3386988318443</v>
      </c>
      <c r="AY59" s="204">
        <f t="shared" si="76"/>
        <v>4301.2392261817704</v>
      </c>
      <c r="AZ59" s="204">
        <f t="shared" si="76"/>
        <v>4336.1397535316974</v>
      </c>
      <c r="BA59" s="204">
        <f t="shared" si="76"/>
        <v>4371.0402808816243</v>
      </c>
      <c r="BB59" s="204">
        <f t="shared" si="76"/>
        <v>4405.9408082315513</v>
      </c>
      <c r="BC59" s="204">
        <f t="shared" si="76"/>
        <v>4440.8413355814773</v>
      </c>
      <c r="BD59" s="204">
        <f t="shared" si="76"/>
        <v>4475.7418629314043</v>
      </c>
      <c r="BE59" s="204">
        <f t="shared" si="76"/>
        <v>4510.6423902813312</v>
      </c>
      <c r="BF59" s="204">
        <f t="shared" si="76"/>
        <v>4553.3813244473877</v>
      </c>
      <c r="BG59" s="204">
        <f t="shared" si="76"/>
        <v>4600.4749290668506</v>
      </c>
      <c r="BH59" s="204">
        <f t="shared" si="76"/>
        <v>4647.5685336863135</v>
      </c>
      <c r="BI59" s="204">
        <f t="shared" si="76"/>
        <v>4694.6621383057764</v>
      </c>
      <c r="BJ59" s="204">
        <f t="shared" si="76"/>
        <v>4741.7557429252392</v>
      </c>
      <c r="BK59" s="204">
        <f t="shared" si="76"/>
        <v>4788.8493475447021</v>
      </c>
      <c r="BL59" s="204">
        <f t="shared" si="76"/>
        <v>4835.942952164165</v>
      </c>
      <c r="BM59" s="204">
        <f t="shared" si="76"/>
        <v>4883.036556783627</v>
      </c>
      <c r="BN59" s="204">
        <f t="shared" si="76"/>
        <v>4930.1301614030899</v>
      </c>
      <c r="BO59" s="204">
        <f t="shared" si="76"/>
        <v>4977.2237660225528</v>
      </c>
      <c r="BP59" s="204">
        <f t="shared" si="76"/>
        <v>5024.3173706420157</v>
      </c>
      <c r="BQ59" s="204">
        <f t="shared" si="76"/>
        <v>5071.4109752614786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5118.5045798809415</v>
      </c>
      <c r="BS59" s="204">
        <f t="shared" si="77"/>
        <v>5165.5981845004044</v>
      </c>
      <c r="BT59" s="204">
        <f t="shared" si="77"/>
        <v>5212.6917891198673</v>
      </c>
      <c r="BU59" s="204">
        <f t="shared" si="77"/>
        <v>5259.7853937393302</v>
      </c>
      <c r="BV59" s="204">
        <f t="shared" si="77"/>
        <v>5306.8789983587922</v>
      </c>
      <c r="BW59" s="204">
        <f t="shared" si="77"/>
        <v>5353.9726029782551</v>
      </c>
      <c r="BX59" s="204">
        <f t="shared" si="77"/>
        <v>5401.0662075977179</v>
      </c>
      <c r="BY59" s="204">
        <f t="shared" si="77"/>
        <v>5448.1598122171808</v>
      </c>
      <c r="BZ59" s="204">
        <f t="shared" si="77"/>
        <v>5495.2534168366437</v>
      </c>
      <c r="CA59" s="204">
        <f t="shared" si="77"/>
        <v>5542.3470214561066</v>
      </c>
      <c r="CB59" s="204">
        <f t="shared" si="77"/>
        <v>5589.4406260755695</v>
      </c>
      <c r="CC59" s="204">
        <f t="shared" si="77"/>
        <v>5636.5342306950315</v>
      </c>
      <c r="CD59" s="204">
        <f t="shared" si="77"/>
        <v>5683.6278353144953</v>
      </c>
      <c r="CE59" s="204">
        <f t="shared" si="77"/>
        <v>5730.7214399339573</v>
      </c>
      <c r="CF59" s="204">
        <f t="shared" si="77"/>
        <v>5777.8150445534202</v>
      </c>
      <c r="CG59" s="204">
        <f t="shared" si="77"/>
        <v>5824.9086491728831</v>
      </c>
      <c r="CH59" s="204">
        <f t="shared" si="77"/>
        <v>5951.2878451177903</v>
      </c>
      <c r="CI59" s="204">
        <f t="shared" si="77"/>
        <v>6099.2903841514562</v>
      </c>
      <c r="CJ59" s="204">
        <f t="shared" si="77"/>
        <v>6247.2929231851222</v>
      </c>
      <c r="CK59" s="204">
        <f t="shared" si="77"/>
        <v>6395.2954622187881</v>
      </c>
      <c r="CL59" s="204">
        <f t="shared" si="77"/>
        <v>6543.298001252454</v>
      </c>
      <c r="CM59" s="204">
        <f t="shared" si="77"/>
        <v>6691.3005402861199</v>
      </c>
      <c r="CN59" s="204">
        <f t="shared" si="77"/>
        <v>6839.3030793197859</v>
      </c>
      <c r="CO59" s="204">
        <f t="shared" si="77"/>
        <v>6987.3056183534518</v>
      </c>
      <c r="CP59" s="204">
        <f t="shared" si="77"/>
        <v>7135.3081573871186</v>
      </c>
      <c r="CQ59" s="204">
        <f t="shared" si="77"/>
        <v>7283.3106964207836</v>
      </c>
      <c r="CR59" s="204">
        <f t="shared" si="77"/>
        <v>7431.3132354544505</v>
      </c>
      <c r="CS59" s="204">
        <f t="shared" si="77"/>
        <v>7579.3157744881155</v>
      </c>
      <c r="CT59" s="204">
        <f t="shared" si="77"/>
        <v>7727.3183135217823</v>
      </c>
      <c r="CU59" s="204">
        <f t="shared" si="77"/>
        <v>7875.3208525554473</v>
      </c>
      <c r="CV59" s="204">
        <f t="shared" si="77"/>
        <v>8023.3233915891142</v>
      </c>
      <c r="CW59" s="204">
        <f t="shared" si="77"/>
        <v>8171.3259306227792</v>
      </c>
      <c r="CX59" s="204">
        <f t="shared" si="77"/>
        <v>8292.5582659919473</v>
      </c>
      <c r="CY59" s="204">
        <f t="shared" si="77"/>
        <v>8398.9182659919461</v>
      </c>
      <c r="CZ59" s="204">
        <f t="shared" si="77"/>
        <v>8505.2782659919467</v>
      </c>
      <c r="DA59" s="204">
        <f t="shared" si="77"/>
        <v>8611.6382659919473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6257.5095429771818</v>
      </c>
      <c r="G60" s="204">
        <f t="shared" si="78"/>
        <v>5917.2495429771816</v>
      </c>
      <c r="H60" s="204">
        <f t="shared" si="78"/>
        <v>5576.9895429771814</v>
      </c>
      <c r="I60" s="204">
        <f t="shared" si="78"/>
        <v>5236.7295429771812</v>
      </c>
      <c r="J60" s="204">
        <f t="shared" si="78"/>
        <v>4896.4695429771818</v>
      </c>
      <c r="K60" s="204">
        <f t="shared" si="78"/>
        <v>4556.2095429771816</v>
      </c>
      <c r="L60" s="204">
        <f t="shared" si="78"/>
        <v>4215.9495429771814</v>
      </c>
      <c r="M60" s="204">
        <f t="shared" si="78"/>
        <v>3875.6895429771812</v>
      </c>
      <c r="N60" s="204">
        <f t="shared" si="78"/>
        <v>3535.429542977181</v>
      </c>
      <c r="O60" s="204">
        <f t="shared" si="78"/>
        <v>3195.1695429771812</v>
      </c>
      <c r="P60" s="204">
        <f t="shared" si="78"/>
        <v>2854.909542977181</v>
      </c>
      <c r="Q60" s="204">
        <f t="shared" si="78"/>
        <v>2514.6495429771812</v>
      </c>
      <c r="R60" s="204">
        <f t="shared" si="78"/>
        <v>2174.389542977181</v>
      </c>
      <c r="S60" s="204">
        <f t="shared" si="78"/>
        <v>1834.1295429771812</v>
      </c>
      <c r="T60" s="204">
        <f t="shared" si="78"/>
        <v>1493.869542977181</v>
      </c>
      <c r="U60" s="204">
        <f t="shared" si="78"/>
        <v>1153.6095429771813</v>
      </c>
      <c r="V60" s="204">
        <f t="shared" si="78"/>
        <v>813.34954297718127</v>
      </c>
      <c r="W60" s="204">
        <f t="shared" si="78"/>
        <v>473.08954297718128</v>
      </c>
      <c r="X60" s="204">
        <f t="shared" si="78"/>
        <v>310.84507462383533</v>
      </c>
      <c r="Y60" s="204">
        <f t="shared" si="78"/>
        <v>326.61613791714336</v>
      </c>
      <c r="Z60" s="204">
        <f t="shared" si="78"/>
        <v>342.38720121045139</v>
      </c>
      <c r="AA60" s="204">
        <f t="shared" si="78"/>
        <v>358.15826450375943</v>
      </c>
      <c r="AB60" s="204">
        <f t="shared" si="78"/>
        <v>373.92932779706746</v>
      </c>
      <c r="AC60" s="204">
        <f t="shared" si="78"/>
        <v>389.70039109037549</v>
      </c>
      <c r="AD60" s="204">
        <f t="shared" si="78"/>
        <v>405.47145438368352</v>
      </c>
      <c r="AE60" s="204">
        <f t="shared" si="78"/>
        <v>421.24251767699155</v>
      </c>
      <c r="AF60" s="204">
        <f t="shared" si="78"/>
        <v>437.01358097029959</v>
      </c>
      <c r="AG60" s="204">
        <f t="shared" si="78"/>
        <v>452.78464426360762</v>
      </c>
      <c r="AH60" s="204">
        <f t="shared" si="78"/>
        <v>468.55570755691565</v>
      </c>
      <c r="AI60" s="204">
        <f t="shared" si="78"/>
        <v>484.32677085022368</v>
      </c>
      <c r="AJ60" s="204">
        <f t="shared" si="78"/>
        <v>500.09783414353171</v>
      </c>
      <c r="AK60" s="204">
        <f t="shared" si="78"/>
        <v>515.86889743683969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531.63996073014778</v>
      </c>
      <c r="AM60" s="204">
        <f t="shared" si="79"/>
        <v>547.41102402345587</v>
      </c>
      <c r="AN60" s="204">
        <f t="shared" si="79"/>
        <v>563.18208731676384</v>
      </c>
      <c r="AO60" s="204">
        <f t="shared" si="79"/>
        <v>578.95315061007182</v>
      </c>
      <c r="AP60" s="204">
        <f t="shared" si="79"/>
        <v>594.7242139033799</v>
      </c>
      <c r="AQ60" s="204">
        <f t="shared" si="79"/>
        <v>610.49527719668799</v>
      </c>
      <c r="AR60" s="204">
        <f t="shared" si="79"/>
        <v>626.26634048999597</v>
      </c>
      <c r="AS60" s="204">
        <f t="shared" si="79"/>
        <v>642.03740378330394</v>
      </c>
      <c r="AT60" s="204">
        <f t="shared" si="79"/>
        <v>657.80846707661203</v>
      </c>
      <c r="AU60" s="204">
        <f t="shared" si="79"/>
        <v>673.57953036992012</v>
      </c>
      <c r="AV60" s="204">
        <f t="shared" si="79"/>
        <v>689.3505936632281</v>
      </c>
      <c r="AW60" s="204">
        <f t="shared" si="79"/>
        <v>705.12165695653607</v>
      </c>
      <c r="AX60" s="204">
        <f t="shared" si="79"/>
        <v>720.89272024984416</v>
      </c>
      <c r="AY60" s="204">
        <f t="shared" si="79"/>
        <v>736.66378354315225</v>
      </c>
      <c r="AZ60" s="204">
        <f t="shared" si="79"/>
        <v>752.43484683646022</v>
      </c>
      <c r="BA60" s="204">
        <f t="shared" si="79"/>
        <v>768.2059101297682</v>
      </c>
      <c r="BB60" s="204">
        <f t="shared" si="79"/>
        <v>783.97697342307629</v>
      </c>
      <c r="BC60" s="204">
        <f t="shared" si="79"/>
        <v>799.74803671638438</v>
      </c>
      <c r="BD60" s="204">
        <f t="shared" si="79"/>
        <v>815.51910000969235</v>
      </c>
      <c r="BE60" s="204">
        <f t="shared" si="79"/>
        <v>831.29016330300044</v>
      </c>
      <c r="BF60" s="204">
        <f t="shared" si="79"/>
        <v>968.36023671631017</v>
      </c>
      <c r="BG60" s="204">
        <f t="shared" si="79"/>
        <v>1172.8186490851776</v>
      </c>
      <c r="BH60" s="204">
        <f t="shared" si="79"/>
        <v>1377.277061454045</v>
      </c>
      <c r="BI60" s="204">
        <f t="shared" si="79"/>
        <v>1581.7354738229124</v>
      </c>
      <c r="BJ60" s="204">
        <f t="shared" si="79"/>
        <v>1786.1938861917799</v>
      </c>
      <c r="BK60" s="204">
        <f t="shared" si="79"/>
        <v>1990.6522985606475</v>
      </c>
      <c r="BL60" s="204">
        <f t="shared" si="79"/>
        <v>2195.1107109295149</v>
      </c>
      <c r="BM60" s="204">
        <f t="shared" si="79"/>
        <v>2399.5691232983822</v>
      </c>
      <c r="BN60" s="204">
        <f t="shared" si="79"/>
        <v>2604.0275356672496</v>
      </c>
      <c r="BO60" s="204">
        <f t="shared" si="79"/>
        <v>2808.485948036117</v>
      </c>
      <c r="BP60" s="204">
        <f t="shared" si="79"/>
        <v>3012.9443604049848</v>
      </c>
      <c r="BQ60" s="204">
        <f t="shared" si="79"/>
        <v>3217.4027727738521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3421.8611851427195</v>
      </c>
      <c r="BS60" s="204">
        <f t="shared" si="80"/>
        <v>3626.3195975115868</v>
      </c>
      <c r="BT60" s="204">
        <f t="shared" si="80"/>
        <v>3830.7780098804546</v>
      </c>
      <c r="BU60" s="204">
        <f t="shared" si="80"/>
        <v>4035.236422249322</v>
      </c>
      <c r="BV60" s="204">
        <f t="shared" si="80"/>
        <v>4239.6948346181889</v>
      </c>
      <c r="BW60" s="204">
        <f t="shared" si="80"/>
        <v>4444.1532469870563</v>
      </c>
      <c r="BX60" s="204">
        <f t="shared" si="80"/>
        <v>4648.6116593559236</v>
      </c>
      <c r="BY60" s="204">
        <f t="shared" si="80"/>
        <v>4853.0700717247919</v>
      </c>
      <c r="BZ60" s="204">
        <f t="shared" si="80"/>
        <v>5057.5284840936592</v>
      </c>
      <c r="CA60" s="204">
        <f t="shared" si="80"/>
        <v>5261.9868964625266</v>
      </c>
      <c r="CB60" s="204">
        <f t="shared" si="80"/>
        <v>5466.445308831394</v>
      </c>
      <c r="CC60" s="204">
        <f t="shared" si="80"/>
        <v>5670.9037212002613</v>
      </c>
      <c r="CD60" s="204">
        <f t="shared" si="80"/>
        <v>5875.3621335691287</v>
      </c>
      <c r="CE60" s="204">
        <f t="shared" si="80"/>
        <v>6079.820545937996</v>
      </c>
      <c r="CF60" s="204">
        <f t="shared" si="80"/>
        <v>6284.2789583068634</v>
      </c>
      <c r="CG60" s="204">
        <f t="shared" si="80"/>
        <v>6488.7373706757317</v>
      </c>
      <c r="CH60" s="204">
        <f t="shared" si="80"/>
        <v>7652.2904259595289</v>
      </c>
      <c r="CI60" s="204">
        <f t="shared" si="80"/>
        <v>9077.414747492865</v>
      </c>
      <c r="CJ60" s="204">
        <f t="shared" si="80"/>
        <v>10502.539069026199</v>
      </c>
      <c r="CK60" s="204">
        <f t="shared" si="80"/>
        <v>11927.663390559537</v>
      </c>
      <c r="CL60" s="204">
        <f t="shared" si="80"/>
        <v>13352.787712092872</v>
      </c>
      <c r="CM60" s="204">
        <f t="shared" si="80"/>
        <v>14777.912033626209</v>
      </c>
      <c r="CN60" s="204">
        <f t="shared" si="80"/>
        <v>16203.036355159544</v>
      </c>
      <c r="CO60" s="204">
        <f t="shared" si="80"/>
        <v>17628.160676692878</v>
      </c>
      <c r="CP60" s="204">
        <f t="shared" si="80"/>
        <v>19053.284998226216</v>
      </c>
      <c r="CQ60" s="204">
        <f t="shared" si="80"/>
        <v>20478.40931975955</v>
      </c>
      <c r="CR60" s="204">
        <f t="shared" si="80"/>
        <v>21903.533641292888</v>
      </c>
      <c r="CS60" s="204">
        <f t="shared" si="80"/>
        <v>23328.657962826223</v>
      </c>
      <c r="CT60" s="204">
        <f t="shared" si="80"/>
        <v>24753.78228435956</v>
      </c>
      <c r="CU60" s="204">
        <f t="shared" si="80"/>
        <v>26178.906605892895</v>
      </c>
      <c r="CV60" s="204">
        <f t="shared" si="80"/>
        <v>27604.030927426233</v>
      </c>
      <c r="CW60" s="204">
        <f t="shared" si="80"/>
        <v>29029.155248959567</v>
      </c>
      <c r="CX60" s="204">
        <f t="shared" si="80"/>
        <v>30004.109649507191</v>
      </c>
      <c r="CY60" s="204">
        <f t="shared" si="80"/>
        <v>30728.969649507191</v>
      </c>
      <c r="CZ60" s="204">
        <f t="shared" si="80"/>
        <v>31453.829649507192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32178.689649507192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446.73706902364438</v>
      </c>
      <c r="G61" s="204">
        <f t="shared" si="81"/>
        <v>446.73706902364438</v>
      </c>
      <c r="H61" s="204">
        <f t="shared" si="81"/>
        <v>446.73706902364438</v>
      </c>
      <c r="I61" s="204">
        <f t="shared" si="81"/>
        <v>446.73706902364438</v>
      </c>
      <c r="J61" s="204">
        <f t="shared" si="81"/>
        <v>446.73706902364438</v>
      </c>
      <c r="K61" s="204">
        <f t="shared" si="81"/>
        <v>446.73706902364438</v>
      </c>
      <c r="L61" s="204">
        <f t="shared" si="81"/>
        <v>446.73706902364438</v>
      </c>
      <c r="M61" s="204">
        <f t="shared" si="81"/>
        <v>446.73706902364438</v>
      </c>
      <c r="N61" s="204">
        <f t="shared" si="81"/>
        <v>446.73706902364438</v>
      </c>
      <c r="O61" s="204">
        <f t="shared" si="81"/>
        <v>446.73706902364438</v>
      </c>
      <c r="P61" s="204">
        <f t="shared" si="81"/>
        <v>446.73706902364438</v>
      </c>
      <c r="Q61" s="204">
        <f t="shared" si="81"/>
        <v>446.73706902364438</v>
      </c>
      <c r="R61" s="204">
        <f t="shared" si="81"/>
        <v>446.73706902364438</v>
      </c>
      <c r="S61" s="204">
        <f t="shared" si="81"/>
        <v>446.73706902364438</v>
      </c>
      <c r="T61" s="204">
        <f t="shared" si="81"/>
        <v>446.73706902364438</v>
      </c>
      <c r="U61" s="204">
        <f t="shared" si="81"/>
        <v>446.73706902364438</v>
      </c>
      <c r="V61" s="204">
        <f t="shared" si="81"/>
        <v>446.73706902364438</v>
      </c>
      <c r="W61" s="204">
        <f t="shared" si="81"/>
        <v>446.73706902364438</v>
      </c>
      <c r="X61" s="204">
        <f t="shared" si="81"/>
        <v>456.61728667144519</v>
      </c>
      <c r="Y61" s="204">
        <f t="shared" si="81"/>
        <v>476.3777219670468</v>
      </c>
      <c r="Z61" s="204">
        <f t="shared" si="81"/>
        <v>496.13815726264841</v>
      </c>
      <c r="AA61" s="204">
        <f t="shared" si="81"/>
        <v>515.89859255825002</v>
      </c>
      <c r="AB61" s="204">
        <f t="shared" si="81"/>
        <v>535.65902785385163</v>
      </c>
      <c r="AC61" s="204">
        <f t="shared" si="81"/>
        <v>555.41946314945324</v>
      </c>
      <c r="AD61" s="204">
        <f t="shared" si="81"/>
        <v>575.17989844505485</v>
      </c>
      <c r="AE61" s="204">
        <f t="shared" si="81"/>
        <v>594.94033374065646</v>
      </c>
      <c r="AF61" s="204">
        <f t="shared" si="81"/>
        <v>614.70076903625807</v>
      </c>
      <c r="AG61" s="204">
        <f t="shared" si="81"/>
        <v>634.46120433185968</v>
      </c>
      <c r="AH61" s="204">
        <f t="shared" si="81"/>
        <v>654.22163962746129</v>
      </c>
      <c r="AI61" s="204">
        <f t="shared" si="81"/>
        <v>673.9820749230629</v>
      </c>
      <c r="AJ61" s="204">
        <f t="shared" si="81"/>
        <v>693.74251021866462</v>
      </c>
      <c r="AK61" s="204">
        <f t="shared" si="81"/>
        <v>713.50294551426623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733.26338080986784</v>
      </c>
      <c r="AM61" s="204">
        <f t="shared" si="82"/>
        <v>753.02381610546945</v>
      </c>
      <c r="AN61" s="204">
        <f t="shared" si="82"/>
        <v>772.78425140107106</v>
      </c>
      <c r="AO61" s="204">
        <f t="shared" si="82"/>
        <v>792.54468669667267</v>
      </c>
      <c r="AP61" s="204">
        <f t="shared" si="82"/>
        <v>812.30512199227428</v>
      </c>
      <c r="AQ61" s="204">
        <f t="shared" si="82"/>
        <v>832.06555728787589</v>
      </c>
      <c r="AR61" s="204">
        <f t="shared" si="82"/>
        <v>851.8259925834775</v>
      </c>
      <c r="AS61" s="204">
        <f t="shared" si="82"/>
        <v>871.58642787907911</v>
      </c>
      <c r="AT61" s="204">
        <f t="shared" si="82"/>
        <v>891.34686317468072</v>
      </c>
      <c r="AU61" s="204">
        <f t="shared" si="82"/>
        <v>911.10729847028233</v>
      </c>
      <c r="AV61" s="204">
        <f t="shared" si="82"/>
        <v>930.86773376588394</v>
      </c>
      <c r="AW61" s="204">
        <f t="shared" si="82"/>
        <v>950.62816906148555</v>
      </c>
      <c r="AX61" s="204">
        <f t="shared" si="82"/>
        <v>970.38860435708716</v>
      </c>
      <c r="AY61" s="204">
        <f t="shared" si="82"/>
        <v>990.14903965268877</v>
      </c>
      <c r="AZ61" s="204">
        <f t="shared" si="82"/>
        <v>1009.9094749482904</v>
      </c>
      <c r="BA61" s="204">
        <f t="shared" si="82"/>
        <v>1029.669910243892</v>
      </c>
      <c r="BB61" s="204">
        <f t="shared" si="82"/>
        <v>1049.4303455394936</v>
      </c>
      <c r="BC61" s="204">
        <f t="shared" si="82"/>
        <v>1069.1907808350952</v>
      </c>
      <c r="BD61" s="204">
        <f t="shared" si="82"/>
        <v>1088.9512161306968</v>
      </c>
      <c r="BE61" s="204">
        <f t="shared" si="82"/>
        <v>1108.7116514262984</v>
      </c>
      <c r="BF61" s="204">
        <f t="shared" si="82"/>
        <v>1144.2486777039376</v>
      </c>
      <c r="BG61" s="204">
        <f t="shared" si="82"/>
        <v>1188.5504767493758</v>
      </c>
      <c r="BH61" s="204">
        <f t="shared" si="82"/>
        <v>1232.8522757948135</v>
      </c>
      <c r="BI61" s="204">
        <f t="shared" si="82"/>
        <v>1277.1540748402517</v>
      </c>
      <c r="BJ61" s="204">
        <f t="shared" si="82"/>
        <v>1321.4558738856897</v>
      </c>
      <c r="BK61" s="204">
        <f t="shared" si="82"/>
        <v>1365.7576729311277</v>
      </c>
      <c r="BL61" s="204">
        <f t="shared" si="82"/>
        <v>1410.0594719765656</v>
      </c>
      <c r="BM61" s="204">
        <f t="shared" si="82"/>
        <v>1454.3612710220036</v>
      </c>
      <c r="BN61" s="204">
        <f t="shared" si="82"/>
        <v>1498.6630700674416</v>
      </c>
      <c r="BO61" s="204">
        <f t="shared" si="82"/>
        <v>1542.9648691128796</v>
      </c>
      <c r="BP61" s="204">
        <f t="shared" si="82"/>
        <v>1587.2666681583175</v>
      </c>
      <c r="BQ61" s="204">
        <f t="shared" si="82"/>
        <v>1631.5684672037555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1675.8702662491935</v>
      </c>
      <c r="BS61" s="204">
        <f t="shared" si="83"/>
        <v>1720.1720652946315</v>
      </c>
      <c r="BT61" s="204">
        <f t="shared" si="83"/>
        <v>1764.4738643400694</v>
      </c>
      <c r="BU61" s="204">
        <f t="shared" si="83"/>
        <v>1808.7756633855074</v>
      </c>
      <c r="BV61" s="204">
        <f t="shared" si="83"/>
        <v>1853.0774624309454</v>
      </c>
      <c r="BW61" s="204">
        <f t="shared" si="83"/>
        <v>1897.3792614763834</v>
      </c>
      <c r="BX61" s="204">
        <f t="shared" si="83"/>
        <v>1941.6810605218213</v>
      </c>
      <c r="BY61" s="204">
        <f t="shared" si="83"/>
        <v>1985.9828595672593</v>
      </c>
      <c r="BZ61" s="204">
        <f t="shared" si="83"/>
        <v>2030.2846586126973</v>
      </c>
      <c r="CA61" s="204">
        <f t="shared" si="83"/>
        <v>2074.5864576581353</v>
      </c>
      <c r="CB61" s="204">
        <f t="shared" si="83"/>
        <v>2118.8882567035735</v>
      </c>
      <c r="CC61" s="204">
        <f t="shared" si="83"/>
        <v>2163.1900557490112</v>
      </c>
      <c r="CD61" s="204">
        <f t="shared" si="83"/>
        <v>2207.491854794449</v>
      </c>
      <c r="CE61" s="204">
        <f t="shared" si="83"/>
        <v>2251.7936538398872</v>
      </c>
      <c r="CF61" s="204">
        <f t="shared" si="83"/>
        <v>2296.0954528853254</v>
      </c>
      <c r="CG61" s="204">
        <f t="shared" si="83"/>
        <v>2340.3972519307631</v>
      </c>
      <c r="CH61" s="204">
        <f t="shared" si="83"/>
        <v>2409.2746014009222</v>
      </c>
      <c r="CI61" s="204">
        <f t="shared" si="83"/>
        <v>2484.8543737141877</v>
      </c>
      <c r="CJ61" s="204">
        <f t="shared" si="83"/>
        <v>2560.4341460274527</v>
      </c>
      <c r="CK61" s="204">
        <f t="shared" si="83"/>
        <v>2636.0139183407182</v>
      </c>
      <c r="CL61" s="204">
        <f t="shared" si="83"/>
        <v>2711.5936906539832</v>
      </c>
      <c r="CM61" s="204">
        <f t="shared" si="83"/>
        <v>2787.1734629672487</v>
      </c>
      <c r="CN61" s="204">
        <f t="shared" si="83"/>
        <v>2862.7532352805138</v>
      </c>
      <c r="CO61" s="204">
        <f t="shared" si="83"/>
        <v>2938.3330075937793</v>
      </c>
      <c r="CP61" s="204">
        <f t="shared" si="83"/>
        <v>3013.9127799070448</v>
      </c>
      <c r="CQ61" s="204">
        <f t="shared" si="83"/>
        <v>3089.4925522203098</v>
      </c>
      <c r="CR61" s="204">
        <f t="shared" si="83"/>
        <v>3165.0723245335748</v>
      </c>
      <c r="CS61" s="204">
        <f t="shared" si="83"/>
        <v>3240.6520968468403</v>
      </c>
      <c r="CT61" s="204">
        <f t="shared" si="83"/>
        <v>3316.2318691601058</v>
      </c>
      <c r="CU61" s="204">
        <f t="shared" si="83"/>
        <v>3391.8116414733709</v>
      </c>
      <c r="CV61" s="204">
        <f t="shared" si="83"/>
        <v>3467.3914137866359</v>
      </c>
      <c r="CW61" s="204">
        <f t="shared" si="83"/>
        <v>3542.9711860999014</v>
      </c>
      <c r="CX61" s="204">
        <f t="shared" si="83"/>
        <v>3575.3838904974964</v>
      </c>
      <c r="CY61" s="204">
        <f t="shared" si="83"/>
        <v>3583.8148904974964</v>
      </c>
      <c r="CZ61" s="204">
        <f t="shared" si="83"/>
        <v>3592.2458904974965</v>
      </c>
      <c r="DA61" s="204">
        <f t="shared" si="83"/>
        <v>3600.6768904974965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3.1545731813108997E-2</v>
      </c>
      <c r="Y62" s="204">
        <f t="shared" si="84"/>
        <v>9.4637195439326999E-2</v>
      </c>
      <c r="Z62" s="204">
        <f t="shared" si="84"/>
        <v>0.15772865906554498</v>
      </c>
      <c r="AA62" s="204">
        <f t="shared" si="84"/>
        <v>0.22082012269176299</v>
      </c>
      <c r="AB62" s="204">
        <f t="shared" si="84"/>
        <v>0.28391158631798097</v>
      </c>
      <c r="AC62" s="204">
        <f t="shared" si="84"/>
        <v>0.34700304994419895</v>
      </c>
      <c r="AD62" s="204">
        <f t="shared" si="84"/>
        <v>0.41009451357041699</v>
      </c>
      <c r="AE62" s="204">
        <f t="shared" si="84"/>
        <v>0.47318597719663497</v>
      </c>
      <c r="AF62" s="204">
        <f t="shared" si="84"/>
        <v>0.536277440822853</v>
      </c>
      <c r="AG62" s="204">
        <f t="shared" si="84"/>
        <v>0.59936890444907098</v>
      </c>
      <c r="AH62" s="204">
        <f t="shared" si="84"/>
        <v>0.66246036807528896</v>
      </c>
      <c r="AI62" s="204">
        <f t="shared" si="84"/>
        <v>0.72555183170150694</v>
      </c>
      <c r="AJ62" s="204">
        <f t="shared" si="84"/>
        <v>0.78864329532772492</v>
      </c>
      <c r="AK62" s="204">
        <f t="shared" si="84"/>
        <v>0.85173475895394291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0.91482622258016089</v>
      </c>
      <c r="AM62" s="204">
        <f t="shared" si="85"/>
        <v>0.97791768620637887</v>
      </c>
      <c r="AN62" s="204">
        <f t="shared" si="85"/>
        <v>1.0410091498325968</v>
      </c>
      <c r="AO62" s="204">
        <f t="shared" si="85"/>
        <v>1.1041006134588149</v>
      </c>
      <c r="AP62" s="204">
        <f t="shared" si="85"/>
        <v>1.1671920770850328</v>
      </c>
      <c r="AQ62" s="204">
        <f t="shared" si="85"/>
        <v>1.2302835407112509</v>
      </c>
      <c r="AR62" s="204">
        <f t="shared" si="85"/>
        <v>1.293375004337469</v>
      </c>
      <c r="AS62" s="204">
        <f t="shared" si="85"/>
        <v>1.3564664679636869</v>
      </c>
      <c r="AT62" s="204">
        <f t="shared" si="85"/>
        <v>1.419557931589905</v>
      </c>
      <c r="AU62" s="204">
        <f t="shared" si="85"/>
        <v>1.4826493952161228</v>
      </c>
      <c r="AV62" s="204">
        <f t="shared" si="85"/>
        <v>1.5457408588423409</v>
      </c>
      <c r="AW62" s="204">
        <f t="shared" si="85"/>
        <v>1.6088323224685588</v>
      </c>
      <c r="AX62" s="204">
        <f t="shared" si="85"/>
        <v>1.6719237860947769</v>
      </c>
      <c r="AY62" s="204">
        <f t="shared" si="85"/>
        <v>1.7350152497209947</v>
      </c>
      <c r="AZ62" s="204">
        <f t="shared" si="85"/>
        <v>1.7981067133472128</v>
      </c>
      <c r="BA62" s="204">
        <f t="shared" si="85"/>
        <v>1.8611981769734309</v>
      </c>
      <c r="BB62" s="204">
        <f t="shared" si="85"/>
        <v>1.9242896405996488</v>
      </c>
      <c r="BC62" s="204">
        <f t="shared" si="85"/>
        <v>1.9873811042258669</v>
      </c>
      <c r="BD62" s="204">
        <f t="shared" si="85"/>
        <v>2.050472567852085</v>
      </c>
      <c r="BE62" s="204">
        <f t="shared" si="85"/>
        <v>2.1135640314783029</v>
      </c>
      <c r="BF62" s="204">
        <f t="shared" si="85"/>
        <v>33.325455833129425</v>
      </c>
      <c r="BG62" s="204">
        <f t="shared" si="85"/>
        <v>81.842236711461339</v>
      </c>
      <c r="BH62" s="204">
        <f t="shared" si="85"/>
        <v>130.35901758979327</v>
      </c>
      <c r="BI62" s="204">
        <f t="shared" si="85"/>
        <v>178.8757984681252</v>
      </c>
      <c r="BJ62" s="204">
        <f t="shared" si="85"/>
        <v>227.39257934645713</v>
      </c>
      <c r="BK62" s="204">
        <f t="shared" si="85"/>
        <v>275.90936022478905</v>
      </c>
      <c r="BL62" s="204">
        <f t="shared" si="85"/>
        <v>324.42614110312098</v>
      </c>
      <c r="BM62" s="204">
        <f t="shared" si="85"/>
        <v>372.94292198145291</v>
      </c>
      <c r="BN62" s="204">
        <f t="shared" si="85"/>
        <v>421.45970285978484</v>
      </c>
      <c r="BO62" s="204">
        <f t="shared" si="85"/>
        <v>469.97648373811677</v>
      </c>
      <c r="BP62" s="204">
        <f t="shared" si="85"/>
        <v>518.49326461644876</v>
      </c>
      <c r="BQ62" s="204">
        <f t="shared" si="85"/>
        <v>567.01004549478068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615.52682637311261</v>
      </c>
      <c r="BS62" s="204">
        <f t="shared" si="86"/>
        <v>664.04360725144454</v>
      </c>
      <c r="BT62" s="204">
        <f t="shared" si="86"/>
        <v>712.56038812977647</v>
      </c>
      <c r="BU62" s="204">
        <f t="shared" si="86"/>
        <v>761.0771690081084</v>
      </c>
      <c r="BV62" s="204">
        <f t="shared" si="86"/>
        <v>809.59394988644033</v>
      </c>
      <c r="BW62" s="204">
        <f t="shared" si="86"/>
        <v>858.11073076477226</v>
      </c>
      <c r="BX62" s="204">
        <f t="shared" si="86"/>
        <v>906.62751164310419</v>
      </c>
      <c r="BY62" s="204">
        <f t="shared" si="86"/>
        <v>955.14429252143611</v>
      </c>
      <c r="BZ62" s="204">
        <f t="shared" si="86"/>
        <v>1003.661073399768</v>
      </c>
      <c r="CA62" s="204">
        <f t="shared" si="86"/>
        <v>1052.1778542781001</v>
      </c>
      <c r="CB62" s="204">
        <f t="shared" si="86"/>
        <v>1100.694635156432</v>
      </c>
      <c r="CC62" s="204">
        <f t="shared" si="86"/>
        <v>1149.2114160347639</v>
      </c>
      <c r="CD62" s="204">
        <f t="shared" si="86"/>
        <v>1197.7281969130959</v>
      </c>
      <c r="CE62" s="204">
        <f t="shared" si="86"/>
        <v>1246.2449777914278</v>
      </c>
      <c r="CF62" s="204">
        <f t="shared" si="86"/>
        <v>1294.7617586697597</v>
      </c>
      <c r="CG62" s="204">
        <f t="shared" si="86"/>
        <v>1343.2785395480917</v>
      </c>
      <c r="CH62" s="204">
        <f t="shared" si="86"/>
        <v>1407.3825666909343</v>
      </c>
      <c r="CI62" s="204">
        <f t="shared" si="86"/>
        <v>1475.7376609968253</v>
      </c>
      <c r="CJ62" s="204">
        <f t="shared" si="86"/>
        <v>1544.0927553027163</v>
      </c>
      <c r="CK62" s="204">
        <f t="shared" si="86"/>
        <v>1612.4478496086074</v>
      </c>
      <c r="CL62" s="204">
        <f t="shared" si="86"/>
        <v>1680.8029439144984</v>
      </c>
      <c r="CM62" s="204">
        <f t="shared" si="86"/>
        <v>1749.1580382203897</v>
      </c>
      <c r="CN62" s="204">
        <f t="shared" si="86"/>
        <v>1817.5131325262807</v>
      </c>
      <c r="CO62" s="204">
        <f t="shared" si="86"/>
        <v>1885.8682268321718</v>
      </c>
      <c r="CP62" s="204">
        <f t="shared" si="86"/>
        <v>1954.2233211380631</v>
      </c>
      <c r="CQ62" s="204">
        <f t="shared" si="86"/>
        <v>2022.5784154439539</v>
      </c>
      <c r="CR62" s="204">
        <f t="shared" si="86"/>
        <v>2090.9335097498451</v>
      </c>
      <c r="CS62" s="204">
        <f t="shared" si="86"/>
        <v>2159.288604055736</v>
      </c>
      <c r="CT62" s="204">
        <f t="shared" si="86"/>
        <v>2227.6436983616272</v>
      </c>
      <c r="CU62" s="204">
        <f t="shared" si="86"/>
        <v>2295.9987926675185</v>
      </c>
      <c r="CV62" s="204">
        <f t="shared" si="86"/>
        <v>2364.3538869734093</v>
      </c>
      <c r="CW62" s="204">
        <f t="shared" si="86"/>
        <v>2432.7089812793006</v>
      </c>
      <c r="CX62" s="204">
        <f t="shared" si="86"/>
        <v>2457.1215149599761</v>
      </c>
      <c r="CY62" s="204">
        <f t="shared" si="86"/>
        <v>2457.1215149599761</v>
      </c>
      <c r="CZ62" s="204">
        <f t="shared" si="86"/>
        <v>2457.1215149599761</v>
      </c>
      <c r="DA62" s="204">
        <f t="shared" si="86"/>
        <v>2457.1215149599761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582.23892828410749</v>
      </c>
      <c r="G63" s="204">
        <f t="shared" si="87"/>
        <v>582.23892828410749</v>
      </c>
      <c r="H63" s="204">
        <f t="shared" si="87"/>
        <v>582.23892828410749</v>
      </c>
      <c r="I63" s="204">
        <f t="shared" si="87"/>
        <v>582.23892828410749</v>
      </c>
      <c r="J63" s="204">
        <f t="shared" si="87"/>
        <v>582.23892828410749</v>
      </c>
      <c r="K63" s="204">
        <f t="shared" si="87"/>
        <v>582.23892828410749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582.23892828410749</v>
      </c>
      <c r="M63" s="204">
        <f t="shared" si="87"/>
        <v>582.23892828410749</v>
      </c>
      <c r="N63" s="204">
        <f t="shared" si="87"/>
        <v>582.23892828410749</v>
      </c>
      <c r="O63" s="204">
        <f t="shared" si="87"/>
        <v>582.23892828410749</v>
      </c>
      <c r="P63" s="204">
        <f t="shared" si="87"/>
        <v>582.23892828410749</v>
      </c>
      <c r="Q63" s="204">
        <f t="shared" si="87"/>
        <v>582.23892828410749</v>
      </c>
      <c r="R63" s="204">
        <f t="shared" si="87"/>
        <v>582.23892828410749</v>
      </c>
      <c r="S63" s="204">
        <f t="shared" si="87"/>
        <v>582.23892828410749</v>
      </c>
      <c r="T63" s="204">
        <f t="shared" si="87"/>
        <v>582.23892828410749</v>
      </c>
      <c r="U63" s="204">
        <f t="shared" si="87"/>
        <v>582.23892828410749</v>
      </c>
      <c r="V63" s="204">
        <f t="shared" si="87"/>
        <v>582.23892828410749</v>
      </c>
      <c r="W63" s="204">
        <f t="shared" si="87"/>
        <v>582.23892828410749</v>
      </c>
      <c r="X63" s="204">
        <f t="shared" si="87"/>
        <v>641.31078969736791</v>
      </c>
      <c r="Y63" s="204">
        <f t="shared" si="87"/>
        <v>759.45451252388887</v>
      </c>
      <c r="Z63" s="204">
        <f t="shared" si="87"/>
        <v>877.59823535040982</v>
      </c>
      <c r="AA63" s="204">
        <f t="shared" si="87"/>
        <v>995.74195817693078</v>
      </c>
      <c r="AB63" s="204">
        <f t="shared" si="87"/>
        <v>1113.8856810034517</v>
      </c>
      <c r="AC63" s="204">
        <f t="shared" si="87"/>
        <v>1232.0294038299726</v>
      </c>
      <c r="AD63" s="204">
        <f t="shared" si="87"/>
        <v>1350.1731266564937</v>
      </c>
      <c r="AE63" s="204">
        <f t="shared" si="87"/>
        <v>1468.3168494830147</v>
      </c>
      <c r="AF63" s="204">
        <f t="shared" si="87"/>
        <v>1586.4605723095356</v>
      </c>
      <c r="AG63" s="204">
        <f t="shared" si="87"/>
        <v>1704.6042951360564</v>
      </c>
      <c r="AH63" s="204">
        <f t="shared" si="87"/>
        <v>1822.7480179625775</v>
      </c>
      <c r="AI63" s="204">
        <f t="shared" si="87"/>
        <v>1940.8917407890983</v>
      </c>
      <c r="AJ63" s="204">
        <f t="shared" si="87"/>
        <v>2059.0354636156189</v>
      </c>
      <c r="AK63" s="204">
        <f t="shared" si="87"/>
        <v>2177.1791864421402</v>
      </c>
      <c r="AL63" s="204">
        <f t="shared" si="87"/>
        <v>2295.3229092686611</v>
      </c>
      <c r="AM63" s="204">
        <f t="shared" si="87"/>
        <v>2413.4666320951819</v>
      </c>
      <c r="AN63" s="204">
        <f t="shared" si="87"/>
        <v>2531.6103549217032</v>
      </c>
      <c r="AO63" s="204">
        <f t="shared" si="87"/>
        <v>2649.7540777482236</v>
      </c>
      <c r="AP63" s="204">
        <f t="shared" si="87"/>
        <v>2767.8978005747449</v>
      </c>
      <c r="AQ63" s="204">
        <f t="shared" si="87"/>
        <v>2886.0415234012662</v>
      </c>
      <c r="AR63" s="204">
        <f t="shared" si="87"/>
        <v>3004.1852462277866</v>
      </c>
      <c r="AS63" s="204">
        <f t="shared" si="87"/>
        <v>3122.3289690543079</v>
      </c>
      <c r="AT63" s="204">
        <f t="shared" si="87"/>
        <v>3240.4726918808283</v>
      </c>
      <c r="AU63" s="204">
        <f t="shared" si="87"/>
        <v>3358.6164147073496</v>
      </c>
      <c r="AV63" s="204">
        <f t="shared" si="87"/>
        <v>3476.7601375338709</v>
      </c>
      <c r="AW63" s="204">
        <f t="shared" si="87"/>
        <v>3594.9038603603913</v>
      </c>
      <c r="AX63" s="204">
        <f t="shared" si="87"/>
        <v>3713.0475831869126</v>
      </c>
      <c r="AY63" s="204">
        <f t="shared" si="87"/>
        <v>3831.1913060134339</v>
      </c>
      <c r="AZ63" s="204">
        <f t="shared" si="87"/>
        <v>3949.3350288399542</v>
      </c>
      <c r="BA63" s="204">
        <f t="shared" si="87"/>
        <v>4067.4787516664755</v>
      </c>
      <c r="BB63" s="204">
        <f t="shared" si="87"/>
        <v>4185.6224744929959</v>
      </c>
      <c r="BC63" s="204">
        <f t="shared" si="87"/>
        <v>4303.7661973195172</v>
      </c>
      <c r="BD63" s="204">
        <f t="shared" si="87"/>
        <v>4421.9099201460385</v>
      </c>
      <c r="BE63" s="204">
        <f t="shared" si="87"/>
        <v>4540.0536429725589</v>
      </c>
      <c r="BF63" s="204">
        <f t="shared" si="87"/>
        <v>4910.7857222053744</v>
      </c>
      <c r="BG63" s="204">
        <f t="shared" si="87"/>
        <v>5421.8446661083553</v>
      </c>
      <c r="BH63" s="204">
        <f t="shared" si="87"/>
        <v>5932.9036100113362</v>
      </c>
      <c r="BI63" s="204">
        <f t="shared" si="87"/>
        <v>6443.9625539143181</v>
      </c>
      <c r="BJ63" s="204">
        <f t="shared" si="87"/>
        <v>6955.021497817299</v>
      </c>
      <c r="BK63" s="204">
        <f t="shared" si="87"/>
        <v>7466.0804417202799</v>
      </c>
      <c r="BL63" s="204">
        <f t="shared" si="87"/>
        <v>7977.1393856232608</v>
      </c>
      <c r="BM63" s="204">
        <f t="shared" si="87"/>
        <v>8488.1983295262417</v>
      </c>
      <c r="BN63" s="204">
        <f t="shared" si="87"/>
        <v>8999.2572734292226</v>
      </c>
      <c r="BO63" s="204">
        <f t="shared" si="87"/>
        <v>9510.3162173322053</v>
      </c>
      <c r="BP63" s="204">
        <f t="shared" si="87"/>
        <v>10021.375161235184</v>
      </c>
      <c r="BQ63" s="204">
        <f t="shared" si="87"/>
        <v>10532.434105138167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11043.493049041146</v>
      </c>
      <c r="BS63" s="204">
        <f t="shared" si="89"/>
        <v>11554.551992944129</v>
      </c>
      <c r="BT63" s="204">
        <f t="shared" si="89"/>
        <v>12065.61093684711</v>
      </c>
      <c r="BU63" s="204">
        <f t="shared" si="89"/>
        <v>12576.669880750091</v>
      </c>
      <c r="BV63" s="204">
        <f t="shared" si="89"/>
        <v>13087.72882465307</v>
      </c>
      <c r="BW63" s="204">
        <f t="shared" si="89"/>
        <v>13598.787768556052</v>
      </c>
      <c r="BX63" s="204">
        <f t="shared" si="89"/>
        <v>14109.846712459035</v>
      </c>
      <c r="BY63" s="204">
        <f t="shared" si="89"/>
        <v>14620.905656362014</v>
      </c>
      <c r="BZ63" s="204">
        <f t="shared" si="89"/>
        <v>15131.964600264997</v>
      </c>
      <c r="CA63" s="204">
        <f t="shared" si="89"/>
        <v>15643.023544167976</v>
      </c>
      <c r="CB63" s="204">
        <f t="shared" si="89"/>
        <v>16154.082488070959</v>
      </c>
      <c r="CC63" s="204">
        <f t="shared" si="89"/>
        <v>16665.141431973938</v>
      </c>
      <c r="CD63" s="204">
        <f t="shared" si="89"/>
        <v>17176.200375876921</v>
      </c>
      <c r="CE63" s="204">
        <f t="shared" si="89"/>
        <v>17687.2593197799</v>
      </c>
      <c r="CF63" s="204">
        <f t="shared" si="89"/>
        <v>18198.318263682882</v>
      </c>
      <c r="CG63" s="204">
        <f t="shared" si="89"/>
        <v>18709.377207585865</v>
      </c>
      <c r="CH63" s="204">
        <f t="shared" si="89"/>
        <v>19767.577100262333</v>
      </c>
      <c r="CI63" s="204">
        <f t="shared" si="89"/>
        <v>20974.997251695222</v>
      </c>
      <c r="CJ63" s="204">
        <f t="shared" si="89"/>
        <v>22182.417403128107</v>
      </c>
      <c r="CK63" s="204">
        <f t="shared" si="89"/>
        <v>23389.837554560996</v>
      </c>
      <c r="CL63" s="204">
        <f t="shared" si="89"/>
        <v>24597.257705993881</v>
      </c>
      <c r="CM63" s="204">
        <f t="shared" si="89"/>
        <v>25804.677857426766</v>
      </c>
      <c r="CN63" s="204">
        <f t="shared" si="89"/>
        <v>27012.098008859655</v>
      </c>
      <c r="CO63" s="204">
        <f t="shared" si="89"/>
        <v>28219.518160292544</v>
      </c>
      <c r="CP63" s="204">
        <f t="shared" si="89"/>
        <v>29426.938311725429</v>
      </c>
      <c r="CQ63" s="204">
        <f t="shared" si="89"/>
        <v>30634.358463158314</v>
      </c>
      <c r="CR63" s="204">
        <f t="shared" si="89"/>
        <v>31841.778614591203</v>
      </c>
      <c r="CS63" s="204">
        <f t="shared" si="89"/>
        <v>33049.198766024085</v>
      </c>
      <c r="CT63" s="204">
        <f t="shared" si="89"/>
        <v>34256.618917456974</v>
      </c>
      <c r="CU63" s="204">
        <f t="shared" si="89"/>
        <v>35464.039068889862</v>
      </c>
      <c r="CV63" s="204">
        <f t="shared" si="89"/>
        <v>36671.459220322751</v>
      </c>
      <c r="CW63" s="204">
        <f t="shared" si="89"/>
        <v>37878.87937175564</v>
      </c>
      <c r="CX63" s="204">
        <f t="shared" si="89"/>
        <v>38310.100854410244</v>
      </c>
      <c r="CY63" s="204">
        <f t="shared" si="89"/>
        <v>38310.100854410244</v>
      </c>
      <c r="CZ63" s="204">
        <f t="shared" si="89"/>
        <v>38310.100854410244</v>
      </c>
      <c r="DA63" s="204">
        <f t="shared" si="89"/>
        <v>38310.100854410244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333.71108722934315</v>
      </c>
      <c r="G64" s="204">
        <f t="shared" si="90"/>
        <v>333.71108722934315</v>
      </c>
      <c r="H64" s="204">
        <f t="shared" si="90"/>
        <v>333.71108722934315</v>
      </c>
      <c r="I64" s="204">
        <f t="shared" si="90"/>
        <v>333.71108722934315</v>
      </c>
      <c r="J64" s="204">
        <f t="shared" si="90"/>
        <v>333.71108722934315</v>
      </c>
      <c r="K64" s="204">
        <f t="shared" si="90"/>
        <v>333.71108722934315</v>
      </c>
      <c r="L64" s="204">
        <f t="shared" si="88"/>
        <v>333.71108722934315</v>
      </c>
      <c r="M64" s="204">
        <f t="shared" si="90"/>
        <v>333.71108722934315</v>
      </c>
      <c r="N64" s="204">
        <f t="shared" si="90"/>
        <v>333.71108722934315</v>
      </c>
      <c r="O64" s="204">
        <f t="shared" si="90"/>
        <v>333.71108722934315</v>
      </c>
      <c r="P64" s="204">
        <f t="shared" si="90"/>
        <v>333.71108722934315</v>
      </c>
      <c r="Q64" s="204">
        <f t="shared" si="90"/>
        <v>333.71108722934315</v>
      </c>
      <c r="R64" s="204">
        <f t="shared" si="90"/>
        <v>333.71108722934315</v>
      </c>
      <c r="S64" s="204">
        <f t="shared" si="90"/>
        <v>333.71108722934315</v>
      </c>
      <c r="T64" s="204">
        <f t="shared" si="90"/>
        <v>333.71108722934315</v>
      </c>
      <c r="U64" s="204">
        <f t="shared" si="90"/>
        <v>333.71108722934315</v>
      </c>
      <c r="V64" s="204">
        <f t="shared" si="90"/>
        <v>333.71108722934315</v>
      </c>
      <c r="W64" s="204">
        <f t="shared" si="90"/>
        <v>333.71108722934315</v>
      </c>
      <c r="X64" s="204">
        <f t="shared" si="90"/>
        <v>332.64731430333927</v>
      </c>
      <c r="Y64" s="204">
        <f t="shared" si="90"/>
        <v>330.51976845133152</v>
      </c>
      <c r="Z64" s="204">
        <f t="shared" si="90"/>
        <v>328.39222259932376</v>
      </c>
      <c r="AA64" s="204">
        <f t="shared" si="90"/>
        <v>326.264676747316</v>
      </c>
      <c r="AB64" s="204">
        <f t="shared" si="90"/>
        <v>324.13713089530825</v>
      </c>
      <c r="AC64" s="204">
        <f t="shared" si="90"/>
        <v>322.00958504330049</v>
      </c>
      <c r="AD64" s="204">
        <f t="shared" si="90"/>
        <v>319.88203919129273</v>
      </c>
      <c r="AE64" s="204">
        <f t="shared" si="90"/>
        <v>317.75449333928503</v>
      </c>
      <c r="AF64" s="204">
        <f t="shared" si="90"/>
        <v>315.62694748727728</v>
      </c>
      <c r="AG64" s="204">
        <f t="shared" si="90"/>
        <v>313.49940163526952</v>
      </c>
      <c r="AH64" s="204">
        <f t="shared" si="90"/>
        <v>311.37185578326176</v>
      </c>
      <c r="AI64" s="204">
        <f t="shared" si="90"/>
        <v>309.24430993125401</v>
      </c>
      <c r="AJ64" s="204">
        <f t="shared" si="90"/>
        <v>307.11676407924625</v>
      </c>
      <c r="AK64" s="204">
        <f t="shared" si="90"/>
        <v>304.9892182272385</v>
      </c>
      <c r="AL64" s="204">
        <f t="shared" si="90"/>
        <v>302.86167237523074</v>
      </c>
      <c r="AM64" s="204">
        <f t="shared" si="90"/>
        <v>300.73412652322298</v>
      </c>
      <c r="AN64" s="204">
        <f t="shared" si="90"/>
        <v>298.60658067121523</v>
      </c>
      <c r="AO64" s="204">
        <f t="shared" si="90"/>
        <v>296.47903481920747</v>
      </c>
      <c r="AP64" s="204">
        <f t="shared" si="90"/>
        <v>294.35148896719977</v>
      </c>
      <c r="AQ64" s="204">
        <f t="shared" si="90"/>
        <v>292.22394311519201</v>
      </c>
      <c r="AR64" s="204">
        <f t="shared" si="90"/>
        <v>290.09639726318426</v>
      </c>
      <c r="AS64" s="204">
        <f t="shared" si="90"/>
        <v>287.9688514111765</v>
      </c>
      <c r="AT64" s="204">
        <f t="shared" si="90"/>
        <v>285.84130555916875</v>
      </c>
      <c r="AU64" s="204">
        <f t="shared" si="90"/>
        <v>283.71375970716099</v>
      </c>
      <c r="AV64" s="204">
        <f t="shared" si="90"/>
        <v>281.58621385515323</v>
      </c>
      <c r="AW64" s="204">
        <f t="shared" si="90"/>
        <v>279.45866800314548</v>
      </c>
      <c r="AX64" s="204">
        <f t="shared" si="90"/>
        <v>277.33112215113772</v>
      </c>
      <c r="AY64" s="204">
        <f t="shared" si="90"/>
        <v>275.20357629912996</v>
      </c>
      <c r="AZ64" s="204">
        <f t="shared" si="90"/>
        <v>273.07603044712221</v>
      </c>
      <c r="BA64" s="204">
        <f t="shared" si="90"/>
        <v>270.94848459511445</v>
      </c>
      <c r="BB64" s="204">
        <f t="shared" si="90"/>
        <v>268.82093874310669</v>
      </c>
      <c r="BC64" s="204">
        <f t="shared" si="90"/>
        <v>266.69339289109894</v>
      </c>
      <c r="BD64" s="204">
        <f t="shared" si="90"/>
        <v>264.56584703909118</v>
      </c>
      <c r="BE64" s="204">
        <f t="shared" si="90"/>
        <v>262.43830118708343</v>
      </c>
      <c r="BF64" s="204">
        <f t="shared" si="90"/>
        <v>256.54882940960994</v>
      </c>
      <c r="BG64" s="204">
        <f t="shared" si="90"/>
        <v>248.56939878465536</v>
      </c>
      <c r="BH64" s="204">
        <f t="shared" si="90"/>
        <v>240.58996815970079</v>
      </c>
      <c r="BI64" s="204">
        <f t="shared" si="90"/>
        <v>232.61053753474621</v>
      </c>
      <c r="BJ64" s="204">
        <f t="shared" si="90"/>
        <v>224.63110690979164</v>
      </c>
      <c r="BK64" s="204">
        <f t="shared" si="90"/>
        <v>216.65167628483707</v>
      </c>
      <c r="BL64" s="204">
        <f t="shared" si="90"/>
        <v>208.67224565988249</v>
      </c>
      <c r="BM64" s="204">
        <f t="shared" si="90"/>
        <v>200.69281503492792</v>
      </c>
      <c r="BN64" s="204">
        <f t="shared" si="90"/>
        <v>192.71338440997334</v>
      </c>
      <c r="BO64" s="204">
        <f t="shared" si="90"/>
        <v>184.73395378501877</v>
      </c>
      <c r="BP64" s="204">
        <f t="shared" si="90"/>
        <v>176.7545231600642</v>
      </c>
      <c r="BQ64" s="204">
        <f t="shared" si="90"/>
        <v>168.77509253510962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160.79566191015505</v>
      </c>
      <c r="BS64" s="204">
        <f t="shared" si="91"/>
        <v>152.81623128520047</v>
      </c>
      <c r="BT64" s="204">
        <f t="shared" si="91"/>
        <v>144.8368006602459</v>
      </c>
      <c r="BU64" s="204">
        <f t="shared" si="91"/>
        <v>136.85737003529132</v>
      </c>
      <c r="BV64" s="204">
        <f t="shared" si="91"/>
        <v>128.87793941033675</v>
      </c>
      <c r="BW64" s="204">
        <f t="shared" si="91"/>
        <v>120.89850878538218</v>
      </c>
      <c r="BX64" s="204">
        <f t="shared" si="91"/>
        <v>112.9190781604276</v>
      </c>
      <c r="BY64" s="204">
        <f t="shared" si="91"/>
        <v>104.93964753547303</v>
      </c>
      <c r="BZ64" s="204">
        <f t="shared" si="91"/>
        <v>96.960216910518454</v>
      </c>
      <c r="CA64" s="204">
        <f t="shared" si="91"/>
        <v>88.98078628556388</v>
      </c>
      <c r="CB64" s="204">
        <f t="shared" si="91"/>
        <v>81.001355660609306</v>
      </c>
      <c r="CC64" s="204">
        <f t="shared" si="91"/>
        <v>73.021925035654732</v>
      </c>
      <c r="CD64" s="204">
        <f t="shared" si="91"/>
        <v>65.042494410700158</v>
      </c>
      <c r="CE64" s="204">
        <f t="shared" si="91"/>
        <v>57.063063785745584</v>
      </c>
      <c r="CF64" s="204">
        <f t="shared" si="91"/>
        <v>49.08363316079101</v>
      </c>
      <c r="CG64" s="204">
        <f t="shared" si="91"/>
        <v>41.104202535836436</v>
      </c>
      <c r="CH64" s="204">
        <f t="shared" si="91"/>
        <v>38.987394549006027</v>
      </c>
      <c r="CI64" s="204">
        <f t="shared" si="91"/>
        <v>38.469483645300457</v>
      </c>
      <c r="CJ64" s="204">
        <f t="shared" si="91"/>
        <v>37.951572741594894</v>
      </c>
      <c r="CK64" s="204">
        <f t="shared" si="91"/>
        <v>37.433661837889332</v>
      </c>
      <c r="CL64" s="204">
        <f t="shared" si="91"/>
        <v>36.91575093418377</v>
      </c>
      <c r="CM64" s="204">
        <f t="shared" si="91"/>
        <v>36.397840030478207</v>
      </c>
      <c r="CN64" s="204">
        <f t="shared" si="91"/>
        <v>35.879929126772645</v>
      </c>
      <c r="CO64" s="204">
        <f t="shared" si="91"/>
        <v>35.362018223067082</v>
      </c>
      <c r="CP64" s="204">
        <f t="shared" si="91"/>
        <v>34.84410731936152</v>
      </c>
      <c r="CQ64" s="204">
        <f t="shared" si="91"/>
        <v>34.326196415655957</v>
      </c>
      <c r="CR64" s="204">
        <f t="shared" si="91"/>
        <v>33.808285511950388</v>
      </c>
      <c r="CS64" s="204">
        <f t="shared" si="91"/>
        <v>33.290374608244825</v>
      </c>
      <c r="CT64" s="204">
        <f t="shared" si="91"/>
        <v>32.772463704539263</v>
      </c>
      <c r="CU64" s="204">
        <f t="shared" si="91"/>
        <v>32.2545528008337</v>
      </c>
      <c r="CV64" s="204">
        <f t="shared" si="91"/>
        <v>31.736641897128138</v>
      </c>
      <c r="CW64" s="204">
        <f t="shared" si="91"/>
        <v>31.218730993422575</v>
      </c>
      <c r="CX64" s="204">
        <f t="shared" si="91"/>
        <v>64.584477099241951</v>
      </c>
      <c r="CY64" s="204">
        <f t="shared" si="91"/>
        <v>116.77447709924218</v>
      </c>
      <c r="CZ64" s="204">
        <f t="shared" si="91"/>
        <v>168.96447709924237</v>
      </c>
      <c r="DA64" s="204">
        <f t="shared" si="91"/>
        <v>221.1544770992426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8702.9667565955206</v>
      </c>
      <c r="G65" s="204">
        <f t="shared" si="92"/>
        <v>8702.9667565955206</v>
      </c>
      <c r="H65" s="204">
        <f t="shared" si="92"/>
        <v>8702.9667565955206</v>
      </c>
      <c r="I65" s="204">
        <f t="shared" si="92"/>
        <v>8702.9667565955206</v>
      </c>
      <c r="J65" s="204">
        <f t="shared" si="92"/>
        <v>8702.9667565955206</v>
      </c>
      <c r="K65" s="204">
        <f t="shared" si="92"/>
        <v>8702.9667565955206</v>
      </c>
      <c r="L65" s="204">
        <f t="shared" si="88"/>
        <v>8702.9667565955206</v>
      </c>
      <c r="M65" s="204">
        <f t="shared" si="92"/>
        <v>8702.9667565955206</v>
      </c>
      <c r="N65" s="204">
        <f t="shared" si="92"/>
        <v>8702.9667565955206</v>
      </c>
      <c r="O65" s="204">
        <f t="shared" si="92"/>
        <v>8702.9667565955206</v>
      </c>
      <c r="P65" s="204">
        <f t="shared" si="92"/>
        <v>8702.9667565955206</v>
      </c>
      <c r="Q65" s="204">
        <f t="shared" si="92"/>
        <v>8702.9667565955206</v>
      </c>
      <c r="R65" s="204">
        <f t="shared" si="92"/>
        <v>8702.9667565955206</v>
      </c>
      <c r="S65" s="204">
        <f t="shared" si="92"/>
        <v>8702.9667565955206</v>
      </c>
      <c r="T65" s="204">
        <f t="shared" si="92"/>
        <v>8702.9667565955206</v>
      </c>
      <c r="U65" s="204">
        <f t="shared" si="92"/>
        <v>8702.9667565955206</v>
      </c>
      <c r="V65" s="204">
        <f t="shared" si="92"/>
        <v>8702.9667565955206</v>
      </c>
      <c r="W65" s="204">
        <f t="shared" si="92"/>
        <v>8702.9667565955206</v>
      </c>
      <c r="X65" s="204">
        <f t="shared" si="92"/>
        <v>8722.3383004029856</v>
      </c>
      <c r="Y65" s="204">
        <f t="shared" si="92"/>
        <v>8761.0813880179139</v>
      </c>
      <c r="Z65" s="204">
        <f t="shared" si="92"/>
        <v>8799.824475632844</v>
      </c>
      <c r="AA65" s="204">
        <f t="shared" si="92"/>
        <v>8838.5675632477723</v>
      </c>
      <c r="AB65" s="204">
        <f t="shared" si="92"/>
        <v>8877.3106508627025</v>
      </c>
      <c r="AC65" s="204">
        <f t="shared" si="92"/>
        <v>8916.0537384776308</v>
      </c>
      <c r="AD65" s="204">
        <f t="shared" si="92"/>
        <v>8954.7968260925609</v>
      </c>
      <c r="AE65" s="204">
        <f t="shared" si="92"/>
        <v>8993.5399137074892</v>
      </c>
      <c r="AF65" s="204">
        <f t="shared" si="92"/>
        <v>9032.2830013224193</v>
      </c>
      <c r="AG65" s="204">
        <f t="shared" si="92"/>
        <v>9071.0260889373494</v>
      </c>
      <c r="AH65" s="204">
        <f t="shared" si="92"/>
        <v>9109.7691765522777</v>
      </c>
      <c r="AI65" s="204">
        <f t="shared" si="92"/>
        <v>9148.5122641672078</v>
      </c>
      <c r="AJ65" s="204">
        <f t="shared" si="92"/>
        <v>9187.2553517821361</v>
      </c>
      <c r="AK65" s="204">
        <f t="shared" si="92"/>
        <v>9225.9984393970662</v>
      </c>
      <c r="AL65" s="204">
        <f t="shared" si="92"/>
        <v>9264.7415270119945</v>
      </c>
      <c r="AM65" s="204">
        <f t="shared" si="92"/>
        <v>9303.4846146269247</v>
      </c>
      <c r="AN65" s="204">
        <f t="shared" si="92"/>
        <v>9342.227702241853</v>
      </c>
      <c r="AO65" s="204">
        <f t="shared" si="92"/>
        <v>9380.9707898567831</v>
      </c>
      <c r="AP65" s="204">
        <f t="shared" si="92"/>
        <v>9419.7138774717114</v>
      </c>
      <c r="AQ65" s="204">
        <f t="shared" si="92"/>
        <v>9458.4569650866415</v>
      </c>
      <c r="AR65" s="204">
        <f t="shared" si="92"/>
        <v>9497.2000527015698</v>
      </c>
      <c r="AS65" s="204">
        <f t="shared" si="92"/>
        <v>9535.9431403164999</v>
      </c>
      <c r="AT65" s="204">
        <f t="shared" si="92"/>
        <v>9574.68622793143</v>
      </c>
      <c r="AU65" s="204">
        <f t="shared" si="92"/>
        <v>9613.4293155463583</v>
      </c>
      <c r="AV65" s="204">
        <f t="shared" si="92"/>
        <v>9652.1724031612885</v>
      </c>
      <c r="AW65" s="204">
        <f t="shared" si="92"/>
        <v>9690.9154907762168</v>
      </c>
      <c r="AX65" s="204">
        <f t="shared" si="92"/>
        <v>9729.6585783911469</v>
      </c>
      <c r="AY65" s="204">
        <f t="shared" si="92"/>
        <v>9768.4016660060752</v>
      </c>
      <c r="AZ65" s="204">
        <f t="shared" si="92"/>
        <v>9807.1447536210053</v>
      </c>
      <c r="BA65" s="204">
        <f t="shared" si="92"/>
        <v>9845.8878412359336</v>
      </c>
      <c r="BB65" s="204">
        <f t="shared" si="92"/>
        <v>9884.6309288508637</v>
      </c>
      <c r="BC65" s="204">
        <f t="shared" si="92"/>
        <v>9923.374016465792</v>
      </c>
      <c r="BD65" s="204">
        <f t="shared" si="92"/>
        <v>9962.1171040807221</v>
      </c>
      <c r="BE65" s="204">
        <f t="shared" si="92"/>
        <v>10000.86019169565</v>
      </c>
      <c r="BF65" s="204">
        <f t="shared" si="92"/>
        <v>9979.4117007218374</v>
      </c>
      <c r="BG65" s="204">
        <f t="shared" si="92"/>
        <v>9924.5234438653879</v>
      </c>
      <c r="BH65" s="204">
        <f t="shared" si="92"/>
        <v>9869.6351870089384</v>
      </c>
      <c r="BI65" s="204">
        <f t="shared" si="92"/>
        <v>9814.7469301524889</v>
      </c>
      <c r="BJ65" s="204">
        <f t="shared" si="92"/>
        <v>9759.8586732960393</v>
      </c>
      <c r="BK65" s="204">
        <f t="shared" si="92"/>
        <v>9704.9704164395898</v>
      </c>
      <c r="BL65" s="204">
        <f t="shared" si="92"/>
        <v>9650.0821595831403</v>
      </c>
      <c r="BM65" s="204">
        <f t="shared" si="92"/>
        <v>9595.1939027266926</v>
      </c>
      <c r="BN65" s="204">
        <f t="shared" si="92"/>
        <v>9540.3056458702431</v>
      </c>
      <c r="BO65" s="204">
        <f t="shared" si="92"/>
        <v>9485.4173890137936</v>
      </c>
      <c r="BP65" s="204">
        <f t="shared" si="92"/>
        <v>9430.5291321573441</v>
      </c>
      <c r="BQ65" s="204">
        <f t="shared" si="92"/>
        <v>9375.6408753008945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9320.752618444445</v>
      </c>
      <c r="BS65" s="204">
        <f t="shared" si="93"/>
        <v>9265.8643615879955</v>
      </c>
      <c r="BT65" s="204">
        <f t="shared" si="93"/>
        <v>9210.976104731546</v>
      </c>
      <c r="BU65" s="204">
        <f t="shared" si="93"/>
        <v>9156.0878478750965</v>
      </c>
      <c r="BV65" s="204">
        <f t="shared" si="93"/>
        <v>9101.199591018647</v>
      </c>
      <c r="BW65" s="204">
        <f t="shared" si="93"/>
        <v>9046.3113341621975</v>
      </c>
      <c r="BX65" s="204">
        <f t="shared" si="93"/>
        <v>8991.4230773057498</v>
      </c>
      <c r="BY65" s="204">
        <f t="shared" si="93"/>
        <v>8936.5348204493002</v>
      </c>
      <c r="BZ65" s="204">
        <f t="shared" si="93"/>
        <v>8881.6465635928507</v>
      </c>
      <c r="CA65" s="204">
        <f t="shared" si="93"/>
        <v>8826.7583067364012</v>
      </c>
      <c r="CB65" s="204">
        <f t="shared" si="93"/>
        <v>8771.8700498799517</v>
      </c>
      <c r="CC65" s="204">
        <f t="shared" si="93"/>
        <v>8716.9817930235022</v>
      </c>
      <c r="CD65" s="204">
        <f t="shared" si="93"/>
        <v>8662.0935361670527</v>
      </c>
      <c r="CE65" s="204">
        <f t="shared" si="93"/>
        <v>8607.2052793106031</v>
      </c>
      <c r="CF65" s="204">
        <f t="shared" si="93"/>
        <v>8552.3170224541536</v>
      </c>
      <c r="CG65" s="204">
        <f t="shared" si="93"/>
        <v>8497.4287655977041</v>
      </c>
      <c r="CH65" s="204">
        <f t="shared" si="93"/>
        <v>8072.647806187324</v>
      </c>
      <c r="CI65" s="204">
        <f t="shared" si="93"/>
        <v>7546.9870188076839</v>
      </c>
      <c r="CJ65" s="204">
        <f t="shared" si="93"/>
        <v>7021.3262314280446</v>
      </c>
      <c r="CK65" s="204">
        <f t="shared" si="93"/>
        <v>6495.6654440484053</v>
      </c>
      <c r="CL65" s="204">
        <f t="shared" si="93"/>
        <v>5970.0046566687652</v>
      </c>
      <c r="CM65" s="204">
        <f t="shared" si="93"/>
        <v>5444.3438692891259</v>
      </c>
      <c r="CN65" s="204">
        <f t="shared" si="93"/>
        <v>4918.6830819094866</v>
      </c>
      <c r="CO65" s="204">
        <f t="shared" si="93"/>
        <v>4393.0222945298465</v>
      </c>
      <c r="CP65" s="204">
        <f t="shared" si="93"/>
        <v>3867.3615071502072</v>
      </c>
      <c r="CQ65" s="204">
        <f t="shared" si="93"/>
        <v>3341.700719770568</v>
      </c>
      <c r="CR65" s="204">
        <f t="shared" si="93"/>
        <v>2816.0399323909278</v>
      </c>
      <c r="CS65" s="204">
        <f t="shared" si="93"/>
        <v>2290.3791450112885</v>
      </c>
      <c r="CT65" s="204">
        <f t="shared" si="93"/>
        <v>1764.7183576316484</v>
      </c>
      <c r="CU65" s="204">
        <f t="shared" si="93"/>
        <v>1239.0575702520091</v>
      </c>
      <c r="CV65" s="204">
        <f t="shared" si="93"/>
        <v>713.39678287236984</v>
      </c>
      <c r="CW65" s="204">
        <f t="shared" si="93"/>
        <v>187.73599549273058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1227.01150053486</v>
      </c>
      <c r="BG66" s="204">
        <f t="shared" si="94"/>
        <v>3135.696056922432</v>
      </c>
      <c r="BH66" s="204">
        <f t="shared" si="94"/>
        <v>5044.3806133100043</v>
      </c>
      <c r="BI66" s="204">
        <f t="shared" si="94"/>
        <v>6953.0651696975756</v>
      </c>
      <c r="BJ66" s="204">
        <f t="shared" si="94"/>
        <v>8861.7497260851487</v>
      </c>
      <c r="BK66" s="204">
        <f t="shared" si="94"/>
        <v>10770.434282472719</v>
      </c>
      <c r="BL66" s="204">
        <f t="shared" si="94"/>
        <v>12679.118838860291</v>
      </c>
      <c r="BM66" s="204">
        <f t="shared" si="94"/>
        <v>14587.803395247864</v>
      </c>
      <c r="BN66" s="204">
        <f t="shared" si="94"/>
        <v>16496.487951635438</v>
      </c>
      <c r="BO66" s="204">
        <f t="shared" si="94"/>
        <v>18405.172508023006</v>
      </c>
      <c r="BP66" s="204">
        <f t="shared" si="94"/>
        <v>20313.857064410578</v>
      </c>
      <c r="BQ66" s="204">
        <f t="shared" si="94"/>
        <v>22222.541620798151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24131.226177185723</v>
      </c>
      <c r="BS66" s="204">
        <f t="shared" si="95"/>
        <v>26039.910733573295</v>
      </c>
      <c r="BT66" s="204">
        <f t="shared" si="95"/>
        <v>27948.595289960867</v>
      </c>
      <c r="BU66" s="204">
        <f t="shared" si="95"/>
        <v>29857.27984634844</v>
      </c>
      <c r="BV66" s="204">
        <f t="shared" si="95"/>
        <v>31765.964402736012</v>
      </c>
      <c r="BW66" s="204">
        <f t="shared" si="95"/>
        <v>33674.64895912358</v>
      </c>
      <c r="BX66" s="204">
        <f t="shared" si="95"/>
        <v>35583.333515511156</v>
      </c>
      <c r="BY66" s="204">
        <f t="shared" si="95"/>
        <v>37492.018071898725</v>
      </c>
      <c r="BZ66" s="204">
        <f t="shared" si="95"/>
        <v>39400.702628286301</v>
      </c>
      <c r="CA66" s="204">
        <f t="shared" si="95"/>
        <v>41309.387184673869</v>
      </c>
      <c r="CB66" s="204">
        <f t="shared" si="95"/>
        <v>43218.071741061445</v>
      </c>
      <c r="CC66" s="204">
        <f t="shared" si="95"/>
        <v>45126.756297449014</v>
      </c>
      <c r="CD66" s="204">
        <f t="shared" si="95"/>
        <v>47035.44085383659</v>
      </c>
      <c r="CE66" s="204">
        <f t="shared" si="95"/>
        <v>48944.125410224158</v>
      </c>
      <c r="CF66" s="204">
        <f t="shared" si="95"/>
        <v>50852.809966611734</v>
      </c>
      <c r="CG66" s="204">
        <f t="shared" si="95"/>
        <v>52761.494522999303</v>
      </c>
      <c r="CH66" s="204">
        <f t="shared" si="95"/>
        <v>59975.675754102042</v>
      </c>
      <c r="CI66" s="204">
        <f t="shared" si="95"/>
        <v>68636.810623763522</v>
      </c>
      <c r="CJ66" s="204">
        <f t="shared" si="95"/>
        <v>77297.94549342501</v>
      </c>
      <c r="CK66" s="204">
        <f t="shared" si="95"/>
        <v>85959.080363086483</v>
      </c>
      <c r="CL66" s="204">
        <f t="shared" si="95"/>
        <v>94620.215232747985</v>
      </c>
      <c r="CM66" s="204">
        <f t="shared" si="95"/>
        <v>103281.35010240946</v>
      </c>
      <c r="CN66" s="204">
        <f t="shared" si="95"/>
        <v>111942.48497207095</v>
      </c>
      <c r="CO66" s="204">
        <f t="shared" si="95"/>
        <v>120603.61984173243</v>
      </c>
      <c r="CP66" s="204">
        <f t="shared" si="95"/>
        <v>129264.75471139391</v>
      </c>
      <c r="CQ66" s="204">
        <f t="shared" si="95"/>
        <v>137925.88958105538</v>
      </c>
      <c r="CR66" s="204">
        <f t="shared" si="95"/>
        <v>146587.02445071688</v>
      </c>
      <c r="CS66" s="204">
        <f t="shared" si="95"/>
        <v>155248.15932037839</v>
      </c>
      <c r="CT66" s="204">
        <f t="shared" si="95"/>
        <v>163909.29419003986</v>
      </c>
      <c r="CU66" s="204">
        <f t="shared" si="95"/>
        <v>172570.42905970133</v>
      </c>
      <c r="CV66" s="204">
        <f t="shared" si="95"/>
        <v>181231.5639293628</v>
      </c>
      <c r="CW66" s="204">
        <f t="shared" si="95"/>
        <v>189892.69879902431</v>
      </c>
      <c r="CX66" s="204">
        <f t="shared" si="95"/>
        <v>194703.4826810463</v>
      </c>
      <c r="CY66" s="204">
        <f t="shared" si="95"/>
        <v>197375.18268104628</v>
      </c>
      <c r="CZ66" s="204">
        <f t="shared" si="95"/>
        <v>200046.88268104629</v>
      </c>
      <c r="DA66" s="204">
        <f t="shared" si="95"/>
        <v>202718.58268104627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3573.9949308508735</v>
      </c>
      <c r="G67" s="204">
        <f t="shared" si="96"/>
        <v>3573.9949308508735</v>
      </c>
      <c r="H67" s="204">
        <f t="shared" si="96"/>
        <v>3573.9949308508735</v>
      </c>
      <c r="I67" s="204">
        <f t="shared" si="96"/>
        <v>3573.9949308508735</v>
      </c>
      <c r="J67" s="204">
        <f t="shared" si="96"/>
        <v>3573.9949308508735</v>
      </c>
      <c r="K67" s="204">
        <f t="shared" si="96"/>
        <v>3573.9949308508735</v>
      </c>
      <c r="L67" s="204">
        <f t="shared" si="88"/>
        <v>3573.9949308508735</v>
      </c>
      <c r="M67" s="204">
        <f t="shared" si="96"/>
        <v>3573.9949308508735</v>
      </c>
      <c r="N67" s="204">
        <f t="shared" si="96"/>
        <v>3573.9949308508735</v>
      </c>
      <c r="O67" s="204">
        <f t="shared" si="96"/>
        <v>3573.9949308508735</v>
      </c>
      <c r="P67" s="204">
        <f t="shared" si="96"/>
        <v>3573.9949308508735</v>
      </c>
      <c r="Q67" s="204">
        <f t="shared" si="96"/>
        <v>3573.9949308508735</v>
      </c>
      <c r="R67" s="204">
        <f t="shared" si="96"/>
        <v>3573.9949308508735</v>
      </c>
      <c r="S67" s="204">
        <f t="shared" si="96"/>
        <v>3573.9949308508735</v>
      </c>
      <c r="T67" s="204">
        <f t="shared" si="96"/>
        <v>3573.9949308508735</v>
      </c>
      <c r="U67" s="204">
        <f t="shared" si="96"/>
        <v>3573.9949308508735</v>
      </c>
      <c r="V67" s="204">
        <f t="shared" si="96"/>
        <v>3573.9949308508735</v>
      </c>
      <c r="W67" s="204">
        <f t="shared" si="96"/>
        <v>3573.9949308508735</v>
      </c>
      <c r="X67" s="204">
        <f t="shared" si="96"/>
        <v>3558.3752870702683</v>
      </c>
      <c r="Y67" s="204">
        <f t="shared" si="96"/>
        <v>3527.1359995090584</v>
      </c>
      <c r="Z67" s="204">
        <f t="shared" si="96"/>
        <v>3495.896711947848</v>
      </c>
      <c r="AA67" s="204">
        <f t="shared" si="96"/>
        <v>3464.657424386638</v>
      </c>
      <c r="AB67" s="204">
        <f t="shared" si="96"/>
        <v>3433.4181368254276</v>
      </c>
      <c r="AC67" s="204">
        <f t="shared" si="96"/>
        <v>3402.1788492642177</v>
      </c>
      <c r="AD67" s="204">
        <f t="shared" si="96"/>
        <v>3370.9395617030073</v>
      </c>
      <c r="AE67" s="204">
        <f t="shared" si="96"/>
        <v>3339.7002741417973</v>
      </c>
      <c r="AF67" s="204">
        <f t="shared" si="96"/>
        <v>3308.4609865805869</v>
      </c>
      <c r="AG67" s="204">
        <f t="shared" si="96"/>
        <v>3277.2216990193765</v>
      </c>
      <c r="AH67" s="204">
        <f t="shared" si="96"/>
        <v>3245.9824114581666</v>
      </c>
      <c r="AI67" s="204">
        <f t="shared" si="96"/>
        <v>3214.7431238969561</v>
      </c>
      <c r="AJ67" s="204">
        <f t="shared" si="96"/>
        <v>3183.5038363357462</v>
      </c>
      <c r="AK67" s="204">
        <f t="shared" si="96"/>
        <v>3152.2645487745358</v>
      </c>
      <c r="AL67" s="204">
        <f t="shared" si="96"/>
        <v>3121.0252612133258</v>
      </c>
      <c r="AM67" s="204">
        <f t="shared" si="96"/>
        <v>3089.7859736521154</v>
      </c>
      <c r="AN67" s="204">
        <f t="shared" si="96"/>
        <v>3058.5466860909055</v>
      </c>
      <c r="AO67" s="204">
        <f t="shared" si="96"/>
        <v>3027.3073985296951</v>
      </c>
      <c r="AP67" s="204">
        <f t="shared" si="96"/>
        <v>2996.0681109684851</v>
      </c>
      <c r="AQ67" s="204">
        <f t="shared" si="96"/>
        <v>2964.8288234072747</v>
      </c>
      <c r="AR67" s="204">
        <f t="shared" si="96"/>
        <v>2933.5895358460648</v>
      </c>
      <c r="AS67" s="204">
        <f t="shared" si="96"/>
        <v>2902.3502482848544</v>
      </c>
      <c r="AT67" s="204">
        <f t="shared" si="96"/>
        <v>2871.110960723644</v>
      </c>
      <c r="AU67" s="204">
        <f t="shared" si="96"/>
        <v>2839.871673162434</v>
      </c>
      <c r="AV67" s="204">
        <f t="shared" si="96"/>
        <v>2808.6323856012241</v>
      </c>
      <c r="AW67" s="204">
        <f t="shared" si="96"/>
        <v>2777.3930980400137</v>
      </c>
      <c r="AX67" s="204">
        <f t="shared" si="96"/>
        <v>2746.1538104788033</v>
      </c>
      <c r="AY67" s="204">
        <f t="shared" si="96"/>
        <v>2714.9145229175933</v>
      </c>
      <c r="AZ67" s="204">
        <f t="shared" si="96"/>
        <v>2683.6752353563829</v>
      </c>
      <c r="BA67" s="204">
        <f t="shared" si="96"/>
        <v>2652.435947795173</v>
      </c>
      <c r="BB67" s="204">
        <f t="shared" si="96"/>
        <v>2621.1966602339626</v>
      </c>
      <c r="BC67" s="204">
        <f t="shared" si="96"/>
        <v>2589.9573726727526</v>
      </c>
      <c r="BD67" s="204">
        <f t="shared" si="96"/>
        <v>2558.7180851115422</v>
      </c>
      <c r="BE67" s="204">
        <f t="shared" si="96"/>
        <v>2527.4787975503323</v>
      </c>
      <c r="BF67" s="204">
        <f t="shared" si="96"/>
        <v>2767.8170142831209</v>
      </c>
      <c r="BG67" s="204">
        <f t="shared" si="96"/>
        <v>3159.0316222903557</v>
      </c>
      <c r="BH67" s="204">
        <f t="shared" si="96"/>
        <v>3550.246230297591</v>
      </c>
      <c r="BI67" s="204">
        <f t="shared" si="96"/>
        <v>3941.4608383048262</v>
      </c>
      <c r="BJ67" s="204">
        <f t="shared" si="96"/>
        <v>4332.6754463120615</v>
      </c>
      <c r="BK67" s="204">
        <f t="shared" si="96"/>
        <v>4723.8900543192958</v>
      </c>
      <c r="BL67" s="204">
        <f t="shared" si="96"/>
        <v>5115.1046623265311</v>
      </c>
      <c r="BM67" s="204">
        <f t="shared" si="96"/>
        <v>5506.3192703337663</v>
      </c>
      <c r="BN67" s="204">
        <f t="shared" si="96"/>
        <v>5897.5338783410016</v>
      </c>
      <c r="BO67" s="204">
        <f t="shared" si="96"/>
        <v>6288.7484863482368</v>
      </c>
      <c r="BP67" s="204">
        <f t="shared" si="96"/>
        <v>6679.9630943554712</v>
      </c>
      <c r="BQ67" s="204">
        <f t="shared" si="96"/>
        <v>7071.1777023627064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7462.3923103699417</v>
      </c>
      <c r="BS67" s="204">
        <f t="shared" si="97"/>
        <v>7853.606918377177</v>
      </c>
      <c r="BT67" s="204">
        <f t="shared" si="97"/>
        <v>8244.8215263844122</v>
      </c>
      <c r="BU67" s="204">
        <f t="shared" si="97"/>
        <v>8636.0361343916484</v>
      </c>
      <c r="BV67" s="204">
        <f t="shared" si="97"/>
        <v>9027.2507423988827</v>
      </c>
      <c r="BW67" s="204">
        <f t="shared" si="97"/>
        <v>9418.4653504061171</v>
      </c>
      <c r="BX67" s="204">
        <f t="shared" si="97"/>
        <v>9809.6799584133514</v>
      </c>
      <c r="BY67" s="204">
        <f t="shared" si="97"/>
        <v>10200.894566420588</v>
      </c>
      <c r="BZ67" s="204">
        <f t="shared" si="97"/>
        <v>10592.109174427824</v>
      </c>
      <c r="CA67" s="204">
        <f t="shared" si="97"/>
        <v>10983.323782435058</v>
      </c>
      <c r="CB67" s="204">
        <f t="shared" si="97"/>
        <v>11374.538390442292</v>
      </c>
      <c r="CC67" s="204">
        <f t="shared" si="97"/>
        <v>11765.752998449527</v>
      </c>
      <c r="CD67" s="204">
        <f t="shared" si="97"/>
        <v>12156.967606456761</v>
      </c>
      <c r="CE67" s="204">
        <f t="shared" si="97"/>
        <v>12548.182214463999</v>
      </c>
      <c r="CF67" s="204">
        <f t="shared" si="97"/>
        <v>12939.396822471233</v>
      </c>
      <c r="CG67" s="204">
        <f t="shared" si="97"/>
        <v>13330.611430478468</v>
      </c>
      <c r="CH67" s="204">
        <f t="shared" si="97"/>
        <v>12832.820998455854</v>
      </c>
      <c r="CI67" s="204">
        <f t="shared" si="97"/>
        <v>12092.574646425088</v>
      </c>
      <c r="CJ67" s="204">
        <f t="shared" si="97"/>
        <v>11352.328294394323</v>
      </c>
      <c r="CK67" s="204">
        <f t="shared" si="97"/>
        <v>10612.081942363557</v>
      </c>
      <c r="CL67" s="204">
        <f t="shared" si="97"/>
        <v>9871.835590332792</v>
      </c>
      <c r="CM67" s="204">
        <f t="shared" si="97"/>
        <v>9131.5892383020255</v>
      </c>
      <c r="CN67" s="204">
        <f t="shared" si="97"/>
        <v>8391.3428862712608</v>
      </c>
      <c r="CO67" s="204">
        <f t="shared" si="97"/>
        <v>7651.0965342404952</v>
      </c>
      <c r="CP67" s="204">
        <f t="shared" si="97"/>
        <v>6910.8501822097296</v>
      </c>
      <c r="CQ67" s="204">
        <f t="shared" si="97"/>
        <v>6170.603830178964</v>
      </c>
      <c r="CR67" s="204">
        <f t="shared" si="97"/>
        <v>5430.3574781481984</v>
      </c>
      <c r="CS67" s="204">
        <f t="shared" si="97"/>
        <v>4690.1111261174319</v>
      </c>
      <c r="CT67" s="204">
        <f t="shared" si="97"/>
        <v>3949.8647740866672</v>
      </c>
      <c r="CU67" s="204">
        <f t="shared" si="97"/>
        <v>3209.6184220559007</v>
      </c>
      <c r="CV67" s="204">
        <f t="shared" si="97"/>
        <v>2469.3720700251361</v>
      </c>
      <c r="CW67" s="204">
        <f t="shared" si="97"/>
        <v>1729.1257179943696</v>
      </c>
      <c r="CX67" s="204">
        <f t="shared" si="97"/>
        <v>1998.0213065548041</v>
      </c>
      <c r="CY67" s="204">
        <f t="shared" si="97"/>
        <v>2827.5513065548039</v>
      </c>
      <c r="CZ67" s="204">
        <f t="shared" si="97"/>
        <v>3657.0813065548041</v>
      </c>
      <c r="DA67" s="204">
        <f t="shared" si="97"/>
        <v>4486.6113065548034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878.85121250431325</v>
      </c>
      <c r="G68" s="204">
        <f t="shared" si="98"/>
        <v>878.85121250431325</v>
      </c>
      <c r="H68" s="204">
        <f t="shared" si="98"/>
        <v>878.85121250431325</v>
      </c>
      <c r="I68" s="204">
        <f t="shared" si="98"/>
        <v>878.85121250431325</v>
      </c>
      <c r="J68" s="204">
        <f t="shared" si="98"/>
        <v>878.85121250431325</v>
      </c>
      <c r="K68" s="204">
        <f t="shared" si="98"/>
        <v>878.85121250431325</v>
      </c>
      <c r="L68" s="204">
        <f t="shared" si="88"/>
        <v>878.85121250431325</v>
      </c>
      <c r="M68" s="204">
        <f t="shared" si="98"/>
        <v>878.85121250431325</v>
      </c>
      <c r="N68" s="204">
        <f t="shared" si="98"/>
        <v>878.85121250431325</v>
      </c>
      <c r="O68" s="204">
        <f t="shared" si="98"/>
        <v>878.85121250431325</v>
      </c>
      <c r="P68" s="204">
        <f t="shared" si="98"/>
        <v>878.85121250431325</v>
      </c>
      <c r="Q68" s="204">
        <f t="shared" si="98"/>
        <v>878.85121250431325</v>
      </c>
      <c r="R68" s="204">
        <f t="shared" si="98"/>
        <v>878.85121250431325</v>
      </c>
      <c r="S68" s="204">
        <f t="shared" si="98"/>
        <v>878.85121250431325</v>
      </c>
      <c r="T68" s="204">
        <f t="shared" si="98"/>
        <v>878.85121250431325</v>
      </c>
      <c r="U68" s="204">
        <f t="shared" si="98"/>
        <v>878.85121250431325</v>
      </c>
      <c r="V68" s="204">
        <f t="shared" si="98"/>
        <v>878.85121250431325</v>
      </c>
      <c r="W68" s="204">
        <f t="shared" si="98"/>
        <v>878.85121250431325</v>
      </c>
      <c r="X68" s="204">
        <f t="shared" si="98"/>
        <v>910.16260459538205</v>
      </c>
      <c r="Y68" s="204">
        <f t="shared" si="98"/>
        <v>972.78538877751953</v>
      </c>
      <c r="Z68" s="204">
        <f t="shared" si="98"/>
        <v>1035.4081729596569</v>
      </c>
      <c r="AA68" s="204">
        <f t="shared" si="98"/>
        <v>1098.0309571417945</v>
      </c>
      <c r="AB68" s="204">
        <f t="shared" si="98"/>
        <v>1160.6537413239321</v>
      </c>
      <c r="AC68" s="204">
        <f t="shared" si="98"/>
        <v>1223.2765255060694</v>
      </c>
      <c r="AD68" s="204">
        <f t="shared" si="98"/>
        <v>1285.899309688207</v>
      </c>
      <c r="AE68" s="204">
        <f t="shared" si="98"/>
        <v>1348.5220938703446</v>
      </c>
      <c r="AF68" s="204">
        <f t="shared" si="98"/>
        <v>1411.144878052482</v>
      </c>
      <c r="AG68" s="204">
        <f t="shared" si="98"/>
        <v>1473.7676622346194</v>
      </c>
      <c r="AH68" s="204">
        <f t="shared" si="98"/>
        <v>1536.390446416757</v>
      </c>
      <c r="AI68" s="204">
        <f t="shared" si="98"/>
        <v>1599.0132305988946</v>
      </c>
      <c r="AJ68" s="204">
        <f t="shared" si="98"/>
        <v>1661.6360147810319</v>
      </c>
      <c r="AK68" s="204">
        <f t="shared" si="98"/>
        <v>1724.2587989631695</v>
      </c>
      <c r="AL68" s="204">
        <f t="shared" si="98"/>
        <v>1786.8815831453071</v>
      </c>
      <c r="AM68" s="204">
        <f t="shared" si="98"/>
        <v>1849.5043673274445</v>
      </c>
      <c r="AN68" s="204">
        <f t="shared" si="98"/>
        <v>1912.1271515095821</v>
      </c>
      <c r="AO68" s="204">
        <f t="shared" si="98"/>
        <v>1974.7499356917194</v>
      </c>
      <c r="AP68" s="204">
        <f t="shared" si="98"/>
        <v>2037.372719873857</v>
      </c>
      <c r="AQ68" s="204">
        <f t="shared" si="98"/>
        <v>2099.9955040559944</v>
      </c>
      <c r="AR68" s="204">
        <f t="shared" si="98"/>
        <v>2162.6182882381318</v>
      </c>
      <c r="AS68" s="204">
        <f t="shared" si="98"/>
        <v>2225.2410724202696</v>
      </c>
      <c r="AT68" s="204">
        <f t="shared" si="98"/>
        <v>2287.8638566024069</v>
      </c>
      <c r="AU68" s="204">
        <f t="shared" si="98"/>
        <v>2350.4866407845448</v>
      </c>
      <c r="AV68" s="204">
        <f t="shared" si="98"/>
        <v>2413.1094249666821</v>
      </c>
      <c r="AW68" s="204">
        <f t="shared" si="98"/>
        <v>2475.7322091488195</v>
      </c>
      <c r="AX68" s="204">
        <f t="shared" si="98"/>
        <v>2538.3549933309569</v>
      </c>
      <c r="AY68" s="204">
        <f t="shared" si="98"/>
        <v>2600.9777775130942</v>
      </c>
      <c r="AZ68" s="204">
        <f t="shared" si="98"/>
        <v>2663.600561695232</v>
      </c>
      <c r="BA68" s="204">
        <f t="shared" si="98"/>
        <v>2726.2233458773699</v>
      </c>
      <c r="BB68" s="204">
        <f t="shared" si="98"/>
        <v>2788.8461300595072</v>
      </c>
      <c r="BC68" s="204">
        <f t="shared" si="98"/>
        <v>2851.4689142416446</v>
      </c>
      <c r="BD68" s="204">
        <f t="shared" si="98"/>
        <v>2914.091698423782</v>
      </c>
      <c r="BE68" s="204">
        <f t="shared" si="98"/>
        <v>2976.7144826059193</v>
      </c>
      <c r="BF68" s="204">
        <f t="shared" si="98"/>
        <v>3388.9009783711972</v>
      </c>
      <c r="BG68" s="204">
        <f t="shared" si="98"/>
        <v>3995.2895361271108</v>
      </c>
      <c r="BH68" s="204">
        <f t="shared" si="98"/>
        <v>4601.6780938830252</v>
      </c>
      <c r="BI68" s="204">
        <f t="shared" si="98"/>
        <v>5208.0666516389392</v>
      </c>
      <c r="BJ68" s="204">
        <f t="shared" si="98"/>
        <v>5814.4552093948532</v>
      </c>
      <c r="BK68" s="204">
        <f t="shared" si="98"/>
        <v>6420.8437671507663</v>
      </c>
      <c r="BL68" s="204">
        <f t="shared" si="98"/>
        <v>7027.2323249066803</v>
      </c>
      <c r="BM68" s="204">
        <f t="shared" si="98"/>
        <v>7633.6208826625943</v>
      </c>
      <c r="BN68" s="204">
        <f t="shared" si="98"/>
        <v>8240.0094404185074</v>
      </c>
      <c r="BO68" s="204">
        <f t="shared" si="98"/>
        <v>8846.3979981744233</v>
      </c>
      <c r="BP68" s="204">
        <f t="shared" si="98"/>
        <v>9452.7865559303355</v>
      </c>
      <c r="BQ68" s="204">
        <f t="shared" si="98"/>
        <v>10059.175113686249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10665.563671442163</v>
      </c>
      <c r="BS68" s="204">
        <f t="shared" si="99"/>
        <v>11271.952229198079</v>
      </c>
      <c r="BT68" s="204">
        <f t="shared" si="99"/>
        <v>11878.340786953991</v>
      </c>
      <c r="BU68" s="204">
        <f t="shared" si="99"/>
        <v>12484.729344709904</v>
      </c>
      <c r="BV68" s="204">
        <f t="shared" si="99"/>
        <v>13091.117902465819</v>
      </c>
      <c r="BW68" s="204">
        <f t="shared" si="99"/>
        <v>13697.506460221732</v>
      </c>
      <c r="BX68" s="204">
        <f t="shared" si="99"/>
        <v>14303.895017977648</v>
      </c>
      <c r="BY68" s="204">
        <f t="shared" si="99"/>
        <v>14910.28357573356</v>
      </c>
      <c r="BZ68" s="204">
        <f t="shared" si="99"/>
        <v>15516.672133489476</v>
      </c>
      <c r="CA68" s="204">
        <f t="shared" si="99"/>
        <v>16123.060691245388</v>
      </c>
      <c r="CB68" s="204">
        <f t="shared" si="99"/>
        <v>16729.449249001304</v>
      </c>
      <c r="CC68" s="204">
        <f t="shared" si="99"/>
        <v>17335.837806757216</v>
      </c>
      <c r="CD68" s="204">
        <f t="shared" si="99"/>
        <v>17942.226364513132</v>
      </c>
      <c r="CE68" s="204">
        <f t="shared" si="99"/>
        <v>18548.614922269044</v>
      </c>
      <c r="CF68" s="204">
        <f t="shared" si="99"/>
        <v>19155.00348002496</v>
      </c>
      <c r="CG68" s="204">
        <f t="shared" si="99"/>
        <v>19761.392037780872</v>
      </c>
      <c r="CH68" s="204">
        <f t="shared" si="99"/>
        <v>21998.332856567929</v>
      </c>
      <c r="CI68" s="204">
        <f t="shared" si="99"/>
        <v>24679.969746545325</v>
      </c>
      <c r="CJ68" s="204">
        <f t="shared" si="99"/>
        <v>27361.60663652272</v>
      </c>
      <c r="CK68" s="204">
        <f t="shared" si="99"/>
        <v>30043.243526500111</v>
      </c>
      <c r="CL68" s="204">
        <f t="shared" si="99"/>
        <v>32724.880416477507</v>
      </c>
      <c r="CM68" s="204">
        <f t="shared" si="99"/>
        <v>35406.517306454902</v>
      </c>
      <c r="CN68" s="204">
        <f t="shared" si="99"/>
        <v>38088.154196432297</v>
      </c>
      <c r="CO68" s="204">
        <f t="shared" si="99"/>
        <v>40769.791086409692</v>
      </c>
      <c r="CP68" s="204">
        <f t="shared" si="99"/>
        <v>43451.427976387087</v>
      </c>
      <c r="CQ68" s="204">
        <f t="shared" si="99"/>
        <v>46133.064866364482</v>
      </c>
      <c r="CR68" s="204">
        <f t="shared" si="99"/>
        <v>48814.701756341878</v>
      </c>
      <c r="CS68" s="204">
        <f t="shared" si="99"/>
        <v>51496.338646319273</v>
      </c>
      <c r="CT68" s="204">
        <f t="shared" si="99"/>
        <v>54177.975536296668</v>
      </c>
      <c r="CU68" s="204">
        <f t="shared" si="99"/>
        <v>56859.612426274063</v>
      </c>
      <c r="CV68" s="204">
        <f t="shared" si="99"/>
        <v>59541.249316251444</v>
      </c>
      <c r="CW68" s="204">
        <f t="shared" si="99"/>
        <v>62222.886206228839</v>
      </c>
      <c r="CX68" s="204">
        <f t="shared" si="99"/>
        <v>67168.577952649328</v>
      </c>
      <c r="CY68" s="204">
        <f t="shared" si="99"/>
        <v>73372.077952649328</v>
      </c>
      <c r="CZ68" s="204">
        <f t="shared" si="99"/>
        <v>79575.577952649342</v>
      </c>
      <c r="DA68" s="204">
        <f t="shared" si="99"/>
        <v>85779.077952649342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2064.5211834646302</v>
      </c>
      <c r="G69" s="204">
        <f t="shared" si="100"/>
        <v>2064.5211834646302</v>
      </c>
      <c r="H69" s="204">
        <f t="shared" si="100"/>
        <v>2064.5211834646302</v>
      </c>
      <c r="I69" s="204">
        <f t="shared" si="100"/>
        <v>2064.5211834646302</v>
      </c>
      <c r="J69" s="204">
        <f t="shared" si="100"/>
        <v>2064.5211834646302</v>
      </c>
      <c r="K69" s="204">
        <f t="shared" si="100"/>
        <v>2064.5211834646302</v>
      </c>
      <c r="L69" s="204">
        <f t="shared" si="88"/>
        <v>2064.5211834646302</v>
      </c>
      <c r="M69" s="204">
        <f t="shared" si="100"/>
        <v>2064.5211834646302</v>
      </c>
      <c r="N69" s="204">
        <f t="shared" si="100"/>
        <v>2064.5211834646302</v>
      </c>
      <c r="O69" s="204">
        <f t="shared" si="100"/>
        <v>2064.5211834646302</v>
      </c>
      <c r="P69" s="204">
        <f t="shared" si="100"/>
        <v>2064.5211834646302</v>
      </c>
      <c r="Q69" s="204">
        <f t="shared" si="100"/>
        <v>2064.5211834646302</v>
      </c>
      <c r="R69" s="204">
        <f t="shared" si="100"/>
        <v>2064.5211834646302</v>
      </c>
      <c r="S69" s="204">
        <f t="shared" si="100"/>
        <v>2064.5211834646302</v>
      </c>
      <c r="T69" s="204">
        <f t="shared" si="100"/>
        <v>2064.5211834646302</v>
      </c>
      <c r="U69" s="204">
        <f t="shared" si="100"/>
        <v>2064.5211834646302</v>
      </c>
      <c r="V69" s="204">
        <f t="shared" si="100"/>
        <v>2064.5211834646302</v>
      </c>
      <c r="W69" s="204">
        <f t="shared" si="100"/>
        <v>2064.5211834646302</v>
      </c>
      <c r="X69" s="204">
        <f t="shared" si="100"/>
        <v>2064.8056061139882</v>
      </c>
      <c r="Y69" s="204">
        <f t="shared" si="100"/>
        <v>2065.3744514127038</v>
      </c>
      <c r="Z69" s="204">
        <f t="shared" si="100"/>
        <v>2065.9432967114194</v>
      </c>
      <c r="AA69" s="204">
        <f t="shared" si="100"/>
        <v>2066.512142010135</v>
      </c>
      <c r="AB69" s="204">
        <f t="shared" si="100"/>
        <v>2067.0809873088506</v>
      </c>
      <c r="AC69" s="204">
        <f t="shared" si="100"/>
        <v>2067.6498326075662</v>
      </c>
      <c r="AD69" s="204">
        <f t="shared" si="100"/>
        <v>2068.2186779062818</v>
      </c>
      <c r="AE69" s="204">
        <f t="shared" si="100"/>
        <v>2068.7875232049973</v>
      </c>
      <c r="AF69" s="204">
        <f t="shared" si="100"/>
        <v>2069.3563685037129</v>
      </c>
      <c r="AG69" s="204">
        <f t="shared" si="100"/>
        <v>2069.9252138024285</v>
      </c>
      <c r="AH69" s="204">
        <f t="shared" si="100"/>
        <v>2070.4940591011441</v>
      </c>
      <c r="AI69" s="204">
        <f t="shared" si="100"/>
        <v>2071.0629043998597</v>
      </c>
      <c r="AJ69" s="204">
        <f t="shared" si="100"/>
        <v>2071.6317496985753</v>
      </c>
      <c r="AK69" s="204">
        <f t="shared" si="100"/>
        <v>2072.2005949972909</v>
      </c>
      <c r="AL69" s="204">
        <f t="shared" si="100"/>
        <v>2072.7694402960065</v>
      </c>
      <c r="AM69" s="204">
        <f t="shared" si="100"/>
        <v>2073.338285594722</v>
      </c>
      <c r="AN69" s="204">
        <f t="shared" si="100"/>
        <v>2073.9071308934376</v>
      </c>
      <c r="AO69" s="204">
        <f t="shared" si="100"/>
        <v>2074.4759761921537</v>
      </c>
      <c r="AP69" s="204">
        <f t="shared" si="100"/>
        <v>2075.0448214908693</v>
      </c>
      <c r="AQ69" s="204">
        <f t="shared" si="100"/>
        <v>2075.6136667895848</v>
      </c>
      <c r="AR69" s="204">
        <f t="shared" si="100"/>
        <v>2076.1825120883004</v>
      </c>
      <c r="AS69" s="204">
        <f t="shared" si="100"/>
        <v>2076.751357387016</v>
      </c>
      <c r="AT69" s="204">
        <f t="shared" si="100"/>
        <v>2077.3202026857316</v>
      </c>
      <c r="AU69" s="204">
        <f t="shared" si="100"/>
        <v>2077.8890479844472</v>
      </c>
      <c r="AV69" s="204">
        <f t="shared" si="100"/>
        <v>2078.4578932831628</v>
      </c>
      <c r="AW69" s="204">
        <f t="shared" si="100"/>
        <v>2079.0267385818784</v>
      </c>
      <c r="AX69" s="204">
        <f t="shared" si="100"/>
        <v>2079.5955838805939</v>
      </c>
      <c r="AY69" s="204">
        <f t="shared" si="100"/>
        <v>2080.1644291793095</v>
      </c>
      <c r="AZ69" s="204">
        <f t="shared" si="100"/>
        <v>2080.7332744780251</v>
      </c>
      <c r="BA69" s="204">
        <f t="shared" si="100"/>
        <v>2081.3021197767407</v>
      </c>
      <c r="BB69" s="204">
        <f t="shared" si="100"/>
        <v>2081.8709650754563</v>
      </c>
      <c r="BC69" s="204">
        <f t="shared" si="100"/>
        <v>2082.4398103741719</v>
      </c>
      <c r="BD69" s="204">
        <f t="shared" si="100"/>
        <v>2083.0086556728875</v>
      </c>
      <c r="BE69" s="204">
        <f t="shared" si="100"/>
        <v>2083.5775009716031</v>
      </c>
      <c r="BF69" s="204">
        <f t="shared" si="100"/>
        <v>2076.0861337025749</v>
      </c>
      <c r="BG69" s="204">
        <f t="shared" si="100"/>
        <v>2064.1168705625773</v>
      </c>
      <c r="BH69" s="204">
        <f t="shared" si="100"/>
        <v>2052.1476074225802</v>
      </c>
      <c r="BI69" s="204">
        <f t="shared" si="100"/>
        <v>2040.1783442825827</v>
      </c>
      <c r="BJ69" s="204">
        <f t="shared" si="100"/>
        <v>2028.2090811425853</v>
      </c>
      <c r="BK69" s="204">
        <f t="shared" si="100"/>
        <v>2016.239818002588</v>
      </c>
      <c r="BL69" s="204">
        <f t="shared" si="100"/>
        <v>2004.2705548625906</v>
      </c>
      <c r="BM69" s="204">
        <f t="shared" si="100"/>
        <v>1992.3012917225933</v>
      </c>
      <c r="BN69" s="204">
        <f t="shared" si="100"/>
        <v>1980.332028582596</v>
      </c>
      <c r="BO69" s="204">
        <f t="shared" si="100"/>
        <v>1968.3627654425984</v>
      </c>
      <c r="BP69" s="204">
        <f t="shared" si="100"/>
        <v>1956.3935023026011</v>
      </c>
      <c r="BQ69" s="204">
        <f t="shared" si="100"/>
        <v>1944.4242391626037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1932.4549760226064</v>
      </c>
      <c r="BS69" s="204">
        <f t="shared" si="101"/>
        <v>1920.4857128826091</v>
      </c>
      <c r="BT69" s="204">
        <f t="shared" si="101"/>
        <v>1908.5164497426117</v>
      </c>
      <c r="BU69" s="204">
        <f t="shared" si="101"/>
        <v>1896.5471866026141</v>
      </c>
      <c r="BV69" s="204">
        <f t="shared" si="101"/>
        <v>1884.5779234626168</v>
      </c>
      <c r="BW69" s="204">
        <f t="shared" si="101"/>
        <v>1872.6086603226195</v>
      </c>
      <c r="BX69" s="204">
        <f t="shared" si="101"/>
        <v>1860.6393971826221</v>
      </c>
      <c r="BY69" s="204">
        <f t="shared" si="101"/>
        <v>1848.6701340426248</v>
      </c>
      <c r="BZ69" s="204">
        <f t="shared" si="101"/>
        <v>1836.7008709026275</v>
      </c>
      <c r="CA69" s="204">
        <f t="shared" si="101"/>
        <v>1824.7316077626301</v>
      </c>
      <c r="CB69" s="204">
        <f t="shared" si="101"/>
        <v>1812.7623446226326</v>
      </c>
      <c r="CC69" s="204">
        <f t="shared" si="101"/>
        <v>1800.7930814826352</v>
      </c>
      <c r="CD69" s="204">
        <f t="shared" si="101"/>
        <v>1788.8238183426379</v>
      </c>
      <c r="CE69" s="204">
        <f t="shared" si="101"/>
        <v>1776.8545552026405</v>
      </c>
      <c r="CF69" s="204">
        <f t="shared" si="101"/>
        <v>1764.8852920626432</v>
      </c>
      <c r="CG69" s="204">
        <f t="shared" si="101"/>
        <v>1752.9160289226456</v>
      </c>
      <c r="CH69" s="204">
        <f t="shared" si="101"/>
        <v>1713.6304395466484</v>
      </c>
      <c r="CI69" s="204">
        <f t="shared" si="101"/>
        <v>1666.8949430153777</v>
      </c>
      <c r="CJ69" s="204">
        <f t="shared" si="101"/>
        <v>1620.1594464841073</v>
      </c>
      <c r="CK69" s="204">
        <f t="shared" si="101"/>
        <v>1573.4239499528369</v>
      </c>
      <c r="CL69" s="204">
        <f t="shared" si="101"/>
        <v>1526.6884534215665</v>
      </c>
      <c r="CM69" s="204">
        <f t="shared" si="101"/>
        <v>1479.9529568902958</v>
      </c>
      <c r="CN69" s="204">
        <f t="shared" si="101"/>
        <v>1433.2174603590254</v>
      </c>
      <c r="CO69" s="204">
        <f t="shared" si="101"/>
        <v>1386.481963827755</v>
      </c>
      <c r="CP69" s="204">
        <f t="shared" si="101"/>
        <v>1339.7464672964843</v>
      </c>
      <c r="CQ69" s="204">
        <f t="shared" si="101"/>
        <v>1293.0109707652139</v>
      </c>
      <c r="CR69" s="204">
        <f t="shared" si="101"/>
        <v>1246.2754742339434</v>
      </c>
      <c r="CS69" s="204">
        <f t="shared" si="101"/>
        <v>1199.5399777026728</v>
      </c>
      <c r="CT69" s="204">
        <f t="shared" si="101"/>
        <v>1152.8044811714024</v>
      </c>
      <c r="CU69" s="204">
        <f t="shared" si="101"/>
        <v>1106.0689846401319</v>
      </c>
      <c r="CV69" s="204">
        <f t="shared" si="101"/>
        <v>1059.3334881088613</v>
      </c>
      <c r="CW69" s="204">
        <f t="shared" si="101"/>
        <v>1012.5979915775908</v>
      </c>
      <c r="CX69" s="204">
        <f t="shared" si="101"/>
        <v>1005.3760285307083</v>
      </c>
      <c r="CY69" s="204">
        <f t="shared" si="101"/>
        <v>1020.1060285307084</v>
      </c>
      <c r="CZ69" s="204">
        <f t="shared" si="101"/>
        <v>1034.8360285307085</v>
      </c>
      <c r="DA69" s="204">
        <f t="shared" si="101"/>
        <v>1049.5660285307085</v>
      </c>
    </row>
    <row r="70" spans="1:105" s="204" customFormat="1">
      <c r="A70" s="204" t="str">
        <f>Income!A85</f>
        <v>Cash transfer - official</v>
      </c>
      <c r="F70" s="204">
        <f t="shared" si="100"/>
        <v>33527.373876317448</v>
      </c>
      <c r="G70" s="204">
        <f t="shared" si="100"/>
        <v>33527.373876317448</v>
      </c>
      <c r="H70" s="204">
        <f t="shared" si="100"/>
        <v>33527.373876317448</v>
      </c>
      <c r="I70" s="204">
        <f t="shared" si="100"/>
        <v>33527.373876317448</v>
      </c>
      <c r="J70" s="204">
        <f t="shared" si="100"/>
        <v>33527.373876317448</v>
      </c>
      <c r="K70" s="204">
        <f t="shared" si="100"/>
        <v>33527.373876317448</v>
      </c>
      <c r="L70" s="204">
        <f t="shared" si="100"/>
        <v>33527.373876317448</v>
      </c>
      <c r="M70" s="204">
        <f t="shared" si="100"/>
        <v>33527.373876317448</v>
      </c>
      <c r="N70" s="204">
        <f t="shared" si="100"/>
        <v>33527.373876317448</v>
      </c>
      <c r="O70" s="204">
        <f t="shared" si="100"/>
        <v>33527.373876317448</v>
      </c>
      <c r="P70" s="204">
        <f t="shared" si="100"/>
        <v>33527.373876317448</v>
      </c>
      <c r="Q70" s="204">
        <f t="shared" si="100"/>
        <v>33527.373876317448</v>
      </c>
      <c r="R70" s="204">
        <f t="shared" si="100"/>
        <v>33527.373876317448</v>
      </c>
      <c r="S70" s="204">
        <f t="shared" si="100"/>
        <v>33527.373876317448</v>
      </c>
      <c r="T70" s="204">
        <f t="shared" si="100"/>
        <v>33527.373876317448</v>
      </c>
      <c r="U70" s="204">
        <f t="shared" si="100"/>
        <v>33527.373876317448</v>
      </c>
      <c r="V70" s="204">
        <f t="shared" si="100"/>
        <v>33527.373876317448</v>
      </c>
      <c r="W70" s="204">
        <f t="shared" si="100"/>
        <v>33527.373876317448</v>
      </c>
      <c r="X70" s="204">
        <f t="shared" si="100"/>
        <v>33527.157200541129</v>
      </c>
      <c r="Y70" s="204">
        <f t="shared" si="100"/>
        <v>33526.723848988491</v>
      </c>
      <c r="Z70" s="204">
        <f t="shared" si="100"/>
        <v>33526.290497435853</v>
      </c>
      <c r="AA70" s="204">
        <f t="shared" si="100"/>
        <v>33525.857145883216</v>
      </c>
      <c r="AB70" s="204">
        <f t="shared" si="100"/>
        <v>33525.423794330578</v>
      </c>
      <c r="AC70" s="204">
        <f t="shared" si="100"/>
        <v>33524.990442777933</v>
      </c>
      <c r="AD70" s="204">
        <f t="shared" si="100"/>
        <v>33524.557091225295</v>
      </c>
      <c r="AE70" s="204">
        <f t="shared" si="100"/>
        <v>33524.123739672657</v>
      </c>
      <c r="AF70" s="204">
        <f t="shared" si="100"/>
        <v>33523.69038812002</v>
      </c>
      <c r="AG70" s="204">
        <f t="shared" si="100"/>
        <v>33523.257036567382</v>
      </c>
      <c r="AH70" s="204">
        <f t="shared" si="100"/>
        <v>33522.823685014744</v>
      </c>
      <c r="AI70" s="204">
        <f t="shared" si="100"/>
        <v>33522.390333462106</v>
      </c>
      <c r="AJ70" s="204">
        <f t="shared" si="100"/>
        <v>33521.956981909469</v>
      </c>
      <c r="AK70" s="204">
        <f t="shared" si="100"/>
        <v>33521.523630356831</v>
      </c>
      <c r="AL70" s="204">
        <f t="shared" si="100"/>
        <v>33521.090278804193</v>
      </c>
      <c r="AM70" s="204">
        <f t="shared" si="100"/>
        <v>33520.656927251548</v>
      </c>
      <c r="AN70" s="204">
        <f t="shared" si="100"/>
        <v>33520.22357569891</v>
      </c>
      <c r="AO70" s="204">
        <f t="shared" si="100"/>
        <v>33519.790224146273</v>
      </c>
      <c r="AP70" s="204">
        <f t="shared" si="100"/>
        <v>33519.356872593635</v>
      </c>
      <c r="AQ70" s="204">
        <f t="shared" si="100"/>
        <v>33518.923521040997</v>
      </c>
      <c r="AR70" s="204">
        <f t="shared" si="100"/>
        <v>33518.490169488359</v>
      </c>
      <c r="AS70" s="204">
        <f t="shared" si="100"/>
        <v>33518.056817935721</v>
      </c>
      <c r="AT70" s="204">
        <f t="shared" si="100"/>
        <v>33517.623466383084</v>
      </c>
      <c r="AU70" s="204">
        <f t="shared" si="100"/>
        <v>33517.190114830446</v>
      </c>
      <c r="AV70" s="204">
        <f t="shared" si="100"/>
        <v>33516.756763277808</v>
      </c>
      <c r="AW70" s="204">
        <f t="shared" si="100"/>
        <v>33516.323411725163</v>
      </c>
      <c r="AX70" s="204">
        <f t="shared" si="100"/>
        <v>33515.890060172525</v>
      </c>
      <c r="AY70" s="204">
        <f t="shared" si="100"/>
        <v>33515.456708619888</v>
      </c>
      <c r="AZ70" s="204">
        <f t="shared" si="100"/>
        <v>33515.02335706725</v>
      </c>
      <c r="BA70" s="204">
        <f t="shared" si="100"/>
        <v>33514.590005514612</v>
      </c>
      <c r="BB70" s="204">
        <f t="shared" si="100"/>
        <v>33514.156653961974</v>
      </c>
      <c r="BC70" s="204">
        <f t="shared" si="100"/>
        <v>33513.723302409337</v>
      </c>
      <c r="BD70" s="204">
        <f t="shared" si="100"/>
        <v>33513.289950856699</v>
      </c>
      <c r="BE70" s="204">
        <f t="shared" si="100"/>
        <v>33512.856599304061</v>
      </c>
      <c r="BF70" s="204">
        <f t="shared" si="100"/>
        <v>33288.680427329564</v>
      </c>
      <c r="BG70" s="204">
        <f t="shared" si="100"/>
        <v>32940.202688454039</v>
      </c>
      <c r="BH70" s="204">
        <f t="shared" si="100"/>
        <v>32591.724949578514</v>
      </c>
      <c r="BI70" s="204">
        <f t="shared" si="100"/>
        <v>32243.247210702986</v>
      </c>
      <c r="BJ70" s="204">
        <f t="shared" si="100"/>
        <v>31894.769471827462</v>
      </c>
      <c r="BK70" s="204">
        <f t="shared" si="100"/>
        <v>31546.291732951937</v>
      </c>
      <c r="BL70" s="204">
        <f t="shared" si="100"/>
        <v>31197.813994076409</v>
      </c>
      <c r="BM70" s="204">
        <f t="shared" si="100"/>
        <v>30849.336255200884</v>
      </c>
      <c r="BN70" s="204">
        <f t="shared" si="100"/>
        <v>30500.858516325359</v>
      </c>
      <c r="BO70" s="204">
        <f t="shared" si="100"/>
        <v>30152.380777449831</v>
      </c>
      <c r="BP70" s="204">
        <f t="shared" si="100"/>
        <v>29803.903038574306</v>
      </c>
      <c r="BQ70" s="204">
        <f t="shared" si="100"/>
        <v>29455.425299698778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29106.947560823253</v>
      </c>
      <c r="BS70" s="204">
        <f t="shared" si="102"/>
        <v>28758.469821947729</v>
      </c>
      <c r="BT70" s="204">
        <f t="shared" si="102"/>
        <v>28409.992083072204</v>
      </c>
      <c r="BU70" s="204">
        <f t="shared" si="102"/>
        <v>28061.514344196676</v>
      </c>
      <c r="BV70" s="204">
        <f t="shared" si="102"/>
        <v>27713.036605321151</v>
      </c>
      <c r="BW70" s="204">
        <f t="shared" si="102"/>
        <v>27364.558866445623</v>
      </c>
      <c r="BX70" s="204">
        <f t="shared" si="102"/>
        <v>27016.081127570098</v>
      </c>
      <c r="BY70" s="204">
        <f t="shared" si="102"/>
        <v>26667.603388694573</v>
      </c>
      <c r="BZ70" s="204">
        <f t="shared" si="102"/>
        <v>26319.125649819049</v>
      </c>
      <c r="CA70" s="204">
        <f t="shared" si="102"/>
        <v>25970.64791094352</v>
      </c>
      <c r="CB70" s="204">
        <f t="shared" si="102"/>
        <v>25622.170172067996</v>
      </c>
      <c r="CC70" s="204">
        <f t="shared" si="102"/>
        <v>25273.692433192467</v>
      </c>
      <c r="CD70" s="204">
        <f t="shared" si="102"/>
        <v>24925.214694316943</v>
      </c>
      <c r="CE70" s="204">
        <f t="shared" si="102"/>
        <v>24576.736955441418</v>
      </c>
      <c r="CF70" s="204">
        <f t="shared" si="102"/>
        <v>24228.259216565893</v>
      </c>
      <c r="CG70" s="204">
        <f t="shared" si="102"/>
        <v>23879.781477690365</v>
      </c>
      <c r="CH70" s="204">
        <f t="shared" si="102"/>
        <v>23369.434687153549</v>
      </c>
      <c r="CI70" s="204">
        <f t="shared" si="102"/>
        <v>22814.941791618192</v>
      </c>
      <c r="CJ70" s="204">
        <f t="shared" si="102"/>
        <v>22260.448896082838</v>
      </c>
      <c r="CK70" s="204">
        <f t="shared" si="102"/>
        <v>21705.956000547485</v>
      </c>
      <c r="CL70" s="204">
        <f t="shared" si="102"/>
        <v>21151.463105012128</v>
      </c>
      <c r="CM70" s="204">
        <f t="shared" si="102"/>
        <v>20596.970209476774</v>
      </c>
      <c r="CN70" s="204">
        <f t="shared" si="102"/>
        <v>20042.477313941421</v>
      </c>
      <c r="CO70" s="204">
        <f t="shared" si="102"/>
        <v>19487.984418406064</v>
      </c>
      <c r="CP70" s="204">
        <f t="shared" si="102"/>
        <v>18933.49152287071</v>
      </c>
      <c r="CQ70" s="204">
        <f t="shared" si="102"/>
        <v>18378.998627335357</v>
      </c>
      <c r="CR70" s="204">
        <f t="shared" si="102"/>
        <v>17824.505731800004</v>
      </c>
      <c r="CS70" s="204">
        <f t="shared" si="102"/>
        <v>17270.012836264646</v>
      </c>
      <c r="CT70" s="204">
        <f t="shared" si="102"/>
        <v>16715.519940729293</v>
      </c>
      <c r="CU70" s="204">
        <f t="shared" si="102"/>
        <v>16161.027045193938</v>
      </c>
      <c r="CV70" s="204">
        <f t="shared" si="102"/>
        <v>15606.534149658582</v>
      </c>
      <c r="CW70" s="204">
        <f t="shared" si="102"/>
        <v>15052.041254123229</v>
      </c>
      <c r="CX70" s="204">
        <f t="shared" si="102"/>
        <v>14128.974505717746</v>
      </c>
      <c r="CY70" s="204">
        <f t="shared" si="102"/>
        <v>13001.144505717744</v>
      </c>
      <c r="CZ70" s="204">
        <f t="shared" si="102"/>
        <v>11873.314505717743</v>
      </c>
      <c r="DA70" s="204">
        <f t="shared" si="102"/>
        <v>10745.484505717741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2294.7781659834841</v>
      </c>
      <c r="G71" s="204">
        <f t="shared" si="103"/>
        <v>2294.7781659834841</v>
      </c>
      <c r="H71" s="204">
        <f t="shared" si="103"/>
        <v>2294.7781659834841</v>
      </c>
      <c r="I71" s="204">
        <f t="shared" si="103"/>
        <v>2294.7781659834841</v>
      </c>
      <c r="J71" s="204">
        <f t="shared" si="103"/>
        <v>2294.7781659834841</v>
      </c>
      <c r="K71" s="204">
        <f t="shared" si="103"/>
        <v>2294.7781659834841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2294.7781659834841</v>
      </c>
      <c r="M71" s="204">
        <f t="shared" si="103"/>
        <v>2294.7781659834841</v>
      </c>
      <c r="N71" s="204">
        <f t="shared" si="103"/>
        <v>2294.7781659834841</v>
      </c>
      <c r="O71" s="204">
        <f t="shared" si="103"/>
        <v>2294.7781659834841</v>
      </c>
      <c r="P71" s="204">
        <f t="shared" si="103"/>
        <v>2294.7781659834841</v>
      </c>
      <c r="Q71" s="204">
        <f t="shared" si="103"/>
        <v>2294.7781659834841</v>
      </c>
      <c r="R71" s="204">
        <f t="shared" si="103"/>
        <v>2294.7781659834841</v>
      </c>
      <c r="S71" s="204">
        <f t="shared" si="103"/>
        <v>2294.7781659834841</v>
      </c>
      <c r="T71" s="204">
        <f t="shared" si="103"/>
        <v>2294.7781659834841</v>
      </c>
      <c r="U71" s="204">
        <f t="shared" si="103"/>
        <v>2294.7781659834841</v>
      </c>
      <c r="V71" s="204">
        <f t="shared" si="103"/>
        <v>2294.7781659834841</v>
      </c>
      <c r="W71" s="204">
        <f t="shared" si="103"/>
        <v>2294.7781659834841</v>
      </c>
      <c r="X71" s="204">
        <f t="shared" si="103"/>
        <v>2319.8795554404865</v>
      </c>
      <c r="Y71" s="204">
        <f t="shared" si="103"/>
        <v>2370.0823343544916</v>
      </c>
      <c r="Z71" s="204">
        <f t="shared" si="103"/>
        <v>2420.2851132684964</v>
      </c>
      <c r="AA71" s="204">
        <f t="shared" si="103"/>
        <v>2470.4878921825011</v>
      </c>
      <c r="AB71" s="204">
        <f t="shared" si="103"/>
        <v>2520.6906710965063</v>
      </c>
      <c r="AC71" s="204">
        <f t="shared" si="103"/>
        <v>2570.8934500105111</v>
      </c>
      <c r="AD71" s="204">
        <f t="shared" si="103"/>
        <v>2621.0962289245158</v>
      </c>
      <c r="AE71" s="204">
        <f t="shared" si="103"/>
        <v>2671.299007838521</v>
      </c>
      <c r="AF71" s="204">
        <f t="shared" si="103"/>
        <v>2721.5017867525257</v>
      </c>
      <c r="AG71" s="204">
        <f t="shared" si="103"/>
        <v>2771.7045656665305</v>
      </c>
      <c r="AH71" s="204">
        <f t="shared" si="103"/>
        <v>2821.9073445805357</v>
      </c>
      <c r="AI71" s="204">
        <f t="shared" si="103"/>
        <v>2872.1101234945404</v>
      </c>
      <c r="AJ71" s="204">
        <f t="shared" si="103"/>
        <v>2922.3129024085456</v>
      </c>
      <c r="AK71" s="204">
        <f t="shared" si="103"/>
        <v>2972.5156813225503</v>
      </c>
      <c r="AL71" s="204">
        <f t="shared" si="103"/>
        <v>3022.7184602365551</v>
      </c>
      <c r="AM71" s="204">
        <f t="shared" si="103"/>
        <v>3072.9212391505598</v>
      </c>
      <c r="AN71" s="204">
        <f t="shared" si="103"/>
        <v>3123.124018064565</v>
      </c>
      <c r="AO71" s="204">
        <f t="shared" si="103"/>
        <v>3173.3267969785697</v>
      </c>
      <c r="AP71" s="204">
        <f t="shared" si="103"/>
        <v>3223.5295758925749</v>
      </c>
      <c r="AQ71" s="204">
        <f t="shared" si="103"/>
        <v>3273.7323548065797</v>
      </c>
      <c r="AR71" s="204">
        <f t="shared" si="103"/>
        <v>3323.9351337205844</v>
      </c>
      <c r="AS71" s="204">
        <f t="shared" si="103"/>
        <v>3374.1379126345892</v>
      </c>
      <c r="AT71" s="204">
        <f t="shared" si="103"/>
        <v>3424.3406915485944</v>
      </c>
      <c r="AU71" s="204">
        <f t="shared" si="103"/>
        <v>3474.5434704625995</v>
      </c>
      <c r="AV71" s="204">
        <f t="shared" si="103"/>
        <v>3524.7462493766043</v>
      </c>
      <c r="AW71" s="204">
        <f t="shared" si="103"/>
        <v>3574.949028290609</v>
      </c>
      <c r="AX71" s="204">
        <f t="shared" si="103"/>
        <v>3625.1518072046138</v>
      </c>
      <c r="AY71" s="204">
        <f t="shared" si="103"/>
        <v>3675.354586118619</v>
      </c>
      <c r="AZ71" s="204">
        <f t="shared" si="103"/>
        <v>3725.5573650326237</v>
      </c>
      <c r="BA71" s="204">
        <f t="shared" si="103"/>
        <v>3775.7601439466289</v>
      </c>
      <c r="BB71" s="204">
        <f t="shared" si="103"/>
        <v>3825.9629228606336</v>
      </c>
      <c r="BC71" s="204">
        <f t="shared" si="103"/>
        <v>3876.1657017746384</v>
      </c>
      <c r="BD71" s="204">
        <f t="shared" si="103"/>
        <v>3926.3684806886431</v>
      </c>
      <c r="BE71" s="204">
        <f t="shared" si="103"/>
        <v>3976.5712596026483</v>
      </c>
      <c r="BF71" s="204">
        <f t="shared" si="103"/>
        <v>4054.4288989685497</v>
      </c>
      <c r="BG71" s="204">
        <f t="shared" si="103"/>
        <v>4147.6503496966161</v>
      </c>
      <c r="BH71" s="204">
        <f t="shared" si="103"/>
        <v>4240.8718004246821</v>
      </c>
      <c r="BI71" s="204">
        <f t="shared" si="103"/>
        <v>4334.0932511527481</v>
      </c>
      <c r="BJ71" s="204">
        <f t="shared" si="103"/>
        <v>4427.314701880814</v>
      </c>
      <c r="BK71" s="204">
        <f t="shared" si="103"/>
        <v>4520.53615260888</v>
      </c>
      <c r="BL71" s="204">
        <f t="shared" si="103"/>
        <v>4613.757603336946</v>
      </c>
      <c r="BM71" s="204">
        <f t="shared" si="103"/>
        <v>4706.979054065012</v>
      </c>
      <c r="BN71" s="204">
        <f t="shared" si="103"/>
        <v>4800.2005047930779</v>
      </c>
      <c r="BO71" s="204">
        <f t="shared" si="103"/>
        <v>4893.4219555211439</v>
      </c>
      <c r="BP71" s="204">
        <f t="shared" si="103"/>
        <v>4986.6434062492099</v>
      </c>
      <c r="BQ71" s="204">
        <f t="shared" si="103"/>
        <v>5079.8648569772758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5173.0863077053418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5266.3077584334078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5359.5292091614738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5452.7506598895397</v>
      </c>
      <c r="BV71" s="204">
        <f t="shared" si="104"/>
        <v>5545.9721106176066</v>
      </c>
      <c r="BW71" s="204">
        <f t="shared" si="104"/>
        <v>5639.1935613456726</v>
      </c>
      <c r="BX71" s="204">
        <f t="shared" si="104"/>
        <v>5732.4150120737386</v>
      </c>
      <c r="BY71" s="204">
        <f t="shared" si="104"/>
        <v>5825.6364628018046</v>
      </c>
      <c r="BZ71" s="204">
        <f t="shared" si="104"/>
        <v>5918.8579135298705</v>
      </c>
      <c r="CA71" s="204">
        <f t="shared" si="104"/>
        <v>6012.0793642579365</v>
      </c>
      <c r="CB71" s="204">
        <f t="shared" si="104"/>
        <v>6105.3008149860025</v>
      </c>
      <c r="CC71" s="204">
        <f t="shared" si="104"/>
        <v>6198.5222657140685</v>
      </c>
      <c r="CD71" s="204">
        <f t="shared" si="104"/>
        <v>6291.7437164421353</v>
      </c>
      <c r="CE71" s="204">
        <f t="shared" si="104"/>
        <v>6384.9651671702013</v>
      </c>
      <c r="CF71" s="204">
        <f t="shared" si="104"/>
        <v>6478.1866178982673</v>
      </c>
      <c r="CG71" s="204">
        <f t="shared" si="104"/>
        <v>6571.4080686263333</v>
      </c>
      <c r="CH71" s="204">
        <f t="shared" si="104"/>
        <v>6773.1818556610042</v>
      </c>
      <c r="CI71" s="204">
        <f t="shared" si="104"/>
        <v>7004.5608253247501</v>
      </c>
      <c r="CJ71" s="204">
        <f t="shared" si="104"/>
        <v>7235.9397949884969</v>
      </c>
      <c r="CK71" s="204">
        <f t="shared" si="104"/>
        <v>7467.3187646522429</v>
      </c>
      <c r="CL71" s="204">
        <f t="shared" si="104"/>
        <v>7698.6977343159897</v>
      </c>
      <c r="CM71" s="204">
        <f t="shared" si="104"/>
        <v>7930.0767039797356</v>
      </c>
      <c r="CN71" s="204">
        <f t="shared" si="104"/>
        <v>8161.4556736434824</v>
      </c>
      <c r="CO71" s="204">
        <f t="shared" si="104"/>
        <v>8392.8346433072293</v>
      </c>
      <c r="CP71" s="204">
        <f t="shared" si="104"/>
        <v>8624.2136129709761</v>
      </c>
      <c r="CQ71" s="204">
        <f t="shared" si="104"/>
        <v>8855.5925826347211</v>
      </c>
      <c r="CR71" s="204">
        <f t="shared" si="104"/>
        <v>9086.9715522984679</v>
      </c>
      <c r="CS71" s="204">
        <f t="shared" si="104"/>
        <v>9318.3505219622148</v>
      </c>
      <c r="CT71" s="204">
        <f t="shared" si="104"/>
        <v>9549.7294916259598</v>
      </c>
      <c r="CU71" s="204">
        <f t="shared" si="104"/>
        <v>9781.1084612897066</v>
      </c>
      <c r="CV71" s="204">
        <f t="shared" si="104"/>
        <v>10012.487430953453</v>
      </c>
      <c r="CW71" s="204">
        <f t="shared" si="104"/>
        <v>10243.8664006172</v>
      </c>
      <c r="CX71" s="204">
        <f t="shared" si="104"/>
        <v>10516.999604068538</v>
      </c>
      <c r="CY71" s="204">
        <f t="shared" si="104"/>
        <v>10813.329604068538</v>
      </c>
      <c r="CZ71" s="204">
        <f t="shared" si="104"/>
        <v>11109.659604068538</v>
      </c>
      <c r="DA71" s="204">
        <f t="shared" si="104"/>
        <v>11405.989604068538</v>
      </c>
    </row>
    <row r="72" spans="1:105" s="204" customFormat="1">
      <c r="A72" s="204" t="str">
        <f>Income!A88</f>
        <v>TOTAL</v>
      </c>
      <c r="F72" s="204">
        <f>SUM(F59:F71)</f>
        <v>62004.157477289336</v>
      </c>
      <c r="G72" s="204">
        <f t="shared" ref="G72:BR72" si="105">SUM(G59:G71)</f>
        <v>61663.897477289327</v>
      </c>
      <c r="H72" s="204">
        <f t="shared" si="105"/>
        <v>61323.637477289332</v>
      </c>
      <c r="I72" s="204">
        <f t="shared" si="105"/>
        <v>60983.377477289338</v>
      </c>
      <c r="J72" s="204">
        <f t="shared" si="105"/>
        <v>60643.117477289328</v>
      </c>
      <c r="K72" s="204">
        <f t="shared" si="105"/>
        <v>60302.857477289333</v>
      </c>
      <c r="L72" s="204">
        <f t="shared" si="105"/>
        <v>59962.597477289339</v>
      </c>
      <c r="M72" s="204">
        <f t="shared" si="105"/>
        <v>59622.337477289329</v>
      </c>
      <c r="N72" s="204">
        <f t="shared" si="105"/>
        <v>59282.077477289335</v>
      </c>
      <c r="O72" s="204">
        <f t="shared" si="105"/>
        <v>58941.817477289333</v>
      </c>
      <c r="P72" s="204">
        <f t="shared" si="105"/>
        <v>58601.557477289331</v>
      </c>
      <c r="Q72" s="204">
        <f t="shared" si="105"/>
        <v>58261.297477289336</v>
      </c>
      <c r="R72" s="204">
        <f t="shared" si="105"/>
        <v>57921.037477289334</v>
      </c>
      <c r="S72" s="204">
        <f t="shared" si="105"/>
        <v>57580.777477289332</v>
      </c>
      <c r="T72" s="204">
        <f t="shared" si="105"/>
        <v>57240.517477289337</v>
      </c>
      <c r="U72" s="204">
        <f t="shared" si="105"/>
        <v>56900.257477289335</v>
      </c>
      <c r="V72" s="204">
        <f t="shared" si="105"/>
        <v>56559.997477289333</v>
      </c>
      <c r="W72" s="204">
        <f t="shared" si="105"/>
        <v>56219.737477289338</v>
      </c>
      <c r="X72" s="204">
        <f t="shared" si="105"/>
        <v>56203.095552925784</v>
      </c>
      <c r="Y72" s="204">
        <f t="shared" si="105"/>
        <v>56510.071704198708</v>
      </c>
      <c r="Z72" s="204">
        <f t="shared" si="105"/>
        <v>56817.047855471617</v>
      </c>
      <c r="AA72" s="204">
        <f t="shared" si="105"/>
        <v>57124.024006744534</v>
      </c>
      <c r="AB72" s="204">
        <f t="shared" si="105"/>
        <v>57431.00015801745</v>
      </c>
      <c r="AC72" s="204">
        <f t="shared" si="105"/>
        <v>57737.976309290359</v>
      </c>
      <c r="AD72" s="204">
        <f t="shared" si="105"/>
        <v>58044.952460563269</v>
      </c>
      <c r="AE72" s="204">
        <f t="shared" si="105"/>
        <v>58351.928611836185</v>
      </c>
      <c r="AF72" s="204">
        <f t="shared" si="105"/>
        <v>58658.904763109102</v>
      </c>
      <c r="AG72" s="204">
        <f t="shared" si="105"/>
        <v>58965.880914382011</v>
      </c>
      <c r="AH72" s="204">
        <f t="shared" si="105"/>
        <v>59272.857065654935</v>
      </c>
      <c r="AI72" s="204">
        <f t="shared" si="105"/>
        <v>59579.833216927844</v>
      </c>
      <c r="AJ72" s="204">
        <f t="shared" si="105"/>
        <v>59886.809368200767</v>
      </c>
      <c r="AK72" s="204">
        <f t="shared" si="105"/>
        <v>60193.785519473677</v>
      </c>
      <c r="AL72" s="204">
        <f t="shared" si="105"/>
        <v>60500.761670746593</v>
      </c>
      <c r="AM72" s="204">
        <f t="shared" si="105"/>
        <v>60807.737822019502</v>
      </c>
      <c r="AN72" s="204">
        <f t="shared" si="105"/>
        <v>61114.713973292419</v>
      </c>
      <c r="AO72" s="204">
        <f t="shared" si="105"/>
        <v>61421.690124565328</v>
      </c>
      <c r="AP72" s="204">
        <f t="shared" si="105"/>
        <v>61728.666275838244</v>
      </c>
      <c r="AQ72" s="204">
        <f t="shared" si="105"/>
        <v>62035.642427111161</v>
      </c>
      <c r="AR72" s="204">
        <f t="shared" si="105"/>
        <v>62342.618578384077</v>
      </c>
      <c r="AS72" s="204">
        <f t="shared" si="105"/>
        <v>62649.594729656994</v>
      </c>
      <c r="AT72" s="204">
        <f t="shared" si="105"/>
        <v>62956.57088092991</v>
      </c>
      <c r="AU72" s="204">
        <f t="shared" si="105"/>
        <v>63263.547032202827</v>
      </c>
      <c r="AV72" s="204">
        <f t="shared" si="105"/>
        <v>63570.523183475743</v>
      </c>
      <c r="AW72" s="204">
        <f t="shared" si="105"/>
        <v>63877.499334748652</v>
      </c>
      <c r="AX72" s="204">
        <f t="shared" si="105"/>
        <v>64184.475486021562</v>
      </c>
      <c r="AY72" s="204">
        <f t="shared" si="105"/>
        <v>64491.451637294471</v>
      </c>
      <c r="AZ72" s="204">
        <f t="shared" si="105"/>
        <v>64798.427788567395</v>
      </c>
      <c r="BA72" s="204">
        <f t="shared" si="105"/>
        <v>65105.403939840304</v>
      </c>
      <c r="BB72" s="204">
        <f t="shared" si="105"/>
        <v>65412.380091113228</v>
      </c>
      <c r="BC72" s="204">
        <f t="shared" si="105"/>
        <v>65719.356242386129</v>
      </c>
      <c r="BD72" s="204">
        <f t="shared" si="105"/>
        <v>66026.332393659046</v>
      </c>
      <c r="BE72" s="204">
        <f t="shared" si="105"/>
        <v>66333.308544931962</v>
      </c>
      <c r="BF72" s="204">
        <f t="shared" si="105"/>
        <v>68648.98690022745</v>
      </c>
      <c r="BG72" s="204">
        <f t="shared" si="105"/>
        <v>72080.610924424385</v>
      </c>
      <c r="BH72" s="204">
        <f t="shared" si="105"/>
        <v>75512.234948621335</v>
      </c>
      <c r="BI72" s="204">
        <f t="shared" si="105"/>
        <v>78943.858972818285</v>
      </c>
      <c r="BJ72" s="204">
        <f t="shared" si="105"/>
        <v>82375.48299701522</v>
      </c>
      <c r="BK72" s="204">
        <f t="shared" si="105"/>
        <v>85807.107021212156</v>
      </c>
      <c r="BL72" s="204">
        <f t="shared" si="105"/>
        <v>89238.731045409091</v>
      </c>
      <c r="BM72" s="204">
        <f t="shared" si="105"/>
        <v>92670.355069606041</v>
      </c>
      <c r="BN72" s="204">
        <f t="shared" si="105"/>
        <v>96101.979093802976</v>
      </c>
      <c r="BO72" s="204">
        <f t="shared" si="105"/>
        <v>99533.603117999941</v>
      </c>
      <c r="BP72" s="204">
        <f t="shared" si="105"/>
        <v>102965.22714219686</v>
      </c>
      <c r="BQ72" s="204">
        <f t="shared" si="105"/>
        <v>106396.8511663938</v>
      </c>
      <c r="BR72" s="204">
        <f t="shared" si="105"/>
        <v>109828.47519059073</v>
      </c>
      <c r="BS72" s="204">
        <f t="shared" ref="BS72:DA72" si="106">SUM(BS59:BS71)</f>
        <v>113260.0992147877</v>
      </c>
      <c r="BT72" s="204">
        <f t="shared" si="106"/>
        <v>116691.72323898465</v>
      </c>
      <c r="BU72" s="204">
        <f t="shared" si="106"/>
        <v>120123.34726318158</v>
      </c>
      <c r="BV72" s="204">
        <f t="shared" si="106"/>
        <v>123554.97128737849</v>
      </c>
      <c r="BW72" s="204">
        <f t="shared" si="106"/>
        <v>126986.59531157544</v>
      </c>
      <c r="BX72" s="204">
        <f t="shared" si="106"/>
        <v>130418.21933577237</v>
      </c>
      <c r="BY72" s="204">
        <f t="shared" si="106"/>
        <v>133849.84335996932</v>
      </c>
      <c r="BZ72" s="204">
        <f t="shared" si="106"/>
        <v>137281.46738416629</v>
      </c>
      <c r="CA72" s="204">
        <f t="shared" si="106"/>
        <v>140713.09140836319</v>
      </c>
      <c r="CB72" s="204">
        <f t="shared" si="106"/>
        <v>144144.71543256016</v>
      </c>
      <c r="CC72" s="204">
        <f t="shared" si="106"/>
        <v>147576.33945675706</v>
      </c>
      <c r="CD72" s="204">
        <f t="shared" si="106"/>
        <v>151007.96348095406</v>
      </c>
      <c r="CE72" s="204">
        <f t="shared" si="106"/>
        <v>154439.58750515099</v>
      </c>
      <c r="CF72" s="204">
        <f t="shared" si="106"/>
        <v>157871.2115293479</v>
      </c>
      <c r="CG72" s="204">
        <f t="shared" si="106"/>
        <v>161302.83555354484</v>
      </c>
      <c r="CH72" s="204">
        <f t="shared" si="106"/>
        <v>171962.52433165489</v>
      </c>
      <c r="CI72" s="204">
        <f t="shared" si="106"/>
        <v>184593.50349719581</v>
      </c>
      <c r="CJ72" s="204">
        <f t="shared" si="106"/>
        <v>197224.48266273676</v>
      </c>
      <c r="CK72" s="204">
        <f t="shared" si="106"/>
        <v>209855.46182827768</v>
      </c>
      <c r="CL72" s="204">
        <f t="shared" si="106"/>
        <v>222486.44099381866</v>
      </c>
      <c r="CM72" s="204">
        <f t="shared" si="106"/>
        <v>235117.42015935952</v>
      </c>
      <c r="CN72" s="204">
        <f t="shared" si="106"/>
        <v>247748.3993249005</v>
      </c>
      <c r="CO72" s="204">
        <f t="shared" si="106"/>
        <v>260379.37849044136</v>
      </c>
      <c r="CP72" s="204">
        <f t="shared" si="106"/>
        <v>273010.35765598231</v>
      </c>
      <c r="CQ72" s="204">
        <f t="shared" si="106"/>
        <v>285641.3368215232</v>
      </c>
      <c r="CR72" s="204">
        <f t="shared" si="106"/>
        <v>298272.31598706421</v>
      </c>
      <c r="CS72" s="204">
        <f t="shared" si="106"/>
        <v>310903.2951526051</v>
      </c>
      <c r="CT72" s="204">
        <f t="shared" si="106"/>
        <v>323534.27431814611</v>
      </c>
      <c r="CU72" s="204">
        <f t="shared" si="106"/>
        <v>336165.253483687</v>
      </c>
      <c r="CV72" s="204">
        <f t="shared" si="106"/>
        <v>348796.23264922795</v>
      </c>
      <c r="CW72" s="204">
        <f t="shared" si="106"/>
        <v>361427.21181476873</v>
      </c>
      <c r="CX72" s="204">
        <f t="shared" si="106"/>
        <v>372225.29073103348</v>
      </c>
      <c r="CY72" s="204">
        <f t="shared" si="106"/>
        <v>382005.09173103346</v>
      </c>
      <c r="CZ72" s="204">
        <f t="shared" si="106"/>
        <v>391784.8927310335</v>
      </c>
      <c r="DA72" s="204">
        <f t="shared" si="106"/>
        <v>401564.69373103348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35</v>
      </c>
      <c r="D107" s="214">
        <f>C23</f>
        <v>67.714285714285722</v>
      </c>
      <c r="E107" s="214">
        <f>D23</f>
        <v>90.714285714285722</v>
      </c>
      <c r="F107" s="214">
        <f>E23</f>
        <v>100.00000000000001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34.900527349926691</v>
      </c>
      <c r="D108" s="212">
        <f>BU42</f>
        <v>47.093604619462788</v>
      </c>
      <c r="E108" s="212">
        <f>CR42</f>
        <v>148.00253903366595</v>
      </c>
      <c r="F108" s="212">
        <f xml:space="preserve"> 0.0529*F107^2 - 5.8907*F107 + 166.43</f>
        <v>106.36000000000018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15.771063293308034</v>
      </c>
      <c r="D109" s="212">
        <f t="shared" ref="D109:D120" si="108">BU43</f>
        <v>204.45841236886744</v>
      </c>
      <c r="E109" s="212">
        <f t="shared" ref="E109:E120" si="109">CR43</f>
        <v>1425.1243215333359</v>
      </c>
      <c r="F109" s="212">
        <f xml:space="preserve"> 0.2249*F107^2 - 18.644*F107 + 340.26</f>
        <v>724.86000000000081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19.760435295601614</v>
      </c>
      <c r="D110" s="212">
        <f t="shared" si="108"/>
        <v>44.301799045437981</v>
      </c>
      <c r="E110" s="212">
        <f t="shared" si="109"/>
        <v>75.579772313265266</v>
      </c>
      <c r="F110" s="212">
        <f xml:space="preserve"> -0.005*F107^2 + 0.7378*F107 - 15.349</f>
        <v>8.4309999999999938</v>
      </c>
      <c r="AD110" s="217" t="s">
        <v>118</v>
      </c>
      <c r="AE110" s="201">
        <f>(0.5*(DA72-F72))</f>
        <v>169780.26812687208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6.3091463626217995E-2</v>
      </c>
      <c r="D111" s="212">
        <f t="shared" si="108"/>
        <v>48.516780878331929</v>
      </c>
      <c r="E111" s="212">
        <f t="shared" si="109"/>
        <v>68.355094305891086</v>
      </c>
      <c r="F111" s="212">
        <v>0</v>
      </c>
      <c r="AD111" s="217" t="s">
        <v>119</v>
      </c>
      <c r="AE111" s="212">
        <f>AE109/AE110</f>
        <v>7.8634824719664848E-2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118.14372282652094</v>
      </c>
      <c r="D112" s="212">
        <f t="shared" si="108"/>
        <v>511.05894390298107</v>
      </c>
      <c r="E112" s="212">
        <f t="shared" si="109"/>
        <v>1207.4201514328868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-2.1275458520077519</v>
      </c>
      <c r="D113" s="212">
        <f t="shared" si="108"/>
        <v>-7.9794306249545732</v>
      </c>
      <c r="E113" s="212">
        <f t="shared" si="109"/>
        <v>-0.51791090370556336</v>
      </c>
      <c r="F113" s="212">
        <f xml:space="preserve"> 0.0898*F107^2 - 11.826*F107 + 336.79</f>
        <v>52.190000000000225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38.743087614929273</v>
      </c>
      <c r="D114" s="212">
        <f t="shared" si="108"/>
        <v>-54.88825685644936</v>
      </c>
      <c r="E114" s="212">
        <f t="shared" si="109"/>
        <v>-525.6607873796396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1908.684556387572</v>
      </c>
      <c r="E115" s="212">
        <f t="shared" si="109"/>
        <v>8661.1348696614841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-31.23928756121019</v>
      </c>
      <c r="D116" s="212">
        <f t="shared" si="108"/>
        <v>391.21460800723509</v>
      </c>
      <c r="E116" s="212">
        <f t="shared" si="109"/>
        <v>-740.24635203076559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62.622784182137501</v>
      </c>
      <c r="D117" s="212">
        <f t="shared" si="108"/>
        <v>606.38855775591389</v>
      </c>
      <c r="E117" s="212">
        <f t="shared" si="109"/>
        <v>2681.6368899773943</v>
      </c>
      <c r="F117" s="212">
        <f xml:space="preserve"> 1.6289*F107^2 - 121.84*F107 + 2098.5</f>
        <v>6203.5000000000036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0.56884529871561373</v>
      </c>
      <c r="D118" s="212">
        <f t="shared" si="108"/>
        <v>-11.969263139997375</v>
      </c>
      <c r="E118" s="212">
        <f t="shared" si="109"/>
        <v>-46.735496531270499</v>
      </c>
      <c r="F118" s="212">
        <f>0.0411*F107^2 - 5.0851*F107 + 112.24</f>
        <v>14.730000000000061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-0.43335155263849634</v>
      </c>
      <c r="D119" s="212">
        <f t="shared" si="108"/>
        <v>-348.47773887552592</v>
      </c>
      <c r="E119" s="212">
        <f t="shared" si="109"/>
        <v>-554.49289553535459</v>
      </c>
      <c r="F119" s="212">
        <f xml:space="preserve"> -0.4727*F107^2 + 44.988*F107 - 899.63</f>
        <v>-1127.8300000000017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50.202778914004902</v>
      </c>
      <c r="D120" s="212">
        <f t="shared" si="108"/>
        <v>93.221450728066046</v>
      </c>
      <c r="E120" s="212">
        <f t="shared" si="109"/>
        <v>231.3789696637464</v>
      </c>
      <c r="F120" s="212">
        <f xml:space="preserve"> 0.1467*F107^2 - 15.6*F107 + 389.33</f>
        <v>296.33000000000021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2016-08-10T09:50:34Z</dcterms:modified>
  <cp:category/>
</cp:coreProperties>
</file>