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1000" windowWidth="25600" windowHeight="1718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2" i="12" l="1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37" i="12"/>
  <c r="T56" i="12"/>
  <c r="S56" i="12"/>
  <c r="R56" i="12"/>
  <c r="T55" i="12"/>
  <c r="S55" i="12"/>
  <c r="R55" i="12"/>
  <c r="T54" i="12"/>
  <c r="S54" i="12"/>
  <c r="R54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R53" i="12"/>
  <c r="R56" i="1"/>
  <c r="R55" i="1"/>
  <c r="R54" i="1"/>
  <c r="R43" i="1"/>
  <c r="R44" i="1"/>
  <c r="R45" i="1"/>
  <c r="R46" i="1"/>
  <c r="R47" i="1"/>
  <c r="R48" i="1"/>
  <c r="R49" i="1"/>
  <c r="R50" i="1"/>
  <c r="R51" i="1"/>
  <c r="R52" i="1"/>
  <c r="R39" i="1"/>
  <c r="R40" i="1"/>
  <c r="R41" i="1"/>
  <c r="R42" i="1"/>
  <c r="R37" i="1"/>
  <c r="R38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7" i="1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I122" i="9"/>
  <c r="I131" i="9"/>
  <c r="H122" i="9"/>
  <c r="H131" i="9"/>
  <c r="G122" i="9"/>
  <c r="G131" i="9"/>
  <c r="F122" i="9"/>
  <c r="F131" i="9"/>
  <c r="I121" i="9"/>
  <c r="I130" i="9"/>
  <c r="H121" i="9"/>
  <c r="H130" i="9"/>
  <c r="G121" i="9"/>
  <c r="G130" i="9"/>
  <c r="F121" i="9"/>
  <c r="F130" i="9"/>
  <c r="I120" i="9"/>
  <c r="I129" i="9"/>
  <c r="H120" i="9"/>
  <c r="H129" i="9"/>
  <c r="G120" i="9"/>
  <c r="G129" i="9"/>
  <c r="F120" i="9"/>
  <c r="F129" i="9"/>
  <c r="I119" i="9"/>
  <c r="I128" i="9"/>
  <c r="H119" i="9"/>
  <c r="H128" i="9"/>
  <c r="G119" i="9"/>
  <c r="G128" i="9"/>
  <c r="F119" i="9"/>
  <c r="F128" i="9"/>
  <c r="I126" i="9"/>
  <c r="H126" i="9"/>
  <c r="G126" i="9"/>
  <c r="F126" i="9"/>
  <c r="I125" i="9"/>
  <c r="H125" i="9"/>
  <c r="G125" i="9"/>
  <c r="F125" i="9"/>
  <c r="I124" i="9"/>
  <c r="H124" i="9"/>
  <c r="G124" i="9"/>
  <c r="F124" i="9"/>
  <c r="I123" i="9"/>
  <c r="H123" i="9"/>
  <c r="G123" i="9"/>
  <c r="F123" i="9"/>
  <c r="I118" i="9"/>
  <c r="H118" i="9"/>
  <c r="G118" i="9"/>
  <c r="F118" i="9"/>
  <c r="I117" i="9"/>
  <c r="H117" i="9"/>
  <c r="G117" i="9"/>
  <c r="F117" i="9"/>
  <c r="I116" i="9"/>
  <c r="H116" i="9"/>
  <c r="G116" i="9"/>
  <c r="F116" i="9"/>
  <c r="I115" i="9"/>
  <c r="H115" i="9"/>
  <c r="G115" i="9"/>
  <c r="F115" i="9"/>
  <c r="I114" i="9"/>
  <c r="H114" i="9"/>
  <c r="G114" i="9"/>
  <c r="F114" i="9"/>
  <c r="I113" i="9"/>
  <c r="H113" i="9"/>
  <c r="G113" i="9"/>
  <c r="F113" i="9"/>
  <c r="I112" i="9"/>
  <c r="H112" i="9"/>
  <c r="G112" i="9"/>
  <c r="F112" i="9"/>
  <c r="I111" i="9"/>
  <c r="H111" i="9"/>
  <c r="G111" i="9"/>
  <c r="F111" i="9"/>
  <c r="I110" i="9"/>
  <c r="H110" i="9"/>
  <c r="G110" i="9"/>
  <c r="F110" i="9"/>
  <c r="I109" i="9"/>
  <c r="H109" i="9"/>
  <c r="G109" i="9"/>
  <c r="F109" i="9"/>
  <c r="I108" i="9"/>
  <c r="H108" i="9"/>
  <c r="G108" i="9"/>
  <c r="F108" i="9"/>
  <c r="I107" i="9"/>
  <c r="H107" i="9"/>
  <c r="G107" i="9"/>
  <c r="F107" i="9"/>
  <c r="I106" i="9"/>
  <c r="H106" i="9"/>
  <c r="G106" i="9"/>
  <c r="F106" i="9"/>
  <c r="I105" i="9"/>
  <c r="H105" i="9"/>
  <c r="G105" i="9"/>
  <c r="F105" i="9"/>
  <c r="I104" i="9"/>
  <c r="H104" i="9"/>
  <c r="G104" i="9"/>
  <c r="F104" i="9"/>
  <c r="I103" i="9"/>
  <c r="H103" i="9"/>
  <c r="G103" i="9"/>
  <c r="F103" i="9"/>
  <c r="I102" i="9"/>
  <c r="H102" i="9"/>
  <c r="G102" i="9"/>
  <c r="F102" i="9"/>
  <c r="E122" i="9"/>
  <c r="E131" i="9"/>
  <c r="D122" i="9"/>
  <c r="D131" i="9"/>
  <c r="C122" i="9"/>
  <c r="C131" i="9"/>
  <c r="E121" i="9"/>
  <c r="E130" i="9"/>
  <c r="D121" i="9"/>
  <c r="D130" i="9"/>
  <c r="C121" i="9"/>
  <c r="C130" i="9"/>
  <c r="E120" i="9"/>
  <c r="E129" i="9"/>
  <c r="D120" i="9"/>
  <c r="D129" i="9"/>
  <c r="C120" i="9"/>
  <c r="C129" i="9"/>
  <c r="E119" i="9"/>
  <c r="E128" i="9"/>
  <c r="D119" i="9"/>
  <c r="D128" i="9"/>
  <c r="C119" i="9"/>
  <c r="C128" i="9"/>
  <c r="E118" i="9"/>
  <c r="D118" i="9"/>
  <c r="R53" i="1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B122" i="9"/>
  <c r="B131" i="9"/>
  <c r="B121" i="9"/>
  <c r="B130" i="9"/>
  <c r="B120" i="9"/>
  <c r="B129" i="9"/>
  <c r="B119" i="9"/>
  <c r="B128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56" i="1"/>
  <c r="S56" i="1"/>
  <c r="T55" i="1"/>
  <c r="S55" i="1"/>
  <c r="T54" i="1"/>
  <c r="S54" i="1"/>
  <c r="T53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E43" i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<sst xmlns="http://schemas.openxmlformats.org/spreadsheetml/2006/main" count="834" uniqueCount="145">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</sst>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7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0" fontId="0" fillId="0" borderId="34" xfId="0" applyBorder="1" applyAlignment="1"/>
    <xf numFmtId="3" fontId="0" fillId="0" borderId="34" xfId="1" applyNumberFormat="1" applyFont="1" applyBorder="1" applyAlignment="1"/>
  </cellXfs>
  <cellStyles count="17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9354424"/>
        <c:axId val="2142785608"/>
      </c:barChart>
      <c:catAx>
        <c:axId val="213935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78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785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935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2122344"/>
        <c:axId val="-2112119352"/>
      </c:barChart>
      <c:catAx>
        <c:axId val="-211212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119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119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12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1982088"/>
        <c:axId val="-2111979096"/>
      </c:barChart>
      <c:catAx>
        <c:axId val="-211198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197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197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1982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2195848"/>
        <c:axId val="-2112204152"/>
      </c:barChart>
      <c:catAx>
        <c:axId val="-211219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2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2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19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232616"/>
        <c:axId val="-21122292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32616"/>
        <c:axId val="-2112229240"/>
      </c:lineChart>
      <c:catAx>
        <c:axId val="-211223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22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22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23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843272"/>
        <c:axId val="-211283994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43272"/>
        <c:axId val="-2112839944"/>
      </c:lineChart>
      <c:catAx>
        <c:axId val="-211284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839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839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84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2750568"/>
        <c:axId val="-211274722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750568"/>
        <c:axId val="-2112747224"/>
      </c:lineChart>
      <c:catAx>
        <c:axId val="-21127505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74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74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75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Income!$A$102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Income!$B$102:$I$102</c:f>
              <c:numCache>
                <c:formatCode>#,##0</c:formatCode>
                <c:ptCount val="8"/>
                <c:pt idx="0">
                  <c:v>984.254455906166</c:v>
                </c:pt>
                <c:pt idx="1">
                  <c:v>2704.266735645449</c:v>
                </c:pt>
                <c:pt idx="2">
                  <c:v>0.0</c:v>
                </c:pt>
                <c:pt idx="3">
                  <c:v>0.0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151576"/>
        <c:axId val="1842738776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Income!$B$119:$E$119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Income!$B$123:$I$123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0.0</c:v>
                </c:pt>
                <c:pt idx="7" formatCode="#,##0">
                  <c:v>0.0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Income!$B$120:$E$120</c:f>
              <c:numCache>
                <c:formatCode>#,##0</c:formatCode>
                <c:ptCount val="4"/>
                <c:pt idx="0">
                  <c:v>42445.47305073387</c:v>
                </c:pt>
                <c:pt idx="1">
                  <c:v>42445.47305073388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Income!$B$124:$I$124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0.0</c:v>
                </c:pt>
                <c:pt idx="7" formatCode="#,##0">
                  <c:v>0.0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Income!$B$121:$E$121</c:f>
              <c:numCache>
                <c:formatCode>#,##0</c:formatCode>
                <c:ptCount val="4"/>
                <c:pt idx="0">
                  <c:v>75183.39305073386</c:v>
                </c:pt>
                <c:pt idx="1">
                  <c:v>75183.39305073388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Income!$B$125:$I$125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0.0</c:v>
                </c:pt>
                <c:pt idx="7" formatCode="#,##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2151576"/>
        <c:axId val="1842738776"/>
      </c:lineChart>
      <c:catAx>
        <c:axId val="183215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4273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42738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3215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2682712"/>
        <c:axId val="-2112679368"/>
      </c:barChart>
      <c:catAx>
        <c:axId val="-2112682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67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67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682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2620824"/>
        <c:axId val="-2112617464"/>
      </c:barChart>
      <c:catAx>
        <c:axId val="-211262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617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617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62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2565048"/>
        <c:axId val="-2112561528"/>
      </c:barChart>
      <c:catAx>
        <c:axId val="-2112565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561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56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565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280840"/>
        <c:axId val="2144282712"/>
      </c:barChart>
      <c:catAx>
        <c:axId val="214128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4282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4282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28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2504072"/>
        <c:axId val="-2112500728"/>
      </c:barChart>
      <c:catAx>
        <c:axId val="-211250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50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250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2504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6486696"/>
        <c:axId val="214002117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86696"/>
        <c:axId val="214002117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486696"/>
        <c:axId val="2140021176"/>
      </c:scatterChart>
      <c:catAx>
        <c:axId val="2056486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00211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400211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6486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4333288"/>
        <c:axId val="21376604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33288"/>
        <c:axId val="2137660440"/>
      </c:lineChart>
      <c:catAx>
        <c:axId val="-21243332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7660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7660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3332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57880"/>
        <c:axId val="-21112545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250920"/>
        <c:axId val="-2111248024"/>
      </c:scatterChart>
      <c:valAx>
        <c:axId val="-21112578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1254536"/>
        <c:crosses val="autoZero"/>
        <c:crossBetween val="midCat"/>
      </c:valAx>
      <c:valAx>
        <c:axId val="-2111254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1257880"/>
        <c:crosses val="autoZero"/>
        <c:crossBetween val="midCat"/>
      </c:valAx>
      <c:valAx>
        <c:axId val="-211125092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11248024"/>
        <c:crosses val="autoZero"/>
        <c:crossBetween val="midCat"/>
      </c:valAx>
      <c:valAx>
        <c:axId val="-211124802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125092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161480"/>
        <c:axId val="-21111557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161480"/>
        <c:axId val="-2111155736"/>
      </c:lineChart>
      <c:catAx>
        <c:axId val="-211116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1155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1155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116148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546136"/>
        <c:axId val="2141863416"/>
      </c:barChart>
      <c:catAx>
        <c:axId val="214154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86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86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54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679960"/>
        <c:axId val="2136683256"/>
      </c:barChart>
      <c:catAx>
        <c:axId val="2136679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68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68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679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582776"/>
        <c:axId val="2136586088"/>
      </c:barChart>
      <c:catAx>
        <c:axId val="21365827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5860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658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582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435864"/>
        <c:axId val="2136427400"/>
      </c:barChart>
      <c:catAx>
        <c:axId val="2136435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4274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642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43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268088"/>
        <c:axId val="2136271400"/>
      </c:barChart>
      <c:catAx>
        <c:axId val="2136268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2714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6271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26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6163032"/>
        <c:axId val="2136166344"/>
      </c:barChart>
      <c:catAx>
        <c:axId val="21361630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1663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616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16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5971624"/>
        <c:axId val="2135960104"/>
      </c:barChart>
      <c:catAx>
        <c:axId val="213597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960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5960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971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495300</xdr:colOff>
      <xdr:row>141</xdr:row>
      <xdr:rowOff>0</xdr:rowOff>
    </xdr:from>
    <xdr:to>
      <xdr:col>18</xdr:col>
      <xdr:colOff>533400</xdr:colOff>
      <xdr:row>161</xdr:row>
      <xdr:rowOff>38100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N37" sqref="N37:N5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69">
        <f>N91</f>
        <v>5</v>
      </c>
      <c r="O37" s="2"/>
      <c r="P37" s="2"/>
      <c r="Q37" s="59" t="s">
        <v>71</v>
      </c>
      <c r="R37" s="221">
        <f>IF($B$81=0,0,(SUMIF($N$6:$N$28,$U7,K$6:K$28)*$B$83+SUMIF($N$37:$N$64,$U7,B$37:B$64))*Poor!$B$81/$B$81)</f>
        <v>984.25445590616596</v>
      </c>
      <c r="S37" s="221">
        <f>IF($B$81=0,0,(SUMIF($N$6:$N$28,$U37,L$6:L$28)+SUMIF($N$91:$N$118,$U37,L$91:L$118))*$I$83*Poor!$B$81/$B$81)</f>
        <v>0</v>
      </c>
      <c r="T37" s="221">
        <f>IF($B$81=0,0,(SUMIF($N$6:$N$28,$U7,M$6:M$28)+SUMIF($N$91:$N$118,$U7,M$91:M$118))*$I$83*Poor!$B$81/$B$81)</f>
        <v>414.0773225620311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69">
        <f t="shared" ref="N38:N52" si="36">N92</f>
        <v>5</v>
      </c>
      <c r="O38" s="2"/>
      <c r="P38" s="2"/>
      <c r="Q38" s="59" t="s">
        <v>72</v>
      </c>
      <c r="R38" s="221">
        <f>IF($B$81=0,0,(SUMIF($N$6:$N$28,$U8,K$6:K$28)*$B$83+SUMIF($N$37:$N$64,$U8,B$37:B$64))*Poor!$B$81/$B$81)</f>
        <v>0</v>
      </c>
      <c r="S38" s="221">
        <f>IF($B$81=0,0,(SUMIF($N$6:$N$28,$U38,L$6:L$28)+SUMIF($N$91:$N$118,$U38,L$91:L$118))*$I$83*Poor!$B$81/$B$81)</f>
        <v>0</v>
      </c>
      <c r="T38" s="221">
        <f>IF($B$81=0,0,(SUMIF($N$6:$N$28,$U8,M$6:M$28)+SUMIF($N$91:$N$118,$U8,M$91:M$118))*$I$83*Poor!$B$81/$B$81)</f>
        <v>0</v>
      </c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7">$J38*AF38</f>
        <v>0</v>
      </c>
      <c r="AH38" s="123">
        <f t="shared" ref="AH38:AI58" si="38">SUM(Z38,AB38,AD38,AF38)</f>
        <v>1</v>
      </c>
      <c r="AI38" s="112">
        <f t="shared" si="38"/>
        <v>663.75</v>
      </c>
      <c r="AJ38" s="148">
        <f t="shared" ref="AJ38:AJ64" si="39">(AA38+AC38)</f>
        <v>629.17673779552115</v>
      </c>
      <c r="AK38" s="147">
        <f t="shared" ref="AK38:AK64" si="40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69">
        <f t="shared" si="36"/>
        <v>5</v>
      </c>
      <c r="O39" s="2"/>
      <c r="P39" s="2"/>
      <c r="Q39" s="59" t="s">
        <v>73</v>
      </c>
      <c r="R39" s="221">
        <f>IF($B$81=0,0,(SUMIF($N$6:$N$28,$U9,K$6:K$28)*$B$83+SUMIF($N$37:$N$64,$U9,B$37:B$64))*Poor!$B$81/$B$81)</f>
        <v>119.18500810595445</v>
      </c>
      <c r="S39" s="221">
        <f>IF($B$81=0,0,(SUMIF($N$6:$N$28,$U39,L$6:L$28)+SUMIF($N$91:$N$118,$U39,L$91:L$118))*$I$83*Poor!$B$81/$B$81)</f>
        <v>0</v>
      </c>
      <c r="T39" s="221">
        <f>IF($B$81=0,0,(SUMIF($N$6:$N$28,$U9,M$6:M$28)+SUMIF($N$91:$N$118,$U9,M$91:M$118))*$I$83*Poor!$B$81/$B$81)</f>
        <v>39.331052674964965</v>
      </c>
      <c r="U39" s="56"/>
      <c r="V39" s="56"/>
      <c r="W39" s="115"/>
      <c r="X39" s="118"/>
      <c r="Y39" s="110"/>
      <c r="Z39" s="122">
        <f>Z8</f>
        <v>1</v>
      </c>
      <c r="AA39" s="147">
        <f t="shared" ref="AA39:AA64" si="41">$J39*Z39</f>
        <v>0</v>
      </c>
      <c r="AB39" s="122">
        <f>AB8</f>
        <v>0</v>
      </c>
      <c r="AC39" s="147">
        <f t="shared" ref="AC39:AC64" si="42">$J39*AB39</f>
        <v>0</v>
      </c>
      <c r="AD39" s="122">
        <f>AD8</f>
        <v>0</v>
      </c>
      <c r="AE39" s="147">
        <f t="shared" ref="AE39:AE64" si="43">$J39*AD39</f>
        <v>0</v>
      </c>
      <c r="AF39" s="122">
        <f t="shared" si="29"/>
        <v>0</v>
      </c>
      <c r="AG39" s="147">
        <f t="shared" si="37"/>
        <v>0</v>
      </c>
      <c r="AH39" s="123">
        <f t="shared" si="38"/>
        <v>1</v>
      </c>
      <c r="AI39" s="112">
        <f t="shared" si="38"/>
        <v>0</v>
      </c>
      <c r="AJ39" s="148">
        <f t="shared" si="39"/>
        <v>0</v>
      </c>
      <c r="AK39" s="147">
        <f t="shared" si="40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69">
        <f t="shared" si="36"/>
        <v>5</v>
      </c>
      <c r="O40" s="2"/>
      <c r="P40" s="2"/>
      <c r="Q40" s="59" t="s">
        <v>74</v>
      </c>
      <c r="R40" s="221">
        <f>IF($B$81=0,0,(SUMIF($N$6:$N$28,$U10,K$6:K$28)*$B$83+SUMIF($N$37:$N$64,$U10,B$37:B$64))*Poor!$B$81/$B$81)</f>
        <v>0</v>
      </c>
      <c r="S40" s="221">
        <f>IF($B$81=0,0,(SUMIF($N$6:$N$28,$U40,L$6:L$28)+SUMIF($N$91:$N$118,$U40,L$91:L$118))*$I$83*Poor!$B$81/$B$81)</f>
        <v>0</v>
      </c>
      <c r="T40" s="221">
        <f>IF($B$81=0,0,(SUMIF($N$6:$N$28,$U10,M$6:M$28)+SUMIF($N$91:$N$118,$U10,M$91:M$118))*$I$83*Poor!$B$81/$B$81)</f>
        <v>0</v>
      </c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1"/>
        <v>0</v>
      </c>
      <c r="AB40" s="122">
        <f>AB9</f>
        <v>0</v>
      </c>
      <c r="AC40" s="147">
        <f t="shared" si="42"/>
        <v>0</v>
      </c>
      <c r="AD40" s="122">
        <f>AD9</f>
        <v>0</v>
      </c>
      <c r="AE40" s="147">
        <f t="shared" si="43"/>
        <v>0</v>
      </c>
      <c r="AF40" s="122">
        <f t="shared" si="29"/>
        <v>0</v>
      </c>
      <c r="AG40" s="147">
        <f t="shared" si="37"/>
        <v>0</v>
      </c>
      <c r="AH40" s="123">
        <f t="shared" si="38"/>
        <v>1</v>
      </c>
      <c r="AI40" s="112">
        <f t="shared" si="38"/>
        <v>0</v>
      </c>
      <c r="AJ40" s="148">
        <f t="shared" si="39"/>
        <v>0</v>
      </c>
      <c r="AK40" s="147">
        <f t="shared" si="40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69">
        <f t="shared" si="36"/>
        <v>2</v>
      </c>
      <c r="O41" s="2"/>
      <c r="P41" s="2"/>
      <c r="Q41" s="59" t="s">
        <v>75</v>
      </c>
      <c r="R41" s="221">
        <f>IF($B$81=0,0,(SUMIF($N$6:$N$28,$U11,K$6:K$28)*$B$83+SUMIF($N$37:$N$64,$U11,B$37:B$64))*Poor!$B$81/$B$81)</f>
        <v>1285.7142857142858</v>
      </c>
      <c r="S41" s="221">
        <f>IF($B$81=0,0,(SUMIF($N$6:$N$28,$U41,L$6:L$28)+SUMIF($N$91:$N$118,$U41,L$91:L$118))*$I$83*Poor!$B$81/$B$81)</f>
        <v>0</v>
      </c>
      <c r="T41" s="221">
        <f>IF($B$81=0,0,(SUMIF($N$6:$N$28,$U11,M$6:M$28)+SUMIF($N$91:$N$118,$U11,M$91:M$118))*$I$83*Poor!$B$81/$B$81)</f>
        <v>758.57142857142856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1"/>
        <v>0</v>
      </c>
      <c r="AB41" s="122">
        <f>AB11</f>
        <v>0</v>
      </c>
      <c r="AC41" s="147">
        <f t="shared" si="42"/>
        <v>0</v>
      </c>
      <c r="AD41" s="122">
        <f>AD11</f>
        <v>0</v>
      </c>
      <c r="AE41" s="147">
        <f t="shared" si="43"/>
        <v>0</v>
      </c>
      <c r="AF41" s="122">
        <f t="shared" si="29"/>
        <v>1</v>
      </c>
      <c r="AG41" s="147">
        <f t="shared" si="37"/>
        <v>0</v>
      </c>
      <c r="AH41" s="123">
        <f t="shared" si="38"/>
        <v>1</v>
      </c>
      <c r="AI41" s="112">
        <f t="shared" si="38"/>
        <v>0</v>
      </c>
      <c r="AJ41" s="148">
        <f t="shared" si="39"/>
        <v>0</v>
      </c>
      <c r="AK41" s="147">
        <f t="shared" si="40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69">
        <f t="shared" si="36"/>
        <v>2</v>
      </c>
      <c r="O42" s="2"/>
      <c r="P42" s="176"/>
      <c r="Q42" s="126" t="s">
        <v>124</v>
      </c>
      <c r="R42" s="221">
        <f>IF($B$81=0,0,(SUMIF($N$6:$N$28,$U12,K$6:K$28)*$B$83+SUMIF($N$37:$N$64,$U12,B$37:B$64))*Poor!$B$81/$B$81)</f>
        <v>0</v>
      </c>
      <c r="S42" s="221">
        <f>IF($B$81=0,0,(SUMIF($N$6:$N$28,$U42,L$6:L$28)+SUMIF($N$91:$N$118,$U42,L$91:L$118))*$I$83*Poor!$B$81/$B$81)</f>
        <v>0</v>
      </c>
      <c r="T42" s="221">
        <f>IF($B$81=0,0,(SUMIF($N$6:$N$28,$U12,M$6:M$28)+SUMIF($N$91:$N$118,$U12,M$91:M$118))*$I$83*Poor!$B$81/$B$81)</f>
        <v>0</v>
      </c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1"/>
        <v>0</v>
      </c>
      <c r="AB42" s="156">
        <f>Poor!AB42</f>
        <v>0</v>
      </c>
      <c r="AC42" s="147">
        <f t="shared" si="42"/>
        <v>0</v>
      </c>
      <c r="AD42" s="156">
        <f>Poor!AD42</f>
        <v>0.5</v>
      </c>
      <c r="AE42" s="147">
        <f t="shared" si="43"/>
        <v>0</v>
      </c>
      <c r="AF42" s="122">
        <f t="shared" si="29"/>
        <v>0.25</v>
      </c>
      <c r="AG42" s="147">
        <f t="shared" si="37"/>
        <v>0</v>
      </c>
      <c r="AH42" s="123">
        <f t="shared" si="38"/>
        <v>1</v>
      </c>
      <c r="AI42" s="112">
        <f t="shared" si="38"/>
        <v>0</v>
      </c>
      <c r="AJ42" s="148">
        <f t="shared" si="39"/>
        <v>0</v>
      </c>
      <c r="AK42" s="147">
        <f t="shared" si="40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69">
        <f t="shared" si="36"/>
        <v>2</v>
      </c>
      <c r="O43" s="2"/>
      <c r="P43" s="176"/>
      <c r="Q43" s="59" t="s">
        <v>76</v>
      </c>
      <c r="R43" s="221">
        <f>IF($B$81=0,0,(SUMIF($N$6:$N$28,$U13,K$6:K$28)*$B$83+SUMIF($N$37:$N$64,$U13,B$37:B$64))*Poor!$B$81/$B$81)</f>
        <v>7428.5714285714284</v>
      </c>
      <c r="S43" s="221">
        <f>IF($B$81=0,0,(SUMIF($N$6:$N$28,$U43,L$6:L$28)+SUMIF($N$91:$N$118,$U43,L$91:L$118))*$I$83*Poor!$B$81/$B$81)</f>
        <v>0</v>
      </c>
      <c r="T43" s="221">
        <f>IF($B$81=0,0,(SUMIF($N$6:$N$28,$U13,M$6:M$28)+SUMIF($N$91:$N$118,$U13,M$91:M$118))*$I$83*Poor!$B$81/$B$81)</f>
        <v>4122.8571428571431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41"/>
        <v>0</v>
      </c>
      <c r="AB43" s="156">
        <f>Poor!AB43</f>
        <v>0.25</v>
      </c>
      <c r="AC43" s="147">
        <f t="shared" si="42"/>
        <v>0</v>
      </c>
      <c r="AD43" s="156">
        <f>Poor!AD43</f>
        <v>0.25</v>
      </c>
      <c r="AE43" s="147">
        <f t="shared" si="43"/>
        <v>0</v>
      </c>
      <c r="AF43" s="122">
        <f t="shared" si="29"/>
        <v>0.25</v>
      </c>
      <c r="AG43" s="147">
        <f t="shared" si="37"/>
        <v>0</v>
      </c>
      <c r="AH43" s="123">
        <f t="shared" si="38"/>
        <v>1</v>
      </c>
      <c r="AI43" s="112">
        <f t="shared" si="38"/>
        <v>0</v>
      </c>
      <c r="AJ43" s="148">
        <f t="shared" si="39"/>
        <v>0</v>
      </c>
      <c r="AK43" s="147">
        <f t="shared" si="40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69">
        <f t="shared" si="36"/>
        <v>7</v>
      </c>
      <c r="O44" s="2"/>
      <c r="P44" s="2"/>
      <c r="Q44" s="126" t="s">
        <v>77</v>
      </c>
      <c r="R44" s="221">
        <f>IF($B$81=0,0,(SUMIF($N$6:$N$28,$U14,K$6:K$28)*$B$83+SUMIF($N$37:$N$64,$U14,B$37:B$64))*Poor!$B$81/$B$81)</f>
        <v>0</v>
      </c>
      <c r="S44" s="221">
        <f>IF($B$81=0,0,(SUMIF($N$6:$N$28,$U44,L$6:L$28)+SUMIF($N$91:$N$118,$U44,L$91:L$118))*$I$83*Poor!$B$81/$B$81)</f>
        <v>0</v>
      </c>
      <c r="T44" s="221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41"/>
        <v>105.45000000000002</v>
      </c>
      <c r="AB44" s="156">
        <f>Poor!AB44</f>
        <v>0.25</v>
      </c>
      <c r="AC44" s="147">
        <f t="shared" si="42"/>
        <v>105.45000000000002</v>
      </c>
      <c r="AD44" s="156">
        <f>Poor!AD44</f>
        <v>0.25</v>
      </c>
      <c r="AE44" s="147">
        <f t="shared" si="43"/>
        <v>105.45000000000002</v>
      </c>
      <c r="AF44" s="122">
        <f t="shared" si="29"/>
        <v>0.25</v>
      </c>
      <c r="AG44" s="147">
        <f t="shared" si="37"/>
        <v>105.45000000000002</v>
      </c>
      <c r="AH44" s="123">
        <f t="shared" si="38"/>
        <v>1</v>
      </c>
      <c r="AI44" s="112">
        <f t="shared" si="38"/>
        <v>421.80000000000007</v>
      </c>
      <c r="AJ44" s="148">
        <f t="shared" si="39"/>
        <v>210.90000000000003</v>
      </c>
      <c r="AK44" s="147">
        <f t="shared" si="40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69">
        <f t="shared" si="36"/>
        <v>7</v>
      </c>
      <c r="O45" s="2"/>
      <c r="P45" s="2"/>
      <c r="Q45" s="59" t="s">
        <v>127</v>
      </c>
      <c r="R45" s="221">
        <f>IF($B$81=0,0,(SUMIF($N$6:$N$28,$U15,K$6:K$28)*$B$83+SUMIF($N$37:$N$64,$U15,B$37:B$64))*Poor!$B$81/$B$81)</f>
        <v>0</v>
      </c>
      <c r="S45" s="221">
        <f>IF($B$81=0,0,(SUMIF($N$6:$N$28,$U45,L$6:L$28)+SUMIF($N$91:$N$118,$U45,L$91:L$118))*$I$83*Poor!$B$81/$B$81)</f>
        <v>0</v>
      </c>
      <c r="T45" s="221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41"/>
        <v>130.42500000000001</v>
      </c>
      <c r="AB45" s="156">
        <f>Poor!AB45</f>
        <v>0.25</v>
      </c>
      <c r="AC45" s="147">
        <f t="shared" si="42"/>
        <v>130.42500000000001</v>
      </c>
      <c r="AD45" s="156">
        <f>Poor!AD45</f>
        <v>0.25</v>
      </c>
      <c r="AE45" s="147">
        <f t="shared" si="43"/>
        <v>130.42500000000001</v>
      </c>
      <c r="AF45" s="122">
        <f t="shared" si="29"/>
        <v>0.25</v>
      </c>
      <c r="AG45" s="147">
        <f t="shared" si="37"/>
        <v>130.42500000000001</v>
      </c>
      <c r="AH45" s="123">
        <f t="shared" si="38"/>
        <v>1</v>
      </c>
      <c r="AI45" s="112">
        <f t="shared" si="38"/>
        <v>521.70000000000005</v>
      </c>
      <c r="AJ45" s="148">
        <f t="shared" si="39"/>
        <v>260.85000000000002</v>
      </c>
      <c r="AK45" s="147">
        <f t="shared" si="40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69">
        <f t="shared" si="36"/>
        <v>7</v>
      </c>
      <c r="O46" s="2"/>
      <c r="P46" s="2"/>
      <c r="Q46" s="126" t="s">
        <v>78</v>
      </c>
      <c r="R46" s="221">
        <f>IF($B$81=0,0,(SUMIF($N$6:$N$28,$U16,K$6:K$28)*$B$83+SUMIF($N$37:$N$64,$U16,B$37:B$64))*Poor!$B$81/$B$81)</f>
        <v>0</v>
      </c>
      <c r="S46" s="221">
        <f>IF($B$81=0,0,(SUMIF($N$6:$N$28,$U46,L$6:L$28)+SUMIF($N$91:$N$118,$U46,L$91:L$118))*$I$83*Poor!$B$81/$B$81)</f>
        <v>0</v>
      </c>
      <c r="T46" s="221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41"/>
        <v>666.00000000000011</v>
      </c>
      <c r="AB46" s="156">
        <f>Poor!AB46</f>
        <v>0.25</v>
      </c>
      <c r="AC46" s="147">
        <f t="shared" si="42"/>
        <v>666.00000000000011</v>
      </c>
      <c r="AD46" s="156">
        <f>Poor!AD46</f>
        <v>0.25</v>
      </c>
      <c r="AE46" s="147">
        <f t="shared" si="43"/>
        <v>666.00000000000011</v>
      </c>
      <c r="AF46" s="122">
        <f t="shared" si="29"/>
        <v>0.25</v>
      </c>
      <c r="AG46" s="147">
        <f t="shared" si="37"/>
        <v>666.00000000000011</v>
      </c>
      <c r="AH46" s="123">
        <f t="shared" si="38"/>
        <v>1</v>
      </c>
      <c r="AI46" s="112">
        <f t="shared" si="38"/>
        <v>2664.0000000000005</v>
      </c>
      <c r="AJ46" s="148">
        <f t="shared" si="39"/>
        <v>1332.0000000000002</v>
      </c>
      <c r="AK46" s="147">
        <f t="shared" si="40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69">
        <f t="shared" si="36"/>
        <v>8</v>
      </c>
      <c r="O47" s="2"/>
      <c r="P47" s="2"/>
      <c r="Q47" s="126" t="s">
        <v>125</v>
      </c>
      <c r="R47" s="221">
        <f>IF($B$81=0,0,(SUMIF($N$6:$N$28,$U17,K$6:K$28)*$B$83+SUMIF($N$37:$N$64,$U17,B$37:B$64))*Poor!$B$81/$B$81)</f>
        <v>0</v>
      </c>
      <c r="S47" s="221">
        <f>IF($B$81=0,0,(SUMIF($N$6:$N$28,$U47,L$6:L$28)+SUMIF($N$91:$N$118,$U47,L$91:L$118))*$I$83*Poor!$B$81/$B$81)</f>
        <v>0</v>
      </c>
      <c r="T47" s="221">
        <f>IF($B$81=0,0,(SUMIF($N$6:$N$28,$U17,M$6:M$28)+SUMIF($N$91:$N$118,$U17,M$91:M$118))*$I$83*Poor!$B$81/$B$81)</f>
        <v>0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41"/>
        <v>0</v>
      </c>
      <c r="AB47" s="156">
        <f>Poor!AB47</f>
        <v>0.25</v>
      </c>
      <c r="AC47" s="147">
        <f t="shared" si="42"/>
        <v>0</v>
      </c>
      <c r="AD47" s="156">
        <f>Poor!AD47</f>
        <v>0.25</v>
      </c>
      <c r="AE47" s="147">
        <f t="shared" si="43"/>
        <v>0</v>
      </c>
      <c r="AF47" s="122">
        <f t="shared" si="29"/>
        <v>0.25</v>
      </c>
      <c r="AG47" s="147">
        <f t="shared" si="37"/>
        <v>0</v>
      </c>
      <c r="AH47" s="123">
        <f t="shared" si="38"/>
        <v>1</v>
      </c>
      <c r="AI47" s="112">
        <f t="shared" si="38"/>
        <v>0</v>
      </c>
      <c r="AJ47" s="148">
        <f t="shared" si="39"/>
        <v>0</v>
      </c>
      <c r="AK47" s="147">
        <f t="shared" si="40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69">
        <f t="shared" si="36"/>
        <v>11</v>
      </c>
      <c r="O48" s="2"/>
      <c r="P48" s="2"/>
      <c r="Q48" s="59" t="s">
        <v>79</v>
      </c>
      <c r="R48" s="221">
        <f>IF($B$81=0,0,(SUMIF($N$6:$N$28,$U18,K$6:K$28)*$B$83+SUMIF($N$37:$N$64,$U18,B$37:B$64))*Poor!$B$81/$B$81)</f>
        <v>1401.3106912413493</v>
      </c>
      <c r="S48" s="221">
        <f>IF($B$81=0,0,(SUMIF($N$6:$N$28,$U48,L$6:L$28)+SUMIF($N$91:$N$118,$U48,L$91:L$118))*$I$83*Poor!$B$81/$B$81)</f>
        <v>0</v>
      </c>
      <c r="T48" s="221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41"/>
        <v>0</v>
      </c>
      <c r="AB48" s="156">
        <f>Poor!AB48</f>
        <v>0.25</v>
      </c>
      <c r="AC48" s="147">
        <f t="shared" si="42"/>
        <v>0</v>
      </c>
      <c r="AD48" s="156">
        <f>Poor!AD48</f>
        <v>0.25</v>
      </c>
      <c r="AE48" s="147">
        <f t="shared" si="43"/>
        <v>0</v>
      </c>
      <c r="AF48" s="122">
        <f t="shared" si="29"/>
        <v>0.25</v>
      </c>
      <c r="AG48" s="147">
        <f t="shared" si="37"/>
        <v>0</v>
      </c>
      <c r="AH48" s="123">
        <f t="shared" si="38"/>
        <v>1</v>
      </c>
      <c r="AI48" s="112">
        <f t="shared" si="38"/>
        <v>0</v>
      </c>
      <c r="AJ48" s="148">
        <f t="shared" si="39"/>
        <v>0</v>
      </c>
      <c r="AK48" s="147">
        <f t="shared" si="40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69">
        <f t="shared" si="36"/>
        <v>14</v>
      </c>
      <c r="O49" s="2"/>
      <c r="P49" s="2"/>
      <c r="Q49" s="59" t="s">
        <v>80</v>
      </c>
      <c r="R49" s="221">
        <f>IF($B$81=0,0,(SUMIF($N$6:$N$28,$U19,K$6:K$28)*$B$83+SUMIF($N$37:$N$64,$U19,B$37:B$64))*Poor!$B$81/$B$81)</f>
        <v>0</v>
      </c>
      <c r="S49" s="221">
        <f>IF($B$81=0,0,(SUMIF($N$6:$N$28,$U49,L$6:L$28)+SUMIF($N$91:$N$118,$U49,L$91:L$118))*$I$83*Poor!$B$81/$B$81)</f>
        <v>0</v>
      </c>
      <c r="T49" s="221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41"/>
        <v>5964.9000000000005</v>
      </c>
      <c r="AB49" s="156">
        <f>Poor!AB49</f>
        <v>0.25</v>
      </c>
      <c r="AC49" s="147">
        <f t="shared" si="42"/>
        <v>5964.9000000000005</v>
      </c>
      <c r="AD49" s="156">
        <f>Poor!AD49</f>
        <v>0.25</v>
      </c>
      <c r="AE49" s="147">
        <f t="shared" si="43"/>
        <v>5964.9000000000005</v>
      </c>
      <c r="AF49" s="122">
        <f t="shared" si="29"/>
        <v>0.25</v>
      </c>
      <c r="AG49" s="147">
        <f t="shared" si="37"/>
        <v>5964.9000000000005</v>
      </c>
      <c r="AH49" s="123">
        <f t="shared" si="38"/>
        <v>1</v>
      </c>
      <c r="AI49" s="112">
        <f t="shared" si="38"/>
        <v>23859.600000000002</v>
      </c>
      <c r="AJ49" s="148">
        <f t="shared" si="39"/>
        <v>11929.800000000001</v>
      </c>
      <c r="AK49" s="147">
        <f t="shared" si="40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69">
        <f t="shared" si="36"/>
        <v>9</v>
      </c>
      <c r="O50" s="2"/>
      <c r="P50" s="2"/>
      <c r="Q50" s="59" t="s">
        <v>81</v>
      </c>
      <c r="R50" s="221">
        <f>IF($B$81=0,0,(SUMIF($N$6:$N$28,$U20,K$6:K$28)*$B$83+SUMIF($N$37:$N$64,$U20,B$37:B$64))*Poor!$B$81/$B$81)</f>
        <v>23108.571428571428</v>
      </c>
      <c r="S50" s="221">
        <f>IF($B$81=0,0,(SUMIF($N$6:$N$28,$U50,L$6:L$28)+SUMIF($N$91:$N$118,$U50,L$91:L$118))*$I$83*Poor!$B$81/$B$81)</f>
        <v>0</v>
      </c>
      <c r="T50" s="221">
        <f>IF($B$81=0,0,(SUMIF($N$6:$N$28,$U20,M$6:M$28)+SUMIF($N$91:$N$118,$U20,M$91:M$118))*$I$83*Poor!$B$81/$B$81)</f>
        <v>27268.114285714288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41"/>
        <v>0</v>
      </c>
      <c r="AB50" s="156">
        <f>Poor!AB55</f>
        <v>0.25</v>
      </c>
      <c r="AC50" s="147">
        <f t="shared" si="42"/>
        <v>0</v>
      </c>
      <c r="AD50" s="156">
        <f>Poor!AD55</f>
        <v>0.25</v>
      </c>
      <c r="AE50" s="147">
        <f t="shared" si="43"/>
        <v>0</v>
      </c>
      <c r="AF50" s="122">
        <f t="shared" si="29"/>
        <v>0.25</v>
      </c>
      <c r="AG50" s="147">
        <f t="shared" si="37"/>
        <v>0</v>
      </c>
      <c r="AH50" s="123">
        <f t="shared" si="38"/>
        <v>1</v>
      </c>
      <c r="AI50" s="112">
        <f t="shared" si="38"/>
        <v>0</v>
      </c>
      <c r="AJ50" s="148">
        <f t="shared" si="39"/>
        <v>0</v>
      </c>
      <c r="AK50" s="147">
        <f t="shared" si="40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69">
        <f t="shared" si="36"/>
        <v>15</v>
      </c>
      <c r="O51" s="2"/>
      <c r="P51" s="2"/>
      <c r="Q51" s="59" t="s">
        <v>82</v>
      </c>
      <c r="R51" s="221">
        <f>IF($B$81=0,0,(SUMIF($N$6:$N$28,$U21,K$6:K$28)*$B$83+SUMIF($N$37:$N$64,$U21,B$37:B$64))*Poor!$B$81/$B$81)</f>
        <v>0</v>
      </c>
      <c r="S51" s="221">
        <f>IF($B$81=0,0,(SUMIF($N$6:$N$28,$U51,L$6:L$28)+SUMIF($N$91:$N$118,$U51,L$91:L$118))*$I$83*Poor!$B$81/$B$81)</f>
        <v>0</v>
      </c>
      <c r="T51" s="221">
        <f>IF($B$81=0,0,(SUMIF($N$6:$N$28,$U21,M$6:M$28)+SUMIF($N$91:$N$118,$U21,M$91:M$118))*$I$83*Poor!$B$81/$B$81)</f>
        <v>0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41"/>
        <v>0</v>
      </c>
      <c r="AB51" s="156">
        <f>Poor!AB56</f>
        <v>0.25</v>
      </c>
      <c r="AC51" s="147">
        <f t="shared" si="42"/>
        <v>0</v>
      </c>
      <c r="AD51" s="156">
        <f>Poor!AD56</f>
        <v>0.25</v>
      </c>
      <c r="AE51" s="147">
        <f t="shared" si="43"/>
        <v>0</v>
      </c>
      <c r="AF51" s="122">
        <f t="shared" si="29"/>
        <v>0.25</v>
      </c>
      <c r="AG51" s="147">
        <f t="shared" si="37"/>
        <v>0</v>
      </c>
      <c r="AH51" s="123">
        <f t="shared" si="38"/>
        <v>1</v>
      </c>
      <c r="AI51" s="112">
        <f t="shared" si="38"/>
        <v>0</v>
      </c>
      <c r="AJ51" s="148">
        <f t="shared" si="39"/>
        <v>0</v>
      </c>
      <c r="AK51" s="147">
        <f t="shared" si="40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69">
        <f t="shared" si="36"/>
        <v>15</v>
      </c>
      <c r="O52" s="2"/>
      <c r="P52" s="2"/>
      <c r="Q52" s="59" t="s">
        <v>83</v>
      </c>
      <c r="R52" s="221">
        <f>IF($B$81=0,0,(SUMIF($N$6:$N$28,$U22,K$6:K$28)*$B$83+SUMIF($N$37:$N$64,$U22,B$37:B$64))*Poor!$B$81/$B$81)</f>
        <v>0</v>
      </c>
      <c r="S52" s="221">
        <f>IF($B$81=0,0,(SUMIF($N$6:$N$28,$U52,L$6:L$28)+SUMIF($N$91:$N$118,$U52,L$91:L$118))*$I$83*Poor!$B$81/$B$81)</f>
        <v>0</v>
      </c>
      <c r="T52" s="221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41"/>
        <v>0</v>
      </c>
      <c r="AB52" s="156">
        <f>Poor!AB57</f>
        <v>0.25</v>
      </c>
      <c r="AC52" s="147">
        <f t="shared" si="42"/>
        <v>0</v>
      </c>
      <c r="AD52" s="156">
        <f>Poor!AD57</f>
        <v>0.25</v>
      </c>
      <c r="AE52" s="147">
        <f t="shared" si="43"/>
        <v>0</v>
      </c>
      <c r="AF52" s="122">
        <f t="shared" si="29"/>
        <v>0.25</v>
      </c>
      <c r="AG52" s="147">
        <f t="shared" si="37"/>
        <v>0</v>
      </c>
      <c r="AH52" s="123">
        <f t="shared" si="38"/>
        <v>1</v>
      </c>
      <c r="AI52" s="112">
        <f t="shared" si="38"/>
        <v>0</v>
      </c>
      <c r="AJ52" s="148">
        <f t="shared" si="39"/>
        <v>0</v>
      </c>
      <c r="AK52" s="147">
        <f t="shared" si="40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100</v>
      </c>
      <c r="R53" s="179">
        <f>SUM(R37:R52)</f>
        <v>34327.607298110612</v>
      </c>
      <c r="S53" s="179">
        <f>SUM(S37:S52)</f>
        <v>0</v>
      </c>
      <c r="T53" s="179">
        <f>SUM(T37:T52)</f>
        <v>34915.113872928079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24062.646384067204</v>
      </c>
      <c r="S54" s="41">
        <f>IF($B$81=0,0,(SUM(($B$70*$H$70))+((1-$D$29)*$I$83))*Poor!$B$81/$B$81)</f>
        <v>35969.406972062061</v>
      </c>
      <c r="T54" s="41">
        <f>IF($B$81=0,0,(SUM(($B$70*$H$70))+((1-$D$29)*$I$83))*Poor!$B$81/$B$81)</f>
        <v>35969.406972062061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42445.473050733868</v>
      </c>
      <c r="S55" s="41">
        <f>IF($B$81=0,0,(SUM(($B$70*$H$70),($B$71*$H$71))+((1-$D$29)*$I$83))*Poor!$B$81/$B$81)</f>
        <v>54352.233638728721</v>
      </c>
      <c r="T55" s="41">
        <f>IF($B$81=0,0,(SUM(($B$70*$H$70),($B$71*$H$71))+((1-$D$29)*$I$83))*Poor!$B$81/$B$81)</f>
        <v>54352.233638728721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75183.393050733866</v>
      </c>
      <c r="S56" s="41">
        <f>IF($B$81=0,0,(SUM(($B$70*$H$70),($B$71*$H$71),($B$72*$H$72))+((1-$D$29)*$I$83))*Poor!$B$81/$B$81)</f>
        <v>87090.153638728734</v>
      </c>
      <c r="T56" s="41">
        <f>IF($B$81=0,0,(SUM(($B$70*$H$70),($B$71*$H$71),($B$72*$H$72))+((1-$D$29)*$I$83))*Poor!$B$81/$B$81)</f>
        <v>87090.153638728734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1"/>
        <v>0</v>
      </c>
      <c r="AB58" s="156">
        <f>Poor!AB58</f>
        <v>0.25</v>
      </c>
      <c r="AC58" s="147">
        <f t="shared" si="42"/>
        <v>0</v>
      </c>
      <c r="AD58" s="156">
        <f>Poor!AD58</f>
        <v>0.25</v>
      </c>
      <c r="AE58" s="147">
        <f t="shared" si="43"/>
        <v>0</v>
      </c>
      <c r="AF58" s="122">
        <f t="shared" si="29"/>
        <v>0.25</v>
      </c>
      <c r="AG58" s="147">
        <f t="shared" si="37"/>
        <v>0</v>
      </c>
      <c r="AH58" s="123">
        <f t="shared" si="38"/>
        <v>1</v>
      </c>
      <c r="AI58" s="112">
        <f t="shared" si="38"/>
        <v>0</v>
      </c>
      <c r="AJ58" s="148">
        <f t="shared" si="39"/>
        <v>0</v>
      </c>
      <c r="AK58" s="147">
        <f t="shared" si="40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1"/>
        <v>0</v>
      </c>
      <c r="AB59" s="156">
        <f>Poor!AB59</f>
        <v>0.25</v>
      </c>
      <c r="AC59" s="147">
        <f t="shared" si="42"/>
        <v>0</v>
      </c>
      <c r="AD59" s="156">
        <f>Poor!AD59</f>
        <v>0.25</v>
      </c>
      <c r="AE59" s="147">
        <f t="shared" si="43"/>
        <v>0</v>
      </c>
      <c r="AF59" s="122">
        <f t="shared" si="29"/>
        <v>0.25</v>
      </c>
      <c r="AG59" s="147">
        <f t="shared" si="37"/>
        <v>0</v>
      </c>
      <c r="AH59" s="123">
        <f t="shared" ref="AH59:AI64" si="44">SUM(Z59,AB59,AD59,AF59)</f>
        <v>1</v>
      </c>
      <c r="AI59" s="112">
        <f t="shared" si="44"/>
        <v>0</v>
      </c>
      <c r="AJ59" s="148">
        <f t="shared" si="39"/>
        <v>0</v>
      </c>
      <c r="AK59" s="147">
        <f t="shared" si="40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1"/>
        <v>0</v>
      </c>
      <c r="AB60" s="156">
        <f>Poor!AB60</f>
        <v>0.25</v>
      </c>
      <c r="AC60" s="147">
        <f t="shared" si="42"/>
        <v>0</v>
      </c>
      <c r="AD60" s="156">
        <f>Poor!AD60</f>
        <v>0.25</v>
      </c>
      <c r="AE60" s="147">
        <f t="shared" si="43"/>
        <v>0</v>
      </c>
      <c r="AF60" s="122">
        <f t="shared" si="29"/>
        <v>0.25</v>
      </c>
      <c r="AG60" s="147">
        <f t="shared" si="37"/>
        <v>0</v>
      </c>
      <c r="AH60" s="123">
        <f t="shared" si="44"/>
        <v>1</v>
      </c>
      <c r="AI60" s="112">
        <f t="shared" si="44"/>
        <v>0</v>
      </c>
      <c r="AJ60" s="148">
        <f t="shared" si="39"/>
        <v>0</v>
      </c>
      <c r="AK60" s="147">
        <f t="shared" si="40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1"/>
        <v>0</v>
      </c>
      <c r="AB61" s="156">
        <f>Poor!AB61</f>
        <v>0.25</v>
      </c>
      <c r="AC61" s="147">
        <f t="shared" si="42"/>
        <v>0</v>
      </c>
      <c r="AD61" s="156">
        <f>Poor!AD61</f>
        <v>0.25</v>
      </c>
      <c r="AE61" s="147">
        <f t="shared" si="43"/>
        <v>0</v>
      </c>
      <c r="AF61" s="122">
        <f t="shared" si="29"/>
        <v>0.25</v>
      </c>
      <c r="AG61" s="147">
        <f t="shared" si="37"/>
        <v>0</v>
      </c>
      <c r="AH61" s="123">
        <f t="shared" si="44"/>
        <v>1</v>
      </c>
      <c r="AI61" s="112">
        <f t="shared" si="44"/>
        <v>0</v>
      </c>
      <c r="AJ61" s="148">
        <f t="shared" si="39"/>
        <v>0</v>
      </c>
      <c r="AK61" s="147">
        <f t="shared" si="40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1"/>
        <v>0</v>
      </c>
      <c r="AB62" s="156">
        <f>Poor!AB62</f>
        <v>0.25</v>
      </c>
      <c r="AC62" s="147">
        <f t="shared" si="42"/>
        <v>0</v>
      </c>
      <c r="AD62" s="156">
        <f>Poor!AD62</f>
        <v>0.25</v>
      </c>
      <c r="AE62" s="147">
        <f t="shared" si="43"/>
        <v>0</v>
      </c>
      <c r="AF62" s="122">
        <f t="shared" si="29"/>
        <v>0.25</v>
      </c>
      <c r="AG62" s="147">
        <f t="shared" si="37"/>
        <v>0</v>
      </c>
      <c r="AH62" s="123">
        <f t="shared" si="44"/>
        <v>1</v>
      </c>
      <c r="AI62" s="112">
        <f t="shared" si="44"/>
        <v>0</v>
      </c>
      <c r="AJ62" s="148">
        <f t="shared" si="39"/>
        <v>0</v>
      </c>
      <c r="AK62" s="147">
        <f t="shared" si="40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1"/>
        <v>0</v>
      </c>
      <c r="AB63" s="156">
        <f>Poor!AB63</f>
        <v>0.25</v>
      </c>
      <c r="AC63" s="147">
        <f t="shared" si="42"/>
        <v>0</v>
      </c>
      <c r="AD63" s="156">
        <f>Poor!AD63</f>
        <v>0.25</v>
      </c>
      <c r="AE63" s="147">
        <f t="shared" si="43"/>
        <v>0</v>
      </c>
      <c r="AF63" s="122">
        <f t="shared" si="29"/>
        <v>0.25</v>
      </c>
      <c r="AG63" s="147">
        <f t="shared" si="37"/>
        <v>0</v>
      </c>
      <c r="AH63" s="123">
        <f t="shared" si="44"/>
        <v>1</v>
      </c>
      <c r="AI63" s="112">
        <f t="shared" si="44"/>
        <v>0</v>
      </c>
      <c r="AJ63" s="148">
        <f t="shared" si="39"/>
        <v>0</v>
      </c>
      <c r="AK63" s="147">
        <f t="shared" si="40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1"/>
        <v>0</v>
      </c>
      <c r="AB64" s="156">
        <f>Poor!AB64</f>
        <v>0.25</v>
      </c>
      <c r="AC64" s="149">
        <f t="shared" si="42"/>
        <v>0</v>
      </c>
      <c r="AD64" s="156">
        <f>Poor!AD64</f>
        <v>0.25</v>
      </c>
      <c r="AE64" s="149">
        <f t="shared" si="43"/>
        <v>0</v>
      </c>
      <c r="AF64" s="150">
        <f t="shared" si="29"/>
        <v>0.25</v>
      </c>
      <c r="AG64" s="149">
        <f t="shared" si="37"/>
        <v>0</v>
      </c>
      <c r="AH64" s="123">
        <f t="shared" si="44"/>
        <v>1</v>
      </c>
      <c r="AI64" s="112">
        <f t="shared" si="44"/>
        <v>0</v>
      </c>
      <c r="AJ64" s="151">
        <f t="shared" si="39"/>
        <v>0</v>
      </c>
      <c r="AK64" s="149">
        <f t="shared" si="40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5">J124*I$83</f>
        <v>18296.40185207926</v>
      </c>
      <c r="K70" s="40">
        <f>B70/B$76</f>
        <v>0.46934309447911304</v>
      </c>
      <c r="L70" s="22">
        <f t="shared" ref="L70:L74" si="46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7">(E71*F71)</f>
        <v>1.18</v>
      </c>
      <c r="I71" s="39">
        <f>I125*I$83</f>
        <v>9834.4481479207407</v>
      </c>
      <c r="J71" s="51">
        <f t="shared" si="45"/>
        <v>9834.4481479207407</v>
      </c>
      <c r="K71" s="40">
        <f t="shared" ref="K71:K72" si="48">B71/B$76</f>
        <v>0.48954330520141259</v>
      </c>
      <c r="L71" s="22">
        <f t="shared" si="46"/>
        <v>0.35318542459762031</v>
      </c>
      <c r="M71" s="24">
        <f t="shared" ref="M71:M72" si="49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7"/>
        <v>1.18</v>
      </c>
      <c r="I72" s="39">
        <f>I126*I$83</f>
        <v>0</v>
      </c>
      <c r="J72" s="51">
        <f t="shared" si="45"/>
        <v>0</v>
      </c>
      <c r="K72" s="40">
        <f t="shared" si="48"/>
        <v>0.87182618064284434</v>
      </c>
      <c r="L72" s="22">
        <f t="shared" si="46"/>
        <v>0</v>
      </c>
      <c r="M72" s="24">
        <f t="shared" si="49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5"/>
        <v>0</v>
      </c>
      <c r="K73" s="40">
        <f>B73/B$76</f>
        <v>0.14627401687915245</v>
      </c>
      <c r="L73" s="22">
        <f t="shared" si="46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5"/>
        <v>9834.4481479207407</v>
      </c>
      <c r="K74" s="40">
        <f>B74/B$76</f>
        <v>0.2550027973234395</v>
      </c>
      <c r="L74" s="22">
        <f t="shared" si="46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5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5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5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1">IF(A37="","",A37)</f>
        <v>Cattle sales - local: no. sold</v>
      </c>
      <c r="B91" s="75">
        <f t="shared" ref="B91:C118" si="52">(B37/$B$83)</f>
        <v>0</v>
      </c>
      <c r="C91" s="75">
        <f t="shared" si="52"/>
        <v>0</v>
      </c>
      <c r="D91" s="24">
        <f t="shared" ref="D91:D106" si="53">(B91+C91)</f>
        <v>0</v>
      </c>
      <c r="H91" s="24">
        <f t="shared" ref="H91:H106" si="54">(E37*F37/G37*F$7/F$9)</f>
        <v>0.3575757575757576</v>
      </c>
      <c r="I91" s="22">
        <f t="shared" ref="I91:I106" si="55">(D91*H91)</f>
        <v>0</v>
      </c>
      <c r="J91" s="24">
        <f t="shared" ref="J91:J99" si="56">IF(I$32&lt;=1+I$131,I91,L91+J$33*(I91-L91))</f>
        <v>0</v>
      </c>
      <c r="K91" s="22">
        <f t="shared" ref="K91:K106" si="57">(B91)</f>
        <v>0</v>
      </c>
      <c r="L91" s="22">
        <f t="shared" ref="L91:L106" si="58">(K91*H91)</f>
        <v>0</v>
      </c>
      <c r="M91" s="226">
        <f t="shared" si="50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1"/>
        <v>Goat sales - local: no. sold</v>
      </c>
      <c r="B92" s="75">
        <f t="shared" si="52"/>
        <v>0.1092271866949126</v>
      </c>
      <c r="C92" s="75">
        <f t="shared" si="52"/>
        <v>0</v>
      </c>
      <c r="D92" s="24">
        <f t="shared" si="53"/>
        <v>0.1092271866949126</v>
      </c>
      <c r="H92" s="24">
        <f t="shared" si="54"/>
        <v>0.3575757575757576</v>
      </c>
      <c r="I92" s="22">
        <f t="shared" si="55"/>
        <v>3.9056994030302085E-2</v>
      </c>
      <c r="J92" s="24">
        <f t="shared" si="56"/>
        <v>3.9056994030302085E-2</v>
      </c>
      <c r="K92" s="22">
        <f t="shared" si="57"/>
        <v>0.1092271866949126</v>
      </c>
      <c r="L92" s="22">
        <f t="shared" si="58"/>
        <v>3.9056994030302085E-2</v>
      </c>
      <c r="M92" s="226">
        <f t="shared" si="50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1"/>
        <v>Sheep sales - local: no. sold</v>
      </c>
      <c r="B93" s="75">
        <f t="shared" si="52"/>
        <v>0</v>
      </c>
      <c r="C93" s="75">
        <f t="shared" si="52"/>
        <v>0</v>
      </c>
      <c r="D93" s="24">
        <f t="shared" si="53"/>
        <v>0</v>
      </c>
      <c r="H93" s="24">
        <f t="shared" si="54"/>
        <v>0.3575757575757576</v>
      </c>
      <c r="I93" s="22">
        <f t="shared" si="55"/>
        <v>0</v>
      </c>
      <c r="J93" s="24">
        <f t="shared" si="56"/>
        <v>0</v>
      </c>
      <c r="K93" s="22">
        <f t="shared" si="57"/>
        <v>0</v>
      </c>
      <c r="L93" s="22">
        <f t="shared" si="58"/>
        <v>0</v>
      </c>
      <c r="M93" s="226">
        <f t="shared" si="50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1"/>
        <v>Chicken sales: no. sold</v>
      </c>
      <c r="B94" s="75">
        <f t="shared" si="52"/>
        <v>0</v>
      </c>
      <c r="C94" s="75">
        <f t="shared" si="52"/>
        <v>0</v>
      </c>
      <c r="D94" s="24">
        <f t="shared" si="53"/>
        <v>0</v>
      </c>
      <c r="H94" s="24">
        <f t="shared" si="54"/>
        <v>0.7151515151515152</v>
      </c>
      <c r="I94" s="22">
        <f t="shared" si="55"/>
        <v>0</v>
      </c>
      <c r="J94" s="24">
        <f t="shared" si="56"/>
        <v>0</v>
      </c>
      <c r="K94" s="22">
        <f t="shared" si="57"/>
        <v>0</v>
      </c>
      <c r="L94" s="22">
        <f t="shared" si="58"/>
        <v>0</v>
      </c>
      <c r="M94" s="227">
        <f t="shared" si="50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1"/>
        <v>Maize: kg produced</v>
      </c>
      <c r="B95" s="75">
        <f t="shared" si="52"/>
        <v>0</v>
      </c>
      <c r="C95" s="75">
        <f t="shared" si="52"/>
        <v>0</v>
      </c>
      <c r="D95" s="24">
        <f t="shared" si="53"/>
        <v>0</v>
      </c>
      <c r="H95" s="24">
        <f t="shared" si="54"/>
        <v>0.25454545454545457</v>
      </c>
      <c r="I95" s="22">
        <f t="shared" si="55"/>
        <v>0</v>
      </c>
      <c r="J95" s="24">
        <f t="shared" si="56"/>
        <v>0</v>
      </c>
      <c r="K95" s="22">
        <f t="shared" si="57"/>
        <v>0</v>
      </c>
      <c r="L95" s="22">
        <f t="shared" si="58"/>
        <v>0</v>
      </c>
      <c r="M95" s="227">
        <f t="shared" si="50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1"/>
        <v>Beans: kg produced</v>
      </c>
      <c r="B96" s="75">
        <f t="shared" si="52"/>
        <v>0</v>
      </c>
      <c r="C96" s="75">
        <f t="shared" si="52"/>
        <v>0</v>
      </c>
      <c r="D96" s="24">
        <f t="shared" si="53"/>
        <v>0</v>
      </c>
      <c r="H96" s="24">
        <f t="shared" si="54"/>
        <v>0.16969696969696968</v>
      </c>
      <c r="I96" s="22">
        <f t="shared" si="55"/>
        <v>0</v>
      </c>
      <c r="J96" s="24">
        <f t="shared" si="56"/>
        <v>0</v>
      </c>
      <c r="K96" s="22">
        <f t="shared" si="57"/>
        <v>0</v>
      </c>
      <c r="L96" s="22">
        <f t="shared" si="58"/>
        <v>0</v>
      </c>
      <c r="M96" s="227">
        <f t="shared" si="50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1"/>
        <v>potatoes: kg produced</v>
      </c>
      <c r="B97" s="75">
        <f t="shared" si="52"/>
        <v>0</v>
      </c>
      <c r="C97" s="75">
        <f t="shared" si="52"/>
        <v>0</v>
      </c>
      <c r="D97" s="24">
        <f t="shared" si="53"/>
        <v>0</v>
      </c>
      <c r="H97" s="24">
        <f t="shared" si="54"/>
        <v>0.16969696969696968</v>
      </c>
      <c r="I97" s="22">
        <f t="shared" si="55"/>
        <v>0</v>
      </c>
      <c r="J97" s="24">
        <f t="shared" si="56"/>
        <v>0</v>
      </c>
      <c r="K97" s="22">
        <f t="shared" si="57"/>
        <v>0</v>
      </c>
      <c r="L97" s="22">
        <f t="shared" si="58"/>
        <v>0</v>
      </c>
      <c r="M97" s="227">
        <f t="shared" si="50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1"/>
        <v>Agricultural cash income -- see Data2</v>
      </c>
      <c r="B98" s="75">
        <f t="shared" si="52"/>
        <v>7.3789032789452078E-2</v>
      </c>
      <c r="C98" s="75">
        <f t="shared" si="52"/>
        <v>0</v>
      </c>
      <c r="D98" s="24">
        <f t="shared" si="53"/>
        <v>7.3789032789452078E-2</v>
      </c>
      <c r="H98" s="24">
        <f t="shared" si="54"/>
        <v>0.33636363636363642</v>
      </c>
      <c r="I98" s="22">
        <f t="shared" si="55"/>
        <v>2.4819947392815702E-2</v>
      </c>
      <c r="J98" s="24">
        <f t="shared" si="56"/>
        <v>2.4819947392815702E-2</v>
      </c>
      <c r="K98" s="22">
        <f t="shared" si="57"/>
        <v>7.3789032789452078E-2</v>
      </c>
      <c r="L98" s="22">
        <f t="shared" si="58"/>
        <v>2.4819947392815702E-2</v>
      </c>
      <c r="M98" s="227">
        <f t="shared" si="50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1"/>
        <v>Construction cash income -- see Data2</v>
      </c>
      <c r="B99" s="75">
        <f t="shared" si="52"/>
        <v>9.1265382660638092E-2</v>
      </c>
      <c r="C99" s="75">
        <f t="shared" si="52"/>
        <v>0</v>
      </c>
      <c r="D99" s="24">
        <f t="shared" si="53"/>
        <v>9.1265382660638092E-2</v>
      </c>
      <c r="H99" s="24">
        <f t="shared" si="54"/>
        <v>0.33636363636363642</v>
      </c>
      <c r="I99" s="22">
        <f t="shared" si="55"/>
        <v>3.0698355985850998E-2</v>
      </c>
      <c r="J99" s="24">
        <f t="shared" si="56"/>
        <v>3.0698355985850998E-2</v>
      </c>
      <c r="K99" s="22">
        <f t="shared" si="57"/>
        <v>9.1265382660638092E-2</v>
      </c>
      <c r="L99" s="22">
        <f t="shared" si="58"/>
        <v>3.0698355985850998E-2</v>
      </c>
      <c r="M99" s="227">
        <f t="shared" si="50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1"/>
        <v>Domestic work cash income -- see Data2</v>
      </c>
      <c r="B100" s="75">
        <f t="shared" si="52"/>
        <v>0.46603599656496048</v>
      </c>
      <c r="C100" s="75">
        <f t="shared" si="52"/>
        <v>0</v>
      </c>
      <c r="D100" s="24">
        <f t="shared" si="53"/>
        <v>0.46603599656496048</v>
      </c>
      <c r="H100" s="24">
        <f t="shared" si="54"/>
        <v>0.33636363636363642</v>
      </c>
      <c r="I100" s="22">
        <f t="shared" si="55"/>
        <v>0.15675756248094128</v>
      </c>
      <c r="J100" s="24">
        <f>IF(I$32&lt;=1+I131,I100,L100+J$33*(I100-L100))</f>
        <v>0.15675756248094128</v>
      </c>
      <c r="K100" s="22">
        <f t="shared" si="57"/>
        <v>0.46603599656496048</v>
      </c>
      <c r="L100" s="22">
        <f t="shared" si="58"/>
        <v>0.15675756248094128</v>
      </c>
      <c r="M100" s="227">
        <f t="shared" si="50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1"/>
        <v>Labour migration(formal employment): no. people per HH</v>
      </c>
      <c r="B101" s="75">
        <f t="shared" si="52"/>
        <v>0</v>
      </c>
      <c r="C101" s="75">
        <f t="shared" si="52"/>
        <v>0</v>
      </c>
      <c r="D101" s="24">
        <f t="shared" si="53"/>
        <v>0</v>
      </c>
      <c r="H101" s="24">
        <f t="shared" si="54"/>
        <v>0.28606060606060607</v>
      </c>
      <c r="I101" s="22">
        <f t="shared" si="55"/>
        <v>0</v>
      </c>
      <c r="J101" s="24">
        <f>IF(I$32&lt;=1+I131,I101,L101+J$33*(I101-L101))</f>
        <v>0</v>
      </c>
      <c r="K101" s="22">
        <f t="shared" si="57"/>
        <v>0</v>
      </c>
      <c r="L101" s="22">
        <f t="shared" si="58"/>
        <v>0</v>
      </c>
      <c r="M101" s="226">
        <f t="shared" si="50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1"/>
        <v>Small business -- see Data2</v>
      </c>
      <c r="B102" s="75">
        <f t="shared" si="52"/>
        <v>0</v>
      </c>
      <c r="C102" s="75">
        <f t="shared" si="52"/>
        <v>0</v>
      </c>
      <c r="D102" s="24">
        <f t="shared" si="53"/>
        <v>0</v>
      </c>
      <c r="H102" s="24">
        <f t="shared" si="54"/>
        <v>0.57212121212121214</v>
      </c>
      <c r="I102" s="22">
        <f t="shared" si="55"/>
        <v>0</v>
      </c>
      <c r="J102" s="24">
        <f>IF(I$32&lt;=1+I131,I102,L102+J$33*(I102-L102))</f>
        <v>0</v>
      </c>
      <c r="K102" s="22">
        <f t="shared" si="57"/>
        <v>0</v>
      </c>
      <c r="L102" s="22">
        <f t="shared" si="58"/>
        <v>0</v>
      </c>
      <c r="M102" s="227">
        <f t="shared" si="50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1"/>
        <v>Social development -- see Data2</v>
      </c>
      <c r="B103" s="75">
        <f t="shared" si="52"/>
        <v>1.9631766355298961</v>
      </c>
      <c r="C103" s="75">
        <f t="shared" si="52"/>
        <v>0</v>
      </c>
      <c r="D103" s="24">
        <f t="shared" si="53"/>
        <v>1.9631766355298961</v>
      </c>
      <c r="H103" s="24">
        <f t="shared" si="54"/>
        <v>0.7151515151515152</v>
      </c>
      <c r="I103" s="22">
        <f t="shared" si="55"/>
        <v>1.4039687454092591</v>
      </c>
      <c r="J103" s="24">
        <f>IF(I$32&lt;=1+I131,I103,L103+J$33*(I103-L103))</f>
        <v>1.4039687454092591</v>
      </c>
      <c r="K103" s="22">
        <f t="shared" si="57"/>
        <v>1.9631766355298961</v>
      </c>
      <c r="L103" s="22">
        <f t="shared" si="58"/>
        <v>1.4039687454092591</v>
      </c>
      <c r="M103" s="227">
        <f t="shared" si="50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1"/>
        <v>Public works -- see Data2</v>
      </c>
      <c r="B104" s="75">
        <f t="shared" si="52"/>
        <v>0</v>
      </c>
      <c r="C104" s="75">
        <f t="shared" si="52"/>
        <v>0</v>
      </c>
      <c r="D104" s="24">
        <f t="shared" si="53"/>
        <v>0</v>
      </c>
      <c r="H104" s="24">
        <f t="shared" si="54"/>
        <v>0.7151515151515152</v>
      </c>
      <c r="I104" s="22">
        <f t="shared" si="55"/>
        <v>0</v>
      </c>
      <c r="J104" s="24">
        <f>IF(I$32&lt;=1+I131,I104,L104+J$33*(I104-L104))</f>
        <v>0</v>
      </c>
      <c r="K104" s="22">
        <f t="shared" si="57"/>
        <v>0</v>
      </c>
      <c r="L104" s="22">
        <f t="shared" si="58"/>
        <v>0</v>
      </c>
      <c r="M104" s="227">
        <f t="shared" si="50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1"/>
        <v>Gifts/social support: type (Child support, Pension and Foster Care)</v>
      </c>
      <c r="B105" s="75">
        <f t="shared" si="52"/>
        <v>0</v>
      </c>
      <c r="C105" s="75">
        <f t="shared" si="52"/>
        <v>0</v>
      </c>
      <c r="D105" s="24">
        <f t="shared" si="53"/>
        <v>0</v>
      </c>
      <c r="H105" s="24">
        <f t="shared" si="54"/>
        <v>0.60606060606060608</v>
      </c>
      <c r="I105" s="22">
        <f t="shared" si="55"/>
        <v>0</v>
      </c>
      <c r="J105" s="24">
        <f>IF(I$32&lt;=1+I131,I105,L105+J$33*(I105-L105))</f>
        <v>0</v>
      </c>
      <c r="K105" s="22">
        <f t="shared" si="57"/>
        <v>0</v>
      </c>
      <c r="L105" s="22">
        <f t="shared" si="58"/>
        <v>0</v>
      </c>
      <c r="M105" s="227">
        <f t="shared" si="50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1"/>
        <v>Remittances: no. times per year</v>
      </c>
      <c r="B106" s="75">
        <f t="shared" si="52"/>
        <v>0</v>
      </c>
      <c r="C106" s="75">
        <f t="shared" si="52"/>
        <v>0</v>
      </c>
      <c r="D106" s="24">
        <f t="shared" si="53"/>
        <v>0</v>
      </c>
      <c r="H106" s="24">
        <f t="shared" si="54"/>
        <v>0.67272727272727284</v>
      </c>
      <c r="I106" s="22">
        <f t="shared" si="55"/>
        <v>0</v>
      </c>
      <c r="J106" s="24">
        <f>IF(I$32&lt;=1+I132,I106,L106+J$33*(I106-L106))</f>
        <v>0</v>
      </c>
      <c r="K106" s="22">
        <f t="shared" si="57"/>
        <v>0</v>
      </c>
      <c r="L106" s="22">
        <f t="shared" si="58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9">IF(A53="","",A53)</f>
        <v/>
      </c>
      <c r="B107" s="75">
        <f t="shared" si="52"/>
        <v>0</v>
      </c>
      <c r="C107" s="75">
        <f t="shared" si="52"/>
        <v>0</v>
      </c>
      <c r="D107" s="24">
        <f t="shared" ref="D107:D118" si="60">(B107+C107)</f>
        <v>0</v>
      </c>
      <c r="H107" s="24">
        <f t="shared" ref="H107:H118" si="61">(E53*F53/G53*F$7/F$9)</f>
        <v>0.60606060606060608</v>
      </c>
      <c r="I107" s="22">
        <f t="shared" ref="I107:I118" si="62">(D107*H107)</f>
        <v>0</v>
      </c>
      <c r="J107" s="24">
        <f t="shared" ref="J107:J118" si="63">IF(I$32&lt;=1+I133,I107,L107+J$33*(I107-L107))</f>
        <v>0</v>
      </c>
      <c r="K107" s="22">
        <f t="shared" ref="K107:K118" si="64">(B107)</f>
        <v>0</v>
      </c>
      <c r="L107" s="22">
        <f t="shared" ref="L107:L118" si="65">(K107*H107)</f>
        <v>0</v>
      </c>
      <c r="M107" s="227">
        <f t="shared" ref="M107:M118" si="66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9"/>
        <v/>
      </c>
      <c r="B108" s="75">
        <f t="shared" si="52"/>
        <v>0</v>
      </c>
      <c r="C108" s="75">
        <f t="shared" si="52"/>
        <v>0</v>
      </c>
      <c r="D108" s="24">
        <f t="shared" si="60"/>
        <v>0</v>
      </c>
      <c r="H108" s="24">
        <f t="shared" si="61"/>
        <v>0.60606060606060608</v>
      </c>
      <c r="I108" s="22">
        <f t="shared" si="62"/>
        <v>0</v>
      </c>
      <c r="J108" s="24">
        <f t="shared" si="63"/>
        <v>0</v>
      </c>
      <c r="K108" s="22">
        <f t="shared" si="64"/>
        <v>0</v>
      </c>
      <c r="L108" s="22">
        <f t="shared" si="65"/>
        <v>0</v>
      </c>
      <c r="M108" s="227">
        <f t="shared" si="66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9"/>
        <v/>
      </c>
      <c r="B109" s="75">
        <f t="shared" si="52"/>
        <v>0</v>
      </c>
      <c r="C109" s="75">
        <f t="shared" si="52"/>
        <v>0</v>
      </c>
      <c r="D109" s="24">
        <f t="shared" si="60"/>
        <v>0</v>
      </c>
      <c r="H109" s="24">
        <f t="shared" si="61"/>
        <v>0.60606060606060608</v>
      </c>
      <c r="I109" s="22">
        <f t="shared" si="62"/>
        <v>0</v>
      </c>
      <c r="J109" s="24">
        <f t="shared" si="63"/>
        <v>0</v>
      </c>
      <c r="K109" s="22">
        <f t="shared" si="64"/>
        <v>0</v>
      </c>
      <c r="L109" s="22">
        <f t="shared" si="65"/>
        <v>0</v>
      </c>
      <c r="M109" s="227">
        <f t="shared" si="66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9"/>
        <v/>
      </c>
      <c r="B110" s="75">
        <f t="shared" si="52"/>
        <v>0</v>
      </c>
      <c r="C110" s="75">
        <f t="shared" si="52"/>
        <v>0</v>
      </c>
      <c r="D110" s="24">
        <f t="shared" si="60"/>
        <v>0</v>
      </c>
      <c r="H110" s="24">
        <f t="shared" si="61"/>
        <v>0.60606060606060608</v>
      </c>
      <c r="I110" s="22">
        <f t="shared" si="62"/>
        <v>0</v>
      </c>
      <c r="J110" s="24">
        <f t="shared" si="63"/>
        <v>0</v>
      </c>
      <c r="K110" s="22">
        <f t="shared" si="64"/>
        <v>0</v>
      </c>
      <c r="L110" s="22">
        <f t="shared" si="65"/>
        <v>0</v>
      </c>
      <c r="M110" s="227">
        <f t="shared" si="66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9"/>
        <v/>
      </c>
      <c r="B111" s="75">
        <f t="shared" si="52"/>
        <v>0</v>
      </c>
      <c r="C111" s="75">
        <f t="shared" si="52"/>
        <v>0</v>
      </c>
      <c r="D111" s="24">
        <f t="shared" si="60"/>
        <v>0</v>
      </c>
      <c r="H111" s="24">
        <f t="shared" si="61"/>
        <v>0.60606060606060608</v>
      </c>
      <c r="I111" s="22">
        <f t="shared" si="62"/>
        <v>0</v>
      </c>
      <c r="J111" s="24">
        <f t="shared" si="63"/>
        <v>0</v>
      </c>
      <c r="K111" s="22">
        <f t="shared" si="64"/>
        <v>0</v>
      </c>
      <c r="L111" s="22">
        <f t="shared" si="65"/>
        <v>0</v>
      </c>
      <c r="M111" s="227">
        <f t="shared" si="66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9"/>
        <v/>
      </c>
      <c r="B112" s="75">
        <f t="shared" si="52"/>
        <v>0</v>
      </c>
      <c r="C112" s="75">
        <f t="shared" si="52"/>
        <v>0</v>
      </c>
      <c r="D112" s="24">
        <f t="shared" si="60"/>
        <v>0</v>
      </c>
      <c r="H112" s="24">
        <f t="shared" si="61"/>
        <v>0.60606060606060608</v>
      </c>
      <c r="I112" s="22">
        <f t="shared" si="62"/>
        <v>0</v>
      </c>
      <c r="J112" s="24">
        <f t="shared" si="63"/>
        <v>0</v>
      </c>
      <c r="K112" s="22">
        <f t="shared" si="64"/>
        <v>0</v>
      </c>
      <c r="L112" s="22">
        <f t="shared" si="65"/>
        <v>0</v>
      </c>
      <c r="M112" s="227">
        <f t="shared" si="66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9"/>
        <v/>
      </c>
      <c r="B113" s="75">
        <f t="shared" si="52"/>
        <v>0</v>
      </c>
      <c r="C113" s="75">
        <f t="shared" si="52"/>
        <v>0</v>
      </c>
      <c r="D113" s="24">
        <f t="shared" si="60"/>
        <v>0</v>
      </c>
      <c r="H113" s="24">
        <f t="shared" si="61"/>
        <v>0.60606060606060608</v>
      </c>
      <c r="I113" s="22">
        <f t="shared" si="62"/>
        <v>0</v>
      </c>
      <c r="J113" s="24">
        <f t="shared" si="63"/>
        <v>0</v>
      </c>
      <c r="K113" s="22">
        <f t="shared" si="64"/>
        <v>0</v>
      </c>
      <c r="L113" s="22">
        <f t="shared" si="65"/>
        <v>0</v>
      </c>
      <c r="M113" s="227">
        <f t="shared" si="66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9"/>
        <v/>
      </c>
      <c r="B114" s="75">
        <f t="shared" si="52"/>
        <v>0</v>
      </c>
      <c r="C114" s="75">
        <f t="shared" si="52"/>
        <v>0</v>
      </c>
      <c r="D114" s="24">
        <f t="shared" si="60"/>
        <v>0</v>
      </c>
      <c r="H114" s="24">
        <f t="shared" si="61"/>
        <v>0.60606060606060608</v>
      </c>
      <c r="I114" s="22">
        <f t="shared" si="62"/>
        <v>0</v>
      </c>
      <c r="J114" s="24">
        <f t="shared" si="63"/>
        <v>0</v>
      </c>
      <c r="K114" s="22">
        <f t="shared" si="64"/>
        <v>0</v>
      </c>
      <c r="L114" s="22">
        <f t="shared" si="65"/>
        <v>0</v>
      </c>
      <c r="M114" s="227">
        <f t="shared" si="66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9"/>
        <v/>
      </c>
      <c r="B115" s="75">
        <f t="shared" si="52"/>
        <v>0</v>
      </c>
      <c r="C115" s="75">
        <f t="shared" si="52"/>
        <v>0</v>
      </c>
      <c r="D115" s="24">
        <f t="shared" si="60"/>
        <v>0</v>
      </c>
      <c r="H115" s="24">
        <f t="shared" si="61"/>
        <v>0.60606060606060608</v>
      </c>
      <c r="I115" s="22">
        <f t="shared" si="62"/>
        <v>0</v>
      </c>
      <c r="J115" s="24">
        <f t="shared" si="63"/>
        <v>0</v>
      </c>
      <c r="K115" s="22">
        <f t="shared" si="64"/>
        <v>0</v>
      </c>
      <c r="L115" s="22">
        <f t="shared" si="65"/>
        <v>0</v>
      </c>
      <c r="M115" s="227">
        <f t="shared" si="66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9"/>
        <v/>
      </c>
      <c r="B116" s="75">
        <f t="shared" si="52"/>
        <v>0</v>
      </c>
      <c r="C116" s="75">
        <f t="shared" si="52"/>
        <v>0</v>
      </c>
      <c r="D116" s="24">
        <f t="shared" si="60"/>
        <v>0</v>
      </c>
      <c r="H116" s="24">
        <f t="shared" si="61"/>
        <v>0.60606060606060608</v>
      </c>
      <c r="I116" s="22">
        <f t="shared" si="62"/>
        <v>0</v>
      </c>
      <c r="J116" s="24">
        <f t="shared" si="63"/>
        <v>0</v>
      </c>
      <c r="K116" s="22">
        <f t="shared" si="64"/>
        <v>0</v>
      </c>
      <c r="L116" s="22">
        <f t="shared" si="65"/>
        <v>0</v>
      </c>
      <c r="M116" s="227">
        <f t="shared" si="66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9"/>
        <v/>
      </c>
      <c r="B117" s="75">
        <f t="shared" si="52"/>
        <v>0</v>
      </c>
      <c r="C117" s="75">
        <f t="shared" si="52"/>
        <v>0</v>
      </c>
      <c r="D117" s="24">
        <f t="shared" si="60"/>
        <v>0</v>
      </c>
      <c r="H117" s="24">
        <f t="shared" si="61"/>
        <v>0.60606060606060608</v>
      </c>
      <c r="I117" s="22">
        <f t="shared" si="62"/>
        <v>0</v>
      </c>
      <c r="J117" s="24">
        <f t="shared" si="63"/>
        <v>0</v>
      </c>
      <c r="K117" s="22">
        <f t="shared" si="64"/>
        <v>0</v>
      </c>
      <c r="L117" s="22">
        <f t="shared" si="65"/>
        <v>0</v>
      </c>
      <c r="M117" s="227">
        <f t="shared" si="66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9"/>
        <v/>
      </c>
      <c r="B118" s="75">
        <f t="shared" si="52"/>
        <v>0</v>
      </c>
      <c r="C118" s="75">
        <f t="shared" si="52"/>
        <v>0</v>
      </c>
      <c r="D118" s="24">
        <f t="shared" si="60"/>
        <v>0</v>
      </c>
      <c r="H118" s="24">
        <f t="shared" si="61"/>
        <v>0.60606060606060608</v>
      </c>
      <c r="I118" s="22">
        <f t="shared" si="62"/>
        <v>0</v>
      </c>
      <c r="J118" s="24">
        <f t="shared" si="63"/>
        <v>0</v>
      </c>
      <c r="K118" s="22">
        <f t="shared" si="64"/>
        <v>0</v>
      </c>
      <c r="L118" s="22">
        <f t="shared" si="65"/>
        <v>0</v>
      </c>
      <c r="M118" s="227">
        <f t="shared" si="66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50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7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7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8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7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8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7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7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7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zoomScale="150" zoomScaleNormal="150" zoomScalePageLayoutView="150" workbookViewId="0">
      <pane xSplit="1" ySplit="2" topLeftCell="I35" activePane="bottomRight" state="frozen"/>
      <selection pane="topRight" activeCell="B1" sqref="B1"/>
      <selection pane="bottomLeft" activeCell="A3" sqref="A3"/>
      <selection pane="bottomRight" activeCell="N37" sqref="N37:N5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69">
        <f>N91</f>
        <v>5</v>
      </c>
      <c r="O37" s="2"/>
      <c r="Q37" s="59" t="s">
        <v>71</v>
      </c>
      <c r="R37" s="221">
        <f>IF($B$81=0,0,(SUMIF($N$6:$N$28,$U7,K$6:K$28)*$B$83+SUMIF($N$37:$N$64,$U7,B$37:B$64))*Poor!$B$81/$B$81)</f>
        <v>2704.266735645449</v>
      </c>
      <c r="S37" s="221">
        <f>IF($B$81=0,0,(SUMIF($N$6:$N$28,$U37,L$6:L$28)+SUMIF($N$91:$N$118,$U37,L$91:L$118))*$I$83*Poor!$B$81/$B$81)</f>
        <v>0</v>
      </c>
      <c r="T37" s="221">
        <f>IF($B$81=0,0,(SUMIF($N$6:$N$28,$U7,M$6:M$28)+SUMIF($N$91:$N$118,$U7,M$91:M$118))*$I$83*Poor!$B$81/$B$81)</f>
        <v>1305.9185369471618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69">
        <f t="shared" ref="N38:N64" si="60">N92</f>
        <v>5</v>
      </c>
      <c r="O38" s="2"/>
      <c r="P38" s="2"/>
      <c r="Q38" s="59" t="s">
        <v>72</v>
      </c>
      <c r="R38" s="221">
        <f>IF($B$81=0,0,(SUMIF($N$6:$N$28,$U8,K$6:K$28)*$B$83+SUMIF($N$37:$N$64,$U8,B$37:B$64))*Poor!$B$81/$B$81)</f>
        <v>1660</v>
      </c>
      <c r="S38" s="221">
        <f>IF($B$81=0,0,(SUMIF($N$6:$N$28,$U38,L$6:L$28)+SUMIF($N$91:$N$118,$U38,L$91:L$118))*$I$83*Poor!$B$81/$B$81)</f>
        <v>0</v>
      </c>
      <c r="T38" s="221">
        <f>IF($B$81=0,0,(SUMIF($N$6:$N$28,$U8,M$6:M$28)+SUMIF($N$91:$N$118,$U8,M$91:M$118))*$I$83*Poor!$B$81/$B$81)</f>
        <v>444.24851808903816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1">$J38*AF38</f>
        <v>602.70429764761377</v>
      </c>
      <c r="AH38" s="123">
        <f t="shared" ref="AH38:AI58" si="62">SUM(Z38,AB38,AD38,AF38)</f>
        <v>1</v>
      </c>
      <c r="AI38" s="112">
        <f t="shared" si="62"/>
        <v>1093.3608076190058</v>
      </c>
      <c r="AJ38" s="148">
        <f t="shared" ref="AJ38:AJ64" si="63">(AA38+AC38)</f>
        <v>269.51648524122169</v>
      </c>
      <c r="AK38" s="147">
        <f t="shared" ref="AK38:AK64" si="64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69">
        <f t="shared" si="60"/>
        <v>5</v>
      </c>
      <c r="O39" s="2"/>
      <c r="P39" s="2"/>
      <c r="Q39" s="59" t="s">
        <v>73</v>
      </c>
      <c r="R39" s="221">
        <f>IF($B$81=0,0,(SUMIF($N$6:$N$28,$U9,K$6:K$28)*$B$83+SUMIF($N$37:$N$64,$U9,B$37:B$64))*Poor!$B$81/$B$81)</f>
        <v>570.43548525155074</v>
      </c>
      <c r="S39" s="221">
        <f>IF($B$81=0,0,(SUMIF($N$6:$N$28,$U39,L$6:L$28)+SUMIF($N$91:$N$118,$U39,L$91:L$118))*$I$83*Poor!$B$81/$B$81)</f>
        <v>0</v>
      </c>
      <c r="T39" s="221">
        <f>IF($B$81=0,0,(SUMIF($N$6:$N$28,$U9,M$6:M$28)+SUMIF($N$91:$N$118,$U9,M$91:M$118))*$I$83*Poor!$B$81/$B$81)</f>
        <v>188.24371013301172</v>
      </c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5">$J39*Z39</f>
        <v>0</v>
      </c>
      <c r="AB39" s="122">
        <f>AB8</f>
        <v>0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69">
        <f t="shared" si="60"/>
        <v>5</v>
      </c>
      <c r="O40" s="2"/>
      <c r="P40" s="2"/>
      <c r="Q40" s="59" t="s">
        <v>74</v>
      </c>
      <c r="R40" s="221">
        <f>IF($B$81=0,0,(SUMIF($N$6:$N$28,$U10,K$6:K$28)*$B$83+SUMIF($N$37:$N$64,$U10,B$37:B$64))*Poor!$B$81/$B$81)</f>
        <v>0</v>
      </c>
      <c r="S40" s="221">
        <f>IF($B$81=0,0,(SUMIF($N$6:$N$28,$U40,L$6:L$28)+SUMIF($N$91:$N$118,$U40,L$91:L$118))*$I$83*Poor!$B$81/$B$81)</f>
        <v>0</v>
      </c>
      <c r="T40" s="221">
        <f>IF($B$81=0,0,(SUMIF($N$6:$N$28,$U10,M$6:M$28)+SUMIF($N$91:$N$118,$U10,M$91:M$118))*$I$83*Poor!$B$81/$B$81)</f>
        <v>0</v>
      </c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5"/>
        <v>0</v>
      </c>
      <c r="AB40" s="122">
        <f>AB9</f>
        <v>0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69">
        <f t="shared" si="60"/>
        <v>2</v>
      </c>
      <c r="O41" s="2"/>
      <c r="P41" s="2"/>
      <c r="Q41" s="59" t="s">
        <v>75</v>
      </c>
      <c r="R41" s="221">
        <f>IF($B$81=0,0,(SUMIF($N$6:$N$28,$U11,K$6:K$28)*$B$83+SUMIF($N$37:$N$64,$U11,B$37:B$64))*Poor!$B$81/$B$81)</f>
        <v>9750</v>
      </c>
      <c r="S41" s="221">
        <f>IF($B$81=0,0,(SUMIF($N$6:$N$28,$U41,L$6:L$28)+SUMIF($N$91:$N$118,$U41,L$91:L$118))*$I$83*Poor!$B$81/$B$81)</f>
        <v>0</v>
      </c>
      <c r="T41" s="221">
        <f>IF($B$81=0,0,(SUMIF($N$6:$N$28,$U11,M$6:M$28)+SUMIF($N$91:$N$118,$U11,M$91:M$118))*$I$83*Poor!$B$81/$B$81)</f>
        <v>5075.8608076190048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69">
        <f t="shared" si="60"/>
        <v>2</v>
      </c>
      <c r="O42" s="2"/>
      <c r="P42" s="56"/>
      <c r="Q42" s="126" t="s">
        <v>124</v>
      </c>
      <c r="R42" s="221">
        <f>IF($B$81=0,0,(SUMIF($N$6:$N$28,$U12,K$6:K$28)*$B$83+SUMIF($N$37:$N$64,$U12,B$37:B$64))*Poor!$B$81/$B$81)</f>
        <v>0</v>
      </c>
      <c r="S42" s="221">
        <f>IF($B$81=0,0,(SUMIF($N$6:$N$28,$U42,L$6:L$28)+SUMIF($N$91:$N$118,$U42,L$91:L$118))*$I$83*Poor!$B$81/$B$81)</f>
        <v>0</v>
      </c>
      <c r="T42" s="221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16">
        <v>0.25</v>
      </c>
      <c r="AA42" s="147">
        <f t="shared" si="65"/>
        <v>104.99999999999997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209.99999999999994</v>
      </c>
      <c r="AF42" s="122">
        <f t="shared" si="57"/>
        <v>0.25</v>
      </c>
      <c r="AG42" s="147">
        <f t="shared" si="61"/>
        <v>104.99999999999997</v>
      </c>
      <c r="AH42" s="123">
        <f t="shared" si="62"/>
        <v>1</v>
      </c>
      <c r="AI42" s="112">
        <f t="shared" si="62"/>
        <v>419.99999999999989</v>
      </c>
      <c r="AJ42" s="148">
        <f t="shared" si="63"/>
        <v>104.99999999999997</v>
      </c>
      <c r="AK42" s="147">
        <f t="shared" si="64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69">
        <f t="shared" si="60"/>
        <v>2</v>
      </c>
      <c r="O43" s="2"/>
      <c r="P43" s="59"/>
      <c r="Q43" s="59" t="s">
        <v>76</v>
      </c>
      <c r="R43" s="221">
        <f>IF($B$81=0,0,(SUMIF($N$6:$N$28,$U13,K$6:K$28)*$B$83+SUMIF($N$37:$N$64,$U13,B$37:B$64))*Poor!$B$81/$B$81)</f>
        <v>4960</v>
      </c>
      <c r="S43" s="221">
        <f>IF($B$81=0,0,(SUMIF($N$6:$N$28,$U43,L$6:L$28)+SUMIF($N$91:$N$118,$U43,L$91:L$118))*$I$83*Poor!$B$81/$B$81)</f>
        <v>0</v>
      </c>
      <c r="T43" s="221">
        <f>IF($B$81=0,0,(SUMIF($N$6:$N$28,$U13,M$6:M$28)+SUMIF($N$91:$N$118,$U13,M$91:M$118))*$I$83*Poor!$B$81/$B$81)</f>
        <v>2752.8000000000006</v>
      </c>
      <c r="U43" s="56"/>
      <c r="V43" s="56"/>
      <c r="W43" s="115"/>
      <c r="X43" s="118"/>
      <c r="Y43" s="110"/>
      <c r="Z43" s="116">
        <v>0.25</v>
      </c>
      <c r="AA43" s="147">
        <f t="shared" si="65"/>
        <v>6.0621295222595677</v>
      </c>
      <c r="AB43" s="116">
        <v>0.25</v>
      </c>
      <c r="AC43" s="147">
        <f t="shared" si="66"/>
        <v>6.0621295222595677</v>
      </c>
      <c r="AD43" s="116">
        <v>0.25</v>
      </c>
      <c r="AE43" s="147">
        <f t="shared" si="67"/>
        <v>6.0621295222595677</v>
      </c>
      <c r="AF43" s="122">
        <f t="shared" si="57"/>
        <v>0.25</v>
      </c>
      <c r="AG43" s="147">
        <f t="shared" si="61"/>
        <v>6.0621295222595677</v>
      </c>
      <c r="AH43" s="123">
        <f t="shared" si="62"/>
        <v>1</v>
      </c>
      <c r="AI43" s="112">
        <f t="shared" si="62"/>
        <v>24.248518089038271</v>
      </c>
      <c r="AJ43" s="148">
        <f t="shared" si="63"/>
        <v>12.124259044519135</v>
      </c>
      <c r="AK43" s="147">
        <f t="shared" si="64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69">
        <f t="shared" si="60"/>
        <v>7</v>
      </c>
      <c r="O44" s="2"/>
      <c r="P44" s="2"/>
      <c r="Q44" s="126" t="s">
        <v>77</v>
      </c>
      <c r="R44" s="221">
        <f>IF($B$81=0,0,(SUMIF($N$6:$N$28,$U14,K$6:K$28)*$B$83+SUMIF($N$37:$N$64,$U14,B$37:B$64))*Poor!$B$81/$B$81)</f>
        <v>0</v>
      </c>
      <c r="S44" s="221">
        <f>IF($B$81=0,0,(SUMIF($N$6:$N$28,$U44,L$6:L$28)+SUMIF($N$91:$N$118,$U44,L$91:L$118))*$I$83*Poor!$B$81/$B$81)</f>
        <v>0</v>
      </c>
      <c r="T44" s="221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16">
        <v>0.25</v>
      </c>
      <c r="AA44" s="147">
        <f t="shared" si="65"/>
        <v>382.95000000000005</v>
      </c>
      <c r="AB44" s="116">
        <v>0.25</v>
      </c>
      <c r="AC44" s="147">
        <f t="shared" si="66"/>
        <v>382.95000000000005</v>
      </c>
      <c r="AD44" s="116">
        <v>0.25</v>
      </c>
      <c r="AE44" s="147">
        <f t="shared" si="67"/>
        <v>382.95000000000005</v>
      </c>
      <c r="AF44" s="122">
        <f t="shared" si="57"/>
        <v>0.25</v>
      </c>
      <c r="AG44" s="147">
        <f t="shared" si="61"/>
        <v>382.95000000000005</v>
      </c>
      <c r="AH44" s="123">
        <f t="shared" si="62"/>
        <v>1</v>
      </c>
      <c r="AI44" s="112">
        <f t="shared" si="62"/>
        <v>1531.8000000000002</v>
      </c>
      <c r="AJ44" s="148">
        <f t="shared" si="63"/>
        <v>765.90000000000009</v>
      </c>
      <c r="AK44" s="147">
        <f t="shared" si="64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69">
        <f t="shared" si="60"/>
        <v>7</v>
      </c>
      <c r="O45" s="2"/>
      <c r="P45" s="56"/>
      <c r="Q45" s="59" t="s">
        <v>127</v>
      </c>
      <c r="R45" s="221">
        <f>IF($B$81=0,0,(SUMIF($N$6:$N$28,$U15,K$6:K$28)*$B$83+SUMIF($N$37:$N$64,$U15,B$37:B$64))*Poor!$B$81/$B$81)</f>
        <v>14916</v>
      </c>
      <c r="S45" s="221">
        <f>IF($B$81=0,0,(SUMIF($N$6:$N$28,$U45,L$6:L$28)+SUMIF($N$91:$N$118,$U45,L$91:L$118))*$I$83*Poor!$B$81/$B$81)</f>
        <v>0</v>
      </c>
      <c r="T45" s="221">
        <f>IF($B$81=0,0,(SUMIF($N$6:$N$28,$U15,M$6:M$28)+SUMIF($N$91:$N$118,$U15,M$91:M$118))*$I$83*Poor!$B$81/$B$81)</f>
        <v>17600.879999999997</v>
      </c>
      <c r="U45" s="56"/>
      <c r="V45" s="56"/>
      <c r="W45" s="110"/>
      <c r="X45" s="118"/>
      <c r="Y45" s="110"/>
      <c r="Z45" s="116">
        <v>0.25</v>
      </c>
      <c r="AA45" s="147">
        <f t="shared" si="65"/>
        <v>0</v>
      </c>
      <c r="AB45" s="116">
        <v>0.25</v>
      </c>
      <c r="AC45" s="147">
        <f t="shared" si="66"/>
        <v>0</v>
      </c>
      <c r="AD45" s="116">
        <v>0.25</v>
      </c>
      <c r="AE45" s="147">
        <f t="shared" si="67"/>
        <v>0</v>
      </c>
      <c r="AF45" s="122">
        <f t="shared" si="57"/>
        <v>0.25</v>
      </c>
      <c r="AG45" s="147">
        <f t="shared" si="61"/>
        <v>0</v>
      </c>
      <c r="AH45" s="123">
        <f t="shared" si="62"/>
        <v>1</v>
      </c>
      <c r="AI45" s="112">
        <f t="shared" si="62"/>
        <v>0</v>
      </c>
      <c r="AJ45" s="148">
        <f t="shared" si="63"/>
        <v>0</v>
      </c>
      <c r="AK45" s="147">
        <f t="shared" si="64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69">
        <f t="shared" si="60"/>
        <v>7</v>
      </c>
      <c r="O46" s="2"/>
      <c r="P46" s="2"/>
      <c r="Q46" s="126" t="s">
        <v>78</v>
      </c>
      <c r="R46" s="221">
        <f>IF($B$81=0,0,(SUMIF($N$6:$N$28,$U16,K$6:K$28)*$B$83+SUMIF($N$37:$N$64,$U16,B$37:B$64))*Poor!$B$81/$B$81)</f>
        <v>0</v>
      </c>
      <c r="S46" s="221">
        <f>IF($B$81=0,0,(SUMIF($N$6:$N$28,$U46,L$6:L$28)+SUMIF($N$91:$N$118,$U46,L$91:L$118))*$I$83*Poor!$B$81/$B$81)</f>
        <v>0</v>
      </c>
      <c r="T46" s="221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16">
        <v>0.25</v>
      </c>
      <c r="AA46" s="147">
        <f t="shared" si="65"/>
        <v>305.25</v>
      </c>
      <c r="AB46" s="116">
        <v>0.25</v>
      </c>
      <c r="AC46" s="147">
        <f t="shared" si="66"/>
        <v>305.25</v>
      </c>
      <c r="AD46" s="116">
        <v>0.25</v>
      </c>
      <c r="AE46" s="147">
        <f t="shared" si="67"/>
        <v>305.25</v>
      </c>
      <c r="AF46" s="122">
        <f t="shared" si="57"/>
        <v>0.25</v>
      </c>
      <c r="AG46" s="147">
        <f t="shared" si="61"/>
        <v>305.25</v>
      </c>
      <c r="AH46" s="123">
        <f t="shared" si="62"/>
        <v>1</v>
      </c>
      <c r="AI46" s="112">
        <f t="shared" si="62"/>
        <v>1221</v>
      </c>
      <c r="AJ46" s="148">
        <f t="shared" si="63"/>
        <v>610.5</v>
      </c>
      <c r="AK46" s="147">
        <f t="shared" si="64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69">
        <f t="shared" si="60"/>
        <v>8</v>
      </c>
      <c r="O47" s="2"/>
      <c r="P47" s="59"/>
      <c r="Q47" s="126" t="s">
        <v>125</v>
      </c>
      <c r="R47" s="221">
        <f>IF($B$81=0,0,(SUMIF($N$6:$N$28,$U17,K$6:K$28)*$B$83+SUMIF($N$37:$N$64,$U17,B$37:B$64))*Poor!$B$81/$B$81)</f>
        <v>0</v>
      </c>
      <c r="S47" s="221">
        <f>IF($B$81=0,0,(SUMIF($N$6:$N$28,$U47,L$6:L$28)+SUMIF($N$91:$N$118,$U47,L$91:L$118))*$I$83*Poor!$B$81/$B$81)</f>
        <v>0</v>
      </c>
      <c r="T47" s="221">
        <f>IF($B$81=0,0,(SUMIF($N$6:$N$28,$U17,M$6:M$28)+SUMIF($N$91:$N$118,$U17,M$91:M$118))*$I$83*Poor!$B$81/$B$81)</f>
        <v>0</v>
      </c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69">
        <f t="shared" si="60"/>
        <v>11</v>
      </c>
      <c r="O48" s="2"/>
      <c r="P48" s="59"/>
      <c r="Q48" s="59" t="s">
        <v>79</v>
      </c>
      <c r="R48" s="221">
        <f>IF($B$81=0,0,(SUMIF($N$6:$N$28,$U18,K$6:K$28)*$B$83+SUMIF($N$37:$N$64,$U18,B$37:B$64))*Poor!$B$81/$B$81)</f>
        <v>1401.3106912413493</v>
      </c>
      <c r="S48" s="221">
        <f>IF($B$81=0,0,(SUMIF($N$6:$N$28,$U48,L$6:L$28)+SUMIF($N$91:$N$118,$U48,L$91:L$118))*$I$83*Poor!$B$81/$B$81)</f>
        <v>0</v>
      </c>
      <c r="T48" s="221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8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69">
        <f t="shared" si="60"/>
        <v>14</v>
      </c>
      <c r="O49" s="2"/>
      <c r="P49" s="56"/>
      <c r="Q49" s="59" t="s">
        <v>80</v>
      </c>
      <c r="R49" s="221">
        <f>IF($B$81=0,0,(SUMIF($N$6:$N$28,$U19,K$6:K$28)*$B$83+SUMIF($N$37:$N$64,$U19,B$37:B$64))*Poor!$B$81/$B$81)</f>
        <v>0</v>
      </c>
      <c r="S49" s="221">
        <f>IF($B$81=0,0,(SUMIF($N$6:$N$28,$U49,L$6:L$28)+SUMIF($N$91:$N$118,$U49,L$91:L$118))*$I$83*Poor!$B$81/$B$81)</f>
        <v>0</v>
      </c>
      <c r="T49" s="221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16">
        <v>0.25</v>
      </c>
      <c r="AA49" s="147">
        <f t="shared" si="65"/>
        <v>6495.9</v>
      </c>
      <c r="AB49" s="116">
        <v>0.25</v>
      </c>
      <c r="AC49" s="147">
        <f t="shared" si="66"/>
        <v>6495.9</v>
      </c>
      <c r="AD49" s="116">
        <v>0.25</v>
      </c>
      <c r="AE49" s="147">
        <f t="shared" si="67"/>
        <v>6495.9</v>
      </c>
      <c r="AF49" s="122">
        <f t="shared" si="57"/>
        <v>0.25</v>
      </c>
      <c r="AG49" s="147">
        <f t="shared" si="61"/>
        <v>6495.9</v>
      </c>
      <c r="AH49" s="123">
        <f t="shared" si="62"/>
        <v>1</v>
      </c>
      <c r="AI49" s="112">
        <f t="shared" si="62"/>
        <v>25983.599999999999</v>
      </c>
      <c r="AJ49" s="148">
        <f t="shared" si="63"/>
        <v>12991.8</v>
      </c>
      <c r="AK49" s="147">
        <f t="shared" si="64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8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9">(E50*F50)</f>
        <v>1.18</v>
      </c>
      <c r="I50" s="39">
        <f t="shared" ref="I50:I64" si="70">D50*H50</f>
        <v>17600.879999999997</v>
      </c>
      <c r="J50" s="38">
        <f t="shared" ref="J50:J64" si="71">J104*I$83</f>
        <v>17600.879999999997</v>
      </c>
      <c r="K50" s="40">
        <f t="shared" ref="K50:K64" si="72">(B50/B$65)</f>
        <v>0.27981840693355342</v>
      </c>
      <c r="L50" s="22">
        <f t="shared" ref="L50:L64" si="73">(K50*H50)</f>
        <v>0.33018572018159303</v>
      </c>
      <c r="M50" s="24">
        <f t="shared" ref="M50:M64" si="74">J50/B$65</f>
        <v>0.33018572018159303</v>
      </c>
      <c r="N50" s="69">
        <f t="shared" si="60"/>
        <v>9</v>
      </c>
      <c r="P50" s="64"/>
      <c r="Q50" s="59" t="s">
        <v>81</v>
      </c>
      <c r="R50" s="221">
        <f>IF($B$81=0,0,(SUMIF($N$6:$N$28,$U20,K$6:K$28)*$B$83+SUMIF($N$37:$N$64,$U20,B$37:B$64))*Poor!$B$81/$B$81)</f>
        <v>22020</v>
      </c>
      <c r="S50" s="221">
        <f>IF($B$81=0,0,(SUMIF($N$6:$N$28,$U50,L$6:L$28)+SUMIF($N$91:$N$118,$U50,L$91:L$118))*$I$83*Poor!$B$81/$B$81)</f>
        <v>0</v>
      </c>
      <c r="T50" s="221">
        <f>IF($B$81=0,0,(SUMIF($N$6:$N$28,$U20,M$6:M$28)+SUMIF($N$91:$N$118,$U20,M$91:M$118))*$I$83*Poor!$B$81/$B$81)</f>
        <v>25983.599999999999</v>
      </c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1.65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69">
        <f t="shared" si="60"/>
        <v>15</v>
      </c>
      <c r="O51" s="2"/>
      <c r="P51" s="59"/>
      <c r="Q51" s="59" t="s">
        <v>82</v>
      </c>
      <c r="R51" s="221">
        <f>IF($B$81=0,0,(SUMIF($N$6:$N$28,$U21,K$6:K$28)*$B$83+SUMIF($N$37:$N$64,$U21,B$37:B$64))*Poor!$B$81/$B$81)</f>
        <v>0</v>
      </c>
      <c r="S51" s="221">
        <f>IF($B$81=0,0,(SUMIF($N$6:$N$28,$U51,L$6:L$28)+SUMIF($N$91:$N$118,$U51,L$91:L$118))*$I$83*Poor!$B$81/$B$81)</f>
        <v>0</v>
      </c>
      <c r="T51" s="221">
        <f>IF($B$81=0,0,(SUMIF($N$6:$N$28,$U21,M$6:M$28)+SUMIF($N$91:$N$118,$U21,M$91:M$118))*$I$83*Poor!$B$81/$B$81)</f>
        <v>0</v>
      </c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9"/>
        <v>1.1100000000000001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69">
        <f t="shared" si="60"/>
        <v>15</v>
      </c>
      <c r="O52" s="2"/>
      <c r="P52" s="59"/>
      <c r="Q52" s="59" t="s">
        <v>83</v>
      </c>
      <c r="R52" s="221">
        <f>IF($B$81=0,0,(SUMIF($N$6:$N$28,$U22,K$6:K$28)*$B$83+SUMIF($N$37:$N$64,$U22,B$37:B$64))*Poor!$B$81/$B$81)</f>
        <v>0</v>
      </c>
      <c r="S52" s="221">
        <f>IF($B$81=0,0,(SUMIF($N$6:$N$28,$U52,L$6:L$28)+SUMIF($N$91:$N$118,$U52,L$91:L$118))*$I$83*Poor!$B$81/$B$81)</f>
        <v>0</v>
      </c>
      <c r="T52" s="221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1.65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69"/>
      <c r="O53" s="2"/>
      <c r="P53" s="2"/>
      <c r="Q53" s="171" t="s">
        <v>100</v>
      </c>
      <c r="R53" s="179">
        <f>SUM(R37:R52)</f>
        <v>57982.012912138351</v>
      </c>
      <c r="S53" s="179">
        <f>SUM(S37:S52)</f>
        <v>0</v>
      </c>
      <c r="T53" s="179">
        <f>SUM(T37:T52)</f>
        <v>55663.71421333644</v>
      </c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69"/>
      <c r="O54" s="2"/>
      <c r="P54" s="2"/>
      <c r="Q54" s="59" t="s">
        <v>137</v>
      </c>
      <c r="R54" s="41">
        <f>IF($B$81=0,0,(SUM(($B$70))+((1-$D$29)*$B$83))*Poor!$B$81/$B$81)</f>
        <v>24062.646384067204</v>
      </c>
      <c r="S54" s="41">
        <f>IF($B$81=0,0,(SUM(($B$70*$H$70))+((1-$D$29)*$I$83))*Poor!$B$81/$B$81)</f>
        <v>35969.406972062054</v>
      </c>
      <c r="T54" s="41">
        <f>IF($B$81=0,0,(SUM(($B$70*$H$70))+((1-$D$29)*$I$83))*Poor!$B$81/$B$81)</f>
        <v>35969.406972062054</v>
      </c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69"/>
      <c r="O55" s="2"/>
      <c r="P55" s="2"/>
      <c r="Q55" s="142" t="s">
        <v>138</v>
      </c>
      <c r="R55" s="41">
        <f>IF($B$81=0,0,(SUM(($B$70),($B$71*$H$71))+((1-$D$29)*$B$83))*Poor!$B$81/$B$81)</f>
        <v>42445.473050733875</v>
      </c>
      <c r="S55" s="41">
        <f>IF($B$81=0,0,(SUM(($B$70*$H$70),($B$71*$H$71))+((1-$D$29)*$I$83))*Poor!$B$81/$B$81)</f>
        <v>54352.233638728729</v>
      </c>
      <c r="T55" s="41">
        <f>IF($B$81=0,0,(SUM(($B$70*$H$70),($B$71*$H$71))+((1-$D$29)*$I$83))*Poor!$B$81/$B$81)</f>
        <v>54352.233638728729</v>
      </c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69"/>
      <c r="O56" s="2"/>
      <c r="P56" s="2"/>
      <c r="Q56" s="59" t="s">
        <v>139</v>
      </c>
      <c r="R56" s="41">
        <f>IF($B$81=0,0,(SUM(($B$70),($B$71*$H$71),($B$72*$H$72))+((1-$D$29)*$B$83))*Poor!$B$81/$B$81)</f>
        <v>75183.393050733881</v>
      </c>
      <c r="S56" s="41">
        <f>IF($B$81=0,0,(SUM(($B$70*$H$70),($B$71*$H$71),($B$72*$H$72))+((1-$D$29)*$I$83))*Poor!$B$81/$B$81)</f>
        <v>87090.15363872872</v>
      </c>
      <c r="T56" s="41">
        <f>IF($B$81=0,0,(SUM(($B$70*$H$70),($B$71*$H$71),($B$72*$H$72))+((1-$D$29)*$I$83))*Poor!$B$81/$B$81)</f>
        <v>87090.15363872872</v>
      </c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69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69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69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69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69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69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69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69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6">J124*I$83</f>
        <v>20910.17354523344</v>
      </c>
      <c r="K70" s="40">
        <f>B70/B$76</f>
        <v>0.2801905647881161</v>
      </c>
      <c r="L70" s="22">
        <f t="shared" ref="L70:L75" si="77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18382.826666666671</v>
      </c>
      <c r="J71" s="51">
        <f t="shared" si="76"/>
        <v>18382.826666666671</v>
      </c>
      <c r="K71" s="40">
        <f t="shared" ref="K71:K72" si="79">B71/B$76</f>
        <v>0.29224977801123075</v>
      </c>
      <c r="L71" s="22">
        <f t="shared" si="77"/>
        <v>0.34485473805325234</v>
      </c>
      <c r="M71" s="24">
        <f t="shared" ref="M71:M72" si="80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1141.2358144307589</v>
      </c>
      <c r="K72" s="40">
        <f t="shared" si="79"/>
        <v>0.52046673920384201</v>
      </c>
      <c r="L72" s="22">
        <f t="shared" si="77"/>
        <v>0.14141119561426002</v>
      </c>
      <c r="M72" s="24">
        <f t="shared" si="80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8.7344764191648216E-2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6"/>
        <v>11423.153299377171</v>
      </c>
      <c r="K74" s="40">
        <f>B74/B$76</f>
        <v>0.1301917232581698</v>
      </c>
      <c r="L74" s="22">
        <f t="shared" si="77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6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6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0.57344273014829117</v>
      </c>
      <c r="C91" s="60">
        <f t="shared" si="82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3">(D91*H91)</f>
        <v>0.20504921865908596</v>
      </c>
      <c r="J91" s="24">
        <f>IF(I$32&lt;=1+I$131,I91,L91+J$33*(I91-L91))</f>
        <v>0.20504921865908596</v>
      </c>
      <c r="K91" s="22">
        <f t="shared" ref="K91" si="84">IF(B91="",0,B91)</f>
        <v>0.57344273014829117</v>
      </c>
      <c r="L91" s="22">
        <f t="shared" ref="L91" si="85">(K91*H91)</f>
        <v>0.20504921865908596</v>
      </c>
      <c r="M91" s="226">
        <f t="shared" si="81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0.25486343562146274</v>
      </c>
      <c r="C92" s="60">
        <f t="shared" si="82"/>
        <v>-0.21238619635121897</v>
      </c>
      <c r="D92" s="24">
        <f t="shared" ref="D92:D118" si="87">SUM(B92,C92)</f>
        <v>4.2477239270243772E-2</v>
      </c>
      <c r="H92" s="24">
        <f t="shared" ref="H92:H118" si="88">(E38*F38/G38*F$7/F$9)</f>
        <v>0.3575757575757576</v>
      </c>
      <c r="I92" s="22">
        <f t="shared" ref="I92:I118" si="89">(D92*H92)</f>
        <v>1.5188831011784138E-2</v>
      </c>
      <c r="J92" s="24">
        <f t="shared" ref="J92:J118" si="90">IF(I$32&lt;=1+I$131,I92,L92+J$33*(I92-L92))</f>
        <v>5.6294483192653941E-2</v>
      </c>
      <c r="K92" s="22">
        <f t="shared" ref="K92:K118" si="91">IF(B92="",0,B92)</f>
        <v>0.25486343562146274</v>
      </c>
      <c r="L92" s="22">
        <f t="shared" ref="L92:L118" si="92">(K92*H92)</f>
        <v>9.1132986070704872E-2</v>
      </c>
      <c r="M92" s="226">
        <f t="shared" ref="M92:M118" si="93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Sheep sales - local: no. sold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0.3575757575757576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26">
        <f t="shared" si="93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Chicken sales: no. sold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0.7151515151515152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6">
        <f t="shared" si="9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6">
        <f t="shared" si="9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0.12743171781073137</v>
      </c>
      <c r="C96" s="60">
        <f t="shared" si="82"/>
        <v>0</v>
      </c>
      <c r="D96" s="24">
        <f t="shared" si="87"/>
        <v>0.12743171781073137</v>
      </c>
      <c r="H96" s="24">
        <f t="shared" si="88"/>
        <v>0.16969696969696968</v>
      </c>
      <c r="I96" s="22">
        <f t="shared" si="89"/>
        <v>2.1624776355760471E-2</v>
      </c>
      <c r="J96" s="24">
        <f t="shared" si="90"/>
        <v>2.1624776355760471E-2</v>
      </c>
      <c r="K96" s="22">
        <f t="shared" si="91"/>
        <v>0.12743171781073137</v>
      </c>
      <c r="L96" s="22">
        <f t="shared" si="92"/>
        <v>2.1624776355760471E-2</v>
      </c>
      <c r="M96" s="226">
        <f t="shared" si="93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potatoes: kg produced</v>
      </c>
      <c r="B97" s="60">
        <f t="shared" si="82"/>
        <v>1.3592716566478013E-2</v>
      </c>
      <c r="C97" s="60">
        <f t="shared" si="82"/>
        <v>-1.3592716566478013E-2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1.248497096747774E-3</v>
      </c>
      <c r="K97" s="22">
        <f t="shared" si="91"/>
        <v>1.3592716566478013E-2</v>
      </c>
      <c r="L97" s="22">
        <f t="shared" si="92"/>
        <v>2.3066428112811172E-3</v>
      </c>
      <c r="M97" s="226">
        <f t="shared" si="93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Agricultural cash income -- see Data2</v>
      </c>
      <c r="B98" s="60">
        <f t="shared" si="82"/>
        <v>0.23447436077174574</v>
      </c>
      <c r="C98" s="60">
        <f t="shared" si="82"/>
        <v>0</v>
      </c>
      <c r="D98" s="24">
        <f t="shared" si="87"/>
        <v>0.23447436077174574</v>
      </c>
      <c r="H98" s="24">
        <f t="shared" si="88"/>
        <v>0.33636363636363642</v>
      </c>
      <c r="I98" s="22">
        <f t="shared" si="89"/>
        <v>7.8868648623223583E-2</v>
      </c>
      <c r="J98" s="24">
        <f t="shared" si="90"/>
        <v>7.8868648623223583E-2</v>
      </c>
      <c r="K98" s="22">
        <f t="shared" si="91"/>
        <v>0.23447436077174574</v>
      </c>
      <c r="L98" s="22">
        <f t="shared" si="92"/>
        <v>7.8868648623223583E-2</v>
      </c>
      <c r="M98" s="226">
        <f t="shared" si="93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Construction cash income -- see Data2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0.33636363636363642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6">
        <f t="shared" si="9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Domestic work cash income -- see Data2</v>
      </c>
      <c r="B100" s="60">
        <f t="shared" si="82"/>
        <v>0.1868998527890727</v>
      </c>
      <c r="C100" s="60">
        <f t="shared" si="82"/>
        <v>0</v>
      </c>
      <c r="D100" s="24">
        <f t="shared" si="87"/>
        <v>0.1868998527890727</v>
      </c>
      <c r="H100" s="24">
        <f t="shared" si="88"/>
        <v>0.33636363636363642</v>
      </c>
      <c r="I100" s="22">
        <f t="shared" si="89"/>
        <v>6.2866314119960826E-2</v>
      </c>
      <c r="J100" s="24">
        <f t="shared" si="90"/>
        <v>6.2866314119960826E-2</v>
      </c>
      <c r="K100" s="22">
        <f t="shared" si="91"/>
        <v>0.1868998527890727</v>
      </c>
      <c r="L100" s="22">
        <f t="shared" si="92"/>
        <v>6.2866314119960826E-2</v>
      </c>
      <c r="M100" s="226">
        <f t="shared" si="93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Labour migration(formal employment): no. people per HH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0.28606060606060607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6">
        <f t="shared" si="93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Small business -- see Data2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0.57212121212121214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6">
        <f t="shared" si="93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Social development -- see Data2</v>
      </c>
      <c r="B103" s="60">
        <f t="shared" si="82"/>
        <v>1.8706976174615366</v>
      </c>
      <c r="C103" s="60">
        <f t="shared" si="82"/>
        <v>0</v>
      </c>
      <c r="D103" s="24">
        <f t="shared" si="87"/>
        <v>1.8706976174615366</v>
      </c>
      <c r="H103" s="24">
        <f t="shared" si="88"/>
        <v>0.7151515151515152</v>
      </c>
      <c r="I103" s="22">
        <f t="shared" si="89"/>
        <v>1.3378322355179475</v>
      </c>
      <c r="J103" s="24">
        <f t="shared" si="90"/>
        <v>1.3378322355179475</v>
      </c>
      <c r="K103" s="22">
        <f t="shared" si="91"/>
        <v>1.8706976174615366</v>
      </c>
      <c r="L103" s="22">
        <f t="shared" si="92"/>
        <v>1.3378322355179475</v>
      </c>
      <c r="M103" s="226">
        <f t="shared" si="93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Public works -- see Data2</v>
      </c>
      <c r="B104" s="60">
        <f t="shared" si="82"/>
        <v>1.2671810019099128</v>
      </c>
      <c r="C104" s="60">
        <f t="shared" si="82"/>
        <v>0</v>
      </c>
      <c r="D104" s="24">
        <f t="shared" si="87"/>
        <v>1.2671810019099128</v>
      </c>
      <c r="H104" s="24">
        <f t="shared" si="88"/>
        <v>0.7151515151515152</v>
      </c>
      <c r="I104" s="22">
        <f t="shared" si="89"/>
        <v>0.90622641348708921</v>
      </c>
      <c r="J104" s="24">
        <f t="shared" si="90"/>
        <v>0.90622641348708921</v>
      </c>
      <c r="K104" s="22">
        <f t="shared" si="91"/>
        <v>1.2671810019099128</v>
      </c>
      <c r="L104" s="22">
        <f t="shared" si="92"/>
        <v>0.90622641348708921</v>
      </c>
      <c r="M104" s="226">
        <f t="shared" si="93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Gifts/social support: type (Child support, Pension and Foster Care)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0.60606060606060608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6">
        <f t="shared" si="93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Remittances: no. times per year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0.67272727272727284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6">
        <f t="shared" si="93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0.60606060606060608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6">
        <f t="shared" si="9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6">
        <f t="shared" si="9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6">
        <f t="shared" si="9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6">
        <f t="shared" si="9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6">
        <f t="shared" si="9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6">
        <f t="shared" si="9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6">
        <f t="shared" si="9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6">
        <f t="shared" si="9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6">
        <f t="shared" si="9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6">
        <f t="shared" si="9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6">
        <f t="shared" si="9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6">
        <f t="shared" si="9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1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4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4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5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4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4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4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topLeftCell="B90" workbookViewId="0">
      <selection activeCell="A102" sqref="A10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 ht="16" thickBot="1">
      <c r="A101" s="269" t="s">
        <v>144</v>
      </c>
      <c r="B101" s="270">
        <f>IF(B92&gt;B$88,B92-B$88,0)</f>
        <v>0</v>
      </c>
      <c r="C101" s="270">
        <f t="shared" si="0"/>
        <v>0</v>
      </c>
      <c r="D101" s="270">
        <f t="shared" si="0"/>
        <v>0</v>
      </c>
      <c r="E101" s="270">
        <f t="shared" si="0"/>
        <v>0</v>
      </c>
      <c r="F101" s="270">
        <f t="shared" si="0"/>
        <v>0</v>
      </c>
      <c r="G101" s="270">
        <f t="shared" si="0"/>
        <v>0</v>
      </c>
      <c r="H101" s="270">
        <f t="shared" si="0"/>
        <v>0</v>
      </c>
      <c r="I101" s="270">
        <f t="shared" si="0"/>
        <v>0</v>
      </c>
    </row>
    <row r="102" spans="1:9">
      <c r="A102" t="str">
        <f>V.Poor!Q37</f>
        <v>Own crops Consumed</v>
      </c>
      <c r="B102" s="109">
        <f>V.Poor!R37</f>
        <v>984.25445590616596</v>
      </c>
      <c r="C102" s="109">
        <f>Poor!R37</f>
        <v>2704.266735645449</v>
      </c>
      <c r="D102" s="109">
        <f>Middle!R37</f>
        <v>0</v>
      </c>
      <c r="E102" s="109">
        <f>Rich!R37</f>
        <v>0</v>
      </c>
      <c r="F102" s="109">
        <f>V.Poor!T37</f>
        <v>414.0773225620311</v>
      </c>
      <c r="G102" s="109">
        <f>Poor!T37</f>
        <v>1305.9185369471618</v>
      </c>
      <c r="H102" s="109">
        <f>Middle!T37</f>
        <v>0</v>
      </c>
      <c r="I102" s="109">
        <f>Rich!T37</f>
        <v>0</v>
      </c>
    </row>
    <row r="103" spans="1:9">
      <c r="A103" t="str">
        <f>V.Poor!Q38</f>
        <v>Own crops sold</v>
      </c>
      <c r="B103" s="109">
        <f>V.Poor!R38</f>
        <v>0</v>
      </c>
      <c r="C103" s="109">
        <f>Poor!R38</f>
        <v>1660</v>
      </c>
      <c r="D103" s="109">
        <f>Middle!R38</f>
        <v>0</v>
      </c>
      <c r="E103" s="109">
        <f>Rich!R38</f>
        <v>0</v>
      </c>
      <c r="F103" s="109">
        <f>V.Poor!T38</f>
        <v>0</v>
      </c>
      <c r="G103" s="109">
        <f>Poor!T38</f>
        <v>444.24851808903816</v>
      </c>
      <c r="H103" s="109">
        <f>Middle!T38</f>
        <v>0</v>
      </c>
      <c r="I103" s="109">
        <f>Rich!T38</f>
        <v>0</v>
      </c>
    </row>
    <row r="104" spans="1:9">
      <c r="A104" t="str">
        <f>V.Poor!Q39</f>
        <v>Animal products consumed</v>
      </c>
      <c r="B104" s="109">
        <f>V.Poor!R39</f>
        <v>119.18500810595445</v>
      </c>
      <c r="C104" s="109">
        <f>Poor!R39</f>
        <v>570.43548525155074</v>
      </c>
      <c r="D104" s="109">
        <f>Middle!R39</f>
        <v>0</v>
      </c>
      <c r="E104" s="109">
        <f>Rich!R39</f>
        <v>0</v>
      </c>
      <c r="F104" s="109">
        <f>V.Poor!T39</f>
        <v>39.331052674964965</v>
      </c>
      <c r="G104" s="109">
        <f>Poor!T39</f>
        <v>188.24371013301172</v>
      </c>
      <c r="H104" s="109">
        <f>Middle!T39</f>
        <v>0</v>
      </c>
      <c r="I104" s="109">
        <f>Rich!T39</f>
        <v>0</v>
      </c>
    </row>
    <row r="105" spans="1:9">
      <c r="A105" t="str">
        <f>V.Poor!Q40</f>
        <v>Animal products sold</v>
      </c>
      <c r="B105" s="109">
        <f>V.Poor!R40</f>
        <v>0</v>
      </c>
      <c r="C105" s="109">
        <f>Poor!R40</f>
        <v>0</v>
      </c>
      <c r="D105" s="109">
        <f>Middle!R40</f>
        <v>0</v>
      </c>
      <c r="E105" s="109">
        <f>Rich!R40</f>
        <v>0</v>
      </c>
      <c r="F105" s="109">
        <f>V.Poor!T40</f>
        <v>0</v>
      </c>
      <c r="G105" s="109">
        <f>Poor!T40</f>
        <v>0</v>
      </c>
      <c r="H105" s="109">
        <f>Middle!T40</f>
        <v>0</v>
      </c>
      <c r="I105" s="109">
        <f>Rich!T40</f>
        <v>0</v>
      </c>
    </row>
    <row r="106" spans="1:9">
      <c r="A106" t="str">
        <f>V.Poor!Q41</f>
        <v>Animals sold</v>
      </c>
      <c r="B106" s="109">
        <f>V.Poor!R41</f>
        <v>1285.7142857142858</v>
      </c>
      <c r="C106" s="109">
        <f>Poor!R41</f>
        <v>9750</v>
      </c>
      <c r="D106" s="109">
        <f>Middle!R41</f>
        <v>0</v>
      </c>
      <c r="E106" s="109">
        <f>Rich!R41</f>
        <v>0</v>
      </c>
      <c r="F106" s="109">
        <f>V.Poor!T41</f>
        <v>758.57142857142856</v>
      </c>
      <c r="G106" s="109">
        <f>Poor!T41</f>
        <v>5075.8608076190048</v>
      </c>
      <c r="H106" s="109">
        <f>Middle!T41</f>
        <v>0</v>
      </c>
      <c r="I106" s="109">
        <f>Rich!T41</f>
        <v>0</v>
      </c>
    </row>
    <row r="107" spans="1:9">
      <c r="A107" t="str">
        <f>V.Poor!Q42</f>
        <v>Wild foods consumed and sold</v>
      </c>
      <c r="B107" s="109">
        <f>V.Poor!R42</f>
        <v>0</v>
      </c>
      <c r="C107" s="109">
        <f>Poor!R42</f>
        <v>0</v>
      </c>
      <c r="D107" s="109">
        <f>Middle!R42</f>
        <v>0</v>
      </c>
      <c r="E107" s="109">
        <f>Rich!R42</f>
        <v>0</v>
      </c>
      <c r="F107" s="109">
        <f>V.Poor!T42</f>
        <v>0</v>
      </c>
      <c r="G107" s="109">
        <f>Poor!T42</f>
        <v>0</v>
      </c>
      <c r="H107" s="109">
        <f>Middle!T42</f>
        <v>0</v>
      </c>
      <c r="I107" s="109">
        <f>Rich!T42</f>
        <v>0</v>
      </c>
    </row>
    <row r="108" spans="1:9">
      <c r="A108" t="str">
        <f>V.Poor!Q43</f>
        <v>Labour - casual</v>
      </c>
      <c r="B108" s="109">
        <f>V.Poor!R43</f>
        <v>7428.5714285714284</v>
      </c>
      <c r="C108" s="109">
        <f>Poor!R43</f>
        <v>4960</v>
      </c>
      <c r="D108" s="109">
        <f>Middle!R43</f>
        <v>0</v>
      </c>
      <c r="E108" s="109">
        <f>Rich!R43</f>
        <v>0</v>
      </c>
      <c r="F108" s="109">
        <f>V.Poor!T43</f>
        <v>4122.8571428571431</v>
      </c>
      <c r="G108" s="109">
        <f>Poor!T43</f>
        <v>2752.8000000000006</v>
      </c>
      <c r="H108" s="109">
        <f>Middle!T43</f>
        <v>0</v>
      </c>
      <c r="I108" s="109">
        <f>Rich!T43</f>
        <v>0</v>
      </c>
    </row>
    <row r="109" spans="1:9">
      <c r="A109" t="str">
        <f>V.Poor!Q44</f>
        <v>Labour - formal emp</v>
      </c>
      <c r="B109" s="109">
        <f>V.Poor!R44</f>
        <v>0</v>
      </c>
      <c r="C109" s="109">
        <f>Poor!R44</f>
        <v>0</v>
      </c>
      <c r="D109" s="109">
        <f>Middle!R44</f>
        <v>0</v>
      </c>
      <c r="E109" s="109">
        <f>Rich!R44</f>
        <v>0</v>
      </c>
      <c r="F109" s="109">
        <f>V.Poor!T44</f>
        <v>0</v>
      </c>
      <c r="G109" s="109">
        <f>Poor!T44</f>
        <v>0</v>
      </c>
      <c r="H109" s="109">
        <f>Middle!T44</f>
        <v>0</v>
      </c>
      <c r="I109" s="109">
        <f>Rich!T44</f>
        <v>0</v>
      </c>
    </row>
    <row r="110" spans="1:9">
      <c r="A110" t="str">
        <f>V.Poor!Q45</f>
        <v>Labour - public works</v>
      </c>
      <c r="B110" s="109">
        <f>V.Poor!R45</f>
        <v>0</v>
      </c>
      <c r="C110" s="109">
        <f>Poor!R45</f>
        <v>14916</v>
      </c>
      <c r="D110" s="109">
        <f>Middle!R45</f>
        <v>0</v>
      </c>
      <c r="E110" s="109">
        <f>Rich!R45</f>
        <v>0</v>
      </c>
      <c r="F110" s="109">
        <f>V.Poor!T45</f>
        <v>0</v>
      </c>
      <c r="G110" s="109">
        <f>Poor!T45</f>
        <v>17600.879999999997</v>
      </c>
      <c r="H110" s="109">
        <f>Middle!T45</f>
        <v>0</v>
      </c>
      <c r="I110" s="109">
        <f>Rich!T45</f>
        <v>0</v>
      </c>
    </row>
    <row r="111" spans="1:9">
      <c r="A111" t="str">
        <f>V.Poor!Q46</f>
        <v>Self - employment</v>
      </c>
      <c r="B111" s="109">
        <f>V.Poor!R46</f>
        <v>0</v>
      </c>
      <c r="C111" s="109">
        <f>Poor!R46</f>
        <v>0</v>
      </c>
      <c r="D111" s="109">
        <f>Middle!R46</f>
        <v>0</v>
      </c>
      <c r="E111" s="109">
        <f>Rich!R46</f>
        <v>0</v>
      </c>
      <c r="F111" s="109">
        <f>V.Poor!T46</f>
        <v>0</v>
      </c>
      <c r="G111" s="109">
        <f>Poor!T46</f>
        <v>0</v>
      </c>
      <c r="H111" s="109">
        <f>Middle!T46</f>
        <v>0</v>
      </c>
      <c r="I111" s="109">
        <f>Rich!T46</f>
        <v>0</v>
      </c>
    </row>
    <row r="112" spans="1:9">
      <c r="A112" t="str">
        <f>V.Poor!Q47</f>
        <v>Small business/petty trading</v>
      </c>
      <c r="B112" s="109">
        <f>V.Poor!R47</f>
        <v>0</v>
      </c>
      <c r="C112" s="109">
        <f>Poor!R47</f>
        <v>0</v>
      </c>
      <c r="D112" s="109">
        <f>Middle!R47</f>
        <v>0</v>
      </c>
      <c r="E112" s="109">
        <f>Rich!R47</f>
        <v>0</v>
      </c>
      <c r="F112" s="109">
        <f>V.Poor!T47</f>
        <v>0</v>
      </c>
      <c r="G112" s="109">
        <f>Poor!T47</f>
        <v>0</v>
      </c>
      <c r="H112" s="109">
        <f>Middle!T47</f>
        <v>0</v>
      </c>
      <c r="I112" s="109">
        <f>Rich!T47</f>
        <v>0</v>
      </c>
    </row>
    <row r="113" spans="1:9">
      <c r="A113" t="str">
        <f>V.Poor!Q48</f>
        <v>Food transfer - official</v>
      </c>
      <c r="B113" s="109">
        <f>V.Poor!R48</f>
        <v>1401.3106912413493</v>
      </c>
      <c r="C113" s="109">
        <f>Poor!R48</f>
        <v>1401.3106912413493</v>
      </c>
      <c r="D113" s="109">
        <f>Middle!R48</f>
        <v>0</v>
      </c>
      <c r="E113" s="109">
        <f>Rich!R48</f>
        <v>0</v>
      </c>
      <c r="F113" s="109">
        <f>V.Poor!T48</f>
        <v>2312.1626405482261</v>
      </c>
      <c r="G113" s="109">
        <f>Poor!T48</f>
        <v>2312.1626405482261</v>
      </c>
      <c r="H113" s="109">
        <f>Middle!T48</f>
        <v>0</v>
      </c>
      <c r="I113" s="109">
        <f>Rich!T48</f>
        <v>0</v>
      </c>
    </row>
    <row r="114" spans="1:9">
      <c r="A114" t="str">
        <f>V.Poor!Q49</f>
        <v>Food transfer - gifts</v>
      </c>
      <c r="B114" s="109">
        <f>V.Poor!R49</f>
        <v>0</v>
      </c>
      <c r="C114" s="109">
        <f>Poor!R49</f>
        <v>0</v>
      </c>
      <c r="D114" s="109">
        <f>Middle!R49</f>
        <v>0</v>
      </c>
      <c r="E114" s="109">
        <f>Rich!R49</f>
        <v>0</v>
      </c>
      <c r="F114" s="109">
        <f>V.Poor!T49</f>
        <v>0</v>
      </c>
      <c r="G114" s="109">
        <f>Poor!T49</f>
        <v>0</v>
      </c>
      <c r="H114" s="109">
        <f>Middle!T49</f>
        <v>0</v>
      </c>
      <c r="I114" s="109">
        <f>Rich!T49</f>
        <v>0</v>
      </c>
    </row>
    <row r="115" spans="1:9">
      <c r="A115" t="str">
        <f>V.Poor!Q50</f>
        <v>Cash transfer - official</v>
      </c>
      <c r="B115" s="109">
        <f>V.Poor!R50</f>
        <v>23108.571428571428</v>
      </c>
      <c r="C115" s="109">
        <f>Poor!R50</f>
        <v>22020</v>
      </c>
      <c r="D115" s="109">
        <f>Middle!R50</f>
        <v>0</v>
      </c>
      <c r="E115" s="109">
        <f>Rich!R50</f>
        <v>0</v>
      </c>
      <c r="F115" s="109">
        <f>V.Poor!T50</f>
        <v>27268.114285714288</v>
      </c>
      <c r="G115" s="109">
        <f>Poor!T50</f>
        <v>25983.599999999999</v>
      </c>
      <c r="H115" s="109">
        <f>Middle!T50</f>
        <v>0</v>
      </c>
      <c r="I115" s="109">
        <f>Rich!T50</f>
        <v>0</v>
      </c>
    </row>
    <row r="116" spans="1:9">
      <c r="A116" t="str">
        <f>V.Poor!Q51</f>
        <v>Cash transfer - gifts</v>
      </c>
      <c r="B116" s="109">
        <f>V.Poor!R51</f>
        <v>0</v>
      </c>
      <c r="C116" s="109">
        <f>Poor!R51</f>
        <v>0</v>
      </c>
      <c r="D116" s="109">
        <f>Middle!R51</f>
        <v>0</v>
      </c>
      <c r="E116" s="109">
        <f>Rich!R51</f>
        <v>0</v>
      </c>
      <c r="F116" s="109">
        <f>V.Poor!T51</f>
        <v>0</v>
      </c>
      <c r="G116" s="109">
        <f>Poor!T51</f>
        <v>0</v>
      </c>
      <c r="H116" s="109">
        <f>Middle!T51</f>
        <v>0</v>
      </c>
      <c r="I116" s="109">
        <f>Rich!T51</f>
        <v>0</v>
      </c>
    </row>
    <row r="117" spans="1:9">
      <c r="A117" t="str">
        <f>V.Poor!Q52</f>
        <v>Other</v>
      </c>
      <c r="B117" s="109">
        <f>V.Poor!R52</f>
        <v>0</v>
      </c>
      <c r="C117" s="109">
        <f>Poor!R52</f>
        <v>0</v>
      </c>
      <c r="D117" s="109">
        <f>Middle!R52</f>
        <v>0</v>
      </c>
      <c r="E117" s="109">
        <f>Rich!R52</f>
        <v>0</v>
      </c>
      <c r="F117" s="109">
        <f>V.Poor!T52</f>
        <v>0</v>
      </c>
      <c r="G117" s="109">
        <f>Poor!T52</f>
        <v>0</v>
      </c>
      <c r="H117" s="109">
        <f>Middle!T52</f>
        <v>0</v>
      </c>
      <c r="I117" s="109">
        <f>Rich!T52</f>
        <v>0</v>
      </c>
    </row>
    <row r="118" spans="1:9">
      <c r="A118" t="str">
        <f>V.Poor!Q53</f>
        <v>TOTAL</v>
      </c>
      <c r="B118" s="109">
        <f>V.Poor!R53</f>
        <v>34327.607298110612</v>
      </c>
      <c r="C118" s="109">
        <f>Poor!R53</f>
        <v>57982.012912138351</v>
      </c>
      <c r="D118" s="109">
        <f>Middle!R53</f>
        <v>0</v>
      </c>
      <c r="E118" s="109">
        <f>Rich!R53</f>
        <v>0</v>
      </c>
      <c r="F118" s="109">
        <f>V.Poor!T53</f>
        <v>34915.113872928079</v>
      </c>
      <c r="G118" s="109">
        <f>Poor!T53</f>
        <v>55663.71421333644</v>
      </c>
      <c r="H118" s="109">
        <f>Middle!T53</f>
        <v>0</v>
      </c>
      <c r="I118" s="109">
        <f>Rich!T53</f>
        <v>0</v>
      </c>
    </row>
    <row r="119" spans="1:9">
      <c r="A119" t="str">
        <f>V.Poor!Q54</f>
        <v>Food Poverty line</v>
      </c>
      <c r="B119" s="109">
        <f>V.Poor!R54</f>
        <v>24062.646384067204</v>
      </c>
      <c r="C119" s="109">
        <f>Poor!R54</f>
        <v>24062.646384067204</v>
      </c>
      <c r="D119" s="109">
        <f>Middle!R54</f>
        <v>0</v>
      </c>
      <c r="E119" s="109">
        <f>Rich!R54</f>
        <v>0</v>
      </c>
      <c r="F119" s="109">
        <f>V.Poor!T54</f>
        <v>35969.406972062061</v>
      </c>
      <c r="G119" s="109">
        <f>Poor!T54</f>
        <v>35969.406972062054</v>
      </c>
      <c r="H119" s="109">
        <f>Middle!T54</f>
        <v>0</v>
      </c>
      <c r="I119" s="109">
        <f>Rich!T54</f>
        <v>0</v>
      </c>
    </row>
    <row r="120" spans="1:9">
      <c r="A120" s="108" t="str">
        <f>V.Poor!Q55</f>
        <v>Lower Bound Poverty line</v>
      </c>
      <c r="B120" s="109">
        <f>V.Poor!R55</f>
        <v>42445.473050733868</v>
      </c>
      <c r="C120" s="109">
        <f>Poor!R55</f>
        <v>42445.473050733875</v>
      </c>
      <c r="D120" s="109">
        <f>Middle!R55</f>
        <v>0</v>
      </c>
      <c r="E120" s="109">
        <f>Rich!R55</f>
        <v>0</v>
      </c>
      <c r="F120" s="109">
        <f>V.Poor!T55</f>
        <v>54352.233638728721</v>
      </c>
      <c r="G120" s="109">
        <f>Poor!T55</f>
        <v>54352.233638728729</v>
      </c>
      <c r="H120" s="109">
        <f>Middle!T55</f>
        <v>0</v>
      </c>
      <c r="I120" s="109">
        <f>Rich!T55</f>
        <v>0</v>
      </c>
    </row>
    <row r="121" spans="1:9">
      <c r="A121" s="108" t="str">
        <f>V.Poor!Q56</f>
        <v>Upper Bound Poverty line</v>
      </c>
      <c r="B121" s="109">
        <f>V.Poor!R56</f>
        <v>75183.393050733866</v>
      </c>
      <c r="C121" s="109">
        <f>Poor!R56</f>
        <v>75183.393050733881</v>
      </c>
      <c r="D121" s="109">
        <f>Middle!R56</f>
        <v>0</v>
      </c>
      <c r="E121" s="109">
        <f>Rich!R56</f>
        <v>0</v>
      </c>
      <c r="F121" s="109">
        <f>V.Poor!T56</f>
        <v>87090.153638728734</v>
      </c>
      <c r="G121" s="109">
        <f>Poor!T56</f>
        <v>87090.15363872872</v>
      </c>
      <c r="H121" s="109">
        <f>Middle!T56</f>
        <v>0</v>
      </c>
      <c r="I121" s="109">
        <f>Rich!T56</f>
        <v>0</v>
      </c>
    </row>
    <row r="122" spans="1:9">
      <c r="A122" s="108">
        <f>V.Poor!Q57</f>
        <v>0</v>
      </c>
      <c r="B122" s="109">
        <f>V.Poor!R57</f>
        <v>0</v>
      </c>
      <c r="C122" s="109">
        <f>Poor!R57</f>
        <v>0</v>
      </c>
      <c r="D122" s="109">
        <f>Middle!R57</f>
        <v>0</v>
      </c>
      <c r="E122" s="109">
        <f>Rich!R57</f>
        <v>0</v>
      </c>
      <c r="F122" s="109">
        <f>V.Poor!T57</f>
        <v>0</v>
      </c>
      <c r="G122" s="109">
        <f>Poor!T57</f>
        <v>0</v>
      </c>
      <c r="H122" s="109">
        <f>Middle!T57</f>
        <v>0</v>
      </c>
      <c r="I122" s="109">
        <f>Rich!T57</f>
        <v>0</v>
      </c>
    </row>
    <row r="123" spans="1:9">
      <c r="A123" t="str">
        <f>V.Poor!Q54</f>
        <v>Food Poverty line</v>
      </c>
      <c r="F123" s="109">
        <f>V.Poor!T54</f>
        <v>35969.406972062061</v>
      </c>
      <c r="G123" s="109">
        <f>Poor!T54</f>
        <v>35969.406972062054</v>
      </c>
      <c r="H123" s="109">
        <f>Middle!T54</f>
        <v>0</v>
      </c>
      <c r="I123" s="109">
        <f>Rich!T54</f>
        <v>0</v>
      </c>
    </row>
    <row r="124" spans="1:9">
      <c r="A124" t="str">
        <f>V.Poor!Q55</f>
        <v>Lower Bound Poverty line</v>
      </c>
      <c r="F124" s="109">
        <f>V.Poor!T55</f>
        <v>54352.233638728721</v>
      </c>
      <c r="G124" s="109">
        <f>Poor!T55</f>
        <v>54352.233638728729</v>
      </c>
      <c r="H124" s="109">
        <f>Middle!T55</f>
        <v>0</v>
      </c>
      <c r="I124" s="109">
        <f>Rich!T55</f>
        <v>0</v>
      </c>
    </row>
    <row r="125" spans="1:9">
      <c r="A125" t="str">
        <f>V.Poor!Q56</f>
        <v>Upper Bound Poverty line</v>
      </c>
      <c r="F125" s="109">
        <f>V.Poor!T56</f>
        <v>87090.153638728734</v>
      </c>
      <c r="G125" s="109">
        <f>Poor!T56</f>
        <v>87090.15363872872</v>
      </c>
      <c r="H125" s="109">
        <f>Middle!T56</f>
        <v>0</v>
      </c>
      <c r="I125" s="109">
        <f>Rich!T56</f>
        <v>0</v>
      </c>
    </row>
    <row r="126" spans="1:9">
      <c r="A126">
        <f>V.Poor!Q57</f>
        <v>0</v>
      </c>
      <c r="F126" s="109">
        <f>V.Poor!T57</f>
        <v>0</v>
      </c>
      <c r="G126" s="109">
        <f>Poor!T57</f>
        <v>0</v>
      </c>
      <c r="H126" s="109">
        <f>Middle!T57</f>
        <v>0</v>
      </c>
      <c r="I126" s="109">
        <f>Rich!T57</f>
        <v>0</v>
      </c>
    </row>
    <row r="128" spans="1:9">
      <c r="A128" t="s">
        <v>141</v>
      </c>
      <c r="B128" s="238">
        <f>IF(B119&gt;B$88,B119-B$88,0)</f>
        <v>0</v>
      </c>
      <c r="C128" s="238">
        <f t="shared" ref="C128:I128" si="1">IF(C119&gt;C$88,C119-C$88,0)</f>
        <v>0</v>
      </c>
      <c r="D128" s="238">
        <f t="shared" si="1"/>
        <v>0</v>
      </c>
      <c r="E128" s="238">
        <f t="shared" si="1"/>
        <v>0</v>
      </c>
      <c r="F128" s="238">
        <f t="shared" si="1"/>
        <v>1054.2930991339817</v>
      </c>
      <c r="G128" s="238">
        <f t="shared" si="1"/>
        <v>0</v>
      </c>
      <c r="H128" s="238">
        <f t="shared" si="1"/>
        <v>0</v>
      </c>
      <c r="I128" s="238">
        <f t="shared" si="1"/>
        <v>0</v>
      </c>
    </row>
    <row r="129" spans="1:9">
      <c r="A129" t="s">
        <v>142</v>
      </c>
      <c r="B129" s="238">
        <f>IF(B120&gt;B$88,B120-B$88,0)</f>
        <v>0</v>
      </c>
      <c r="C129" s="238">
        <f t="shared" ref="C129:I129" si="2">IF(C120&gt;C$88,C120-C$88,0)</f>
        <v>0</v>
      </c>
      <c r="D129" s="238">
        <f t="shared" si="2"/>
        <v>0</v>
      </c>
      <c r="E129" s="238">
        <f t="shared" si="2"/>
        <v>0</v>
      </c>
      <c r="F129" s="238">
        <f t="shared" si="2"/>
        <v>19437.119765800642</v>
      </c>
      <c r="G129" s="238">
        <f t="shared" si="2"/>
        <v>0</v>
      </c>
      <c r="H129" s="238">
        <f t="shared" si="2"/>
        <v>0</v>
      </c>
      <c r="I129" s="238">
        <f t="shared" si="2"/>
        <v>0</v>
      </c>
    </row>
    <row r="130" spans="1:9">
      <c r="A130" t="s">
        <v>143</v>
      </c>
      <c r="B130" s="238">
        <f>IF(B121&gt;B$88,B121-B$88,0)</f>
        <v>23869.682265354953</v>
      </c>
      <c r="C130" s="238">
        <f t="shared" ref="C130:I130" si="3">IF(C121&gt;C$88,C121-C$88,0)</f>
        <v>0</v>
      </c>
      <c r="D130" s="238">
        <f t="shared" si="3"/>
        <v>0</v>
      </c>
      <c r="E130" s="238">
        <f t="shared" si="3"/>
        <v>0</v>
      </c>
      <c r="F130" s="238">
        <f t="shared" si="3"/>
        <v>52175.039765800655</v>
      </c>
      <c r="G130" s="238">
        <f t="shared" si="3"/>
        <v>31426.43942539228</v>
      </c>
      <c r="H130" s="238">
        <f t="shared" si="3"/>
        <v>0</v>
      </c>
      <c r="I130" s="238">
        <f t="shared" si="3"/>
        <v>0</v>
      </c>
    </row>
    <row r="131" spans="1:9">
      <c r="A131" t="s">
        <v>144</v>
      </c>
      <c r="B131" s="238">
        <f>IF(B122&gt;B$88,B122-B$88,0)</f>
        <v>0</v>
      </c>
      <c r="C131" s="238">
        <f t="shared" ref="C131:I131" si="4">IF(C122&gt;C$88,C122-C$88,0)</f>
        <v>0</v>
      </c>
      <c r="D131" s="238">
        <f t="shared" si="4"/>
        <v>0</v>
      </c>
      <c r="E131" s="238">
        <f t="shared" si="4"/>
        <v>0</v>
      </c>
      <c r="F131" s="238">
        <f t="shared" si="4"/>
        <v>0</v>
      </c>
      <c r="G131" s="238">
        <f t="shared" si="4"/>
        <v>0</v>
      </c>
      <c r="H131" s="238">
        <f t="shared" si="4"/>
        <v>0</v>
      </c>
      <c r="I131" s="238">
        <f t="shared" si="4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2016-10-06T12:08:36Z</dcterms:modified>
  <cp:category/>
</cp:coreProperties>
</file>