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4140" windowHeight="16780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12" l="1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T56" i="1"/>
  <c r="S56" i="1"/>
  <c r="R56" i="1"/>
  <c r="T55" i="1"/>
  <c r="S55" i="1"/>
  <c r="R55" i="1"/>
  <c r="T54" i="1"/>
  <c r="S54" i="1"/>
  <c r="R54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T56" i="8"/>
  <c r="S56" i="8"/>
  <c r="R56" i="8"/>
  <c r="T55" i="8"/>
  <c r="S55" i="8"/>
  <c r="R55" i="8"/>
  <c r="T54" i="8"/>
  <c r="S54" i="8"/>
  <c r="R54" i="8"/>
  <c r="R38" i="8"/>
  <c r="S38" i="8"/>
  <c r="T38" i="8"/>
  <c r="R39" i="8"/>
  <c r="S39" i="8"/>
  <c r="T39" i="8"/>
  <c r="R40" i="8"/>
  <c r="S40" i="8"/>
  <c r="T40" i="8"/>
  <c r="R41" i="8"/>
  <c r="S41" i="8"/>
  <c r="T41" i="8"/>
  <c r="R42" i="8"/>
  <c r="S42" i="8"/>
  <c r="T42" i="8"/>
  <c r="R43" i="8"/>
  <c r="S43" i="8"/>
  <c r="T43" i="8"/>
  <c r="R44" i="8"/>
  <c r="S44" i="8"/>
  <c r="T44" i="8"/>
  <c r="R45" i="8"/>
  <c r="S45" i="8"/>
  <c r="T45" i="8"/>
  <c r="R46" i="8"/>
  <c r="S46" i="8"/>
  <c r="T46" i="8"/>
  <c r="R47" i="8"/>
  <c r="S47" i="8"/>
  <c r="T47" i="8"/>
  <c r="R48" i="8"/>
  <c r="S48" i="8"/>
  <c r="T48" i="8"/>
  <c r="R49" i="8"/>
  <c r="S49" i="8"/>
  <c r="T49" i="8"/>
  <c r="R50" i="8"/>
  <c r="S50" i="8"/>
  <c r="T50" i="8"/>
  <c r="R51" i="8"/>
  <c r="S51" i="8"/>
  <c r="T51" i="8"/>
  <c r="R52" i="8"/>
  <c r="S52" i="8"/>
  <c r="T52" i="8"/>
  <c r="T37" i="8"/>
  <c r="S37" i="8"/>
  <c r="R37" i="8"/>
  <c r="T53" i="8"/>
  <c r="S53" i="8"/>
  <c r="R53" i="8"/>
  <c r="A124" i="9"/>
  <c r="F124" i="9"/>
  <c r="G124" i="9"/>
  <c r="H124" i="9"/>
  <c r="I124" i="9"/>
  <c r="A125" i="9"/>
  <c r="F125" i="9"/>
  <c r="G125" i="9"/>
  <c r="H125" i="9"/>
  <c r="I125" i="9"/>
  <c r="A126" i="9"/>
  <c r="F126" i="9"/>
  <c r="G126" i="9"/>
  <c r="H126" i="9"/>
  <c r="I126" i="9"/>
  <c r="I123" i="9"/>
  <c r="H123" i="9"/>
  <c r="G123" i="9"/>
  <c r="F123" i="9"/>
  <c r="A123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E119" i="9"/>
  <c r="D119" i="9"/>
  <c r="C119" i="9"/>
  <c r="B119" i="9"/>
  <c r="A119" i="9"/>
  <c r="A118" i="9"/>
  <c r="B118" i="9"/>
  <c r="C118" i="9"/>
  <c r="D118" i="9"/>
  <c r="E118" i="9"/>
  <c r="F118" i="9"/>
  <c r="G118" i="9"/>
  <c r="H118" i="9"/>
  <c r="I118" i="9"/>
  <c r="A115" i="9"/>
  <c r="B115" i="9"/>
  <c r="C115" i="9"/>
  <c r="D115" i="9"/>
  <c r="E115" i="9"/>
  <c r="F115" i="9"/>
  <c r="G115" i="9"/>
  <c r="H115" i="9"/>
  <c r="I115" i="9"/>
  <c r="A116" i="9"/>
  <c r="B116" i="9"/>
  <c r="C116" i="9"/>
  <c r="D116" i="9"/>
  <c r="E116" i="9"/>
  <c r="F116" i="9"/>
  <c r="G116" i="9"/>
  <c r="H116" i="9"/>
  <c r="I116" i="9"/>
  <c r="A117" i="9"/>
  <c r="B117" i="9"/>
  <c r="C117" i="9"/>
  <c r="D117" i="9"/>
  <c r="E117" i="9"/>
  <c r="F117" i="9"/>
  <c r="G117" i="9"/>
  <c r="H117" i="9"/>
  <c r="I117" i="9"/>
  <c r="A113" i="9"/>
  <c r="B113" i="9"/>
  <c r="C113" i="9"/>
  <c r="D113" i="9"/>
  <c r="E113" i="9"/>
  <c r="F113" i="9"/>
  <c r="G113" i="9"/>
  <c r="H113" i="9"/>
  <c r="I113" i="9"/>
  <c r="A114" i="9"/>
  <c r="B114" i="9"/>
  <c r="C114" i="9"/>
  <c r="D114" i="9"/>
  <c r="E114" i="9"/>
  <c r="F114" i="9"/>
  <c r="G114" i="9"/>
  <c r="H114" i="9"/>
  <c r="I114" i="9"/>
  <c r="A112" i="9"/>
  <c r="B112" i="9"/>
  <c r="C112" i="9"/>
  <c r="D112" i="9"/>
  <c r="E112" i="9"/>
  <c r="F112" i="9"/>
  <c r="G112" i="9"/>
  <c r="H112" i="9"/>
  <c r="I112" i="9"/>
  <c r="A111" i="9"/>
  <c r="B111" i="9"/>
  <c r="C111" i="9"/>
  <c r="D111" i="9"/>
  <c r="E111" i="9"/>
  <c r="F111" i="9"/>
  <c r="G111" i="9"/>
  <c r="H111" i="9"/>
  <c r="I111" i="9"/>
  <c r="A110" i="9"/>
  <c r="B110" i="9"/>
  <c r="C110" i="9"/>
  <c r="D110" i="9"/>
  <c r="E110" i="9"/>
  <c r="F110" i="9"/>
  <c r="G110" i="9"/>
  <c r="H110" i="9"/>
  <c r="I110" i="9"/>
  <c r="A109" i="9"/>
  <c r="B109" i="9"/>
  <c r="C109" i="9"/>
  <c r="D109" i="9"/>
  <c r="E109" i="9"/>
  <c r="F109" i="9"/>
  <c r="G109" i="9"/>
  <c r="H109" i="9"/>
  <c r="I109" i="9"/>
  <c r="A108" i="9"/>
  <c r="B108" i="9"/>
  <c r="C108" i="9"/>
  <c r="D108" i="9"/>
  <c r="E108" i="9"/>
  <c r="F108" i="9"/>
  <c r="G108" i="9"/>
  <c r="H108" i="9"/>
  <c r="I108" i="9"/>
  <c r="A107" i="9"/>
  <c r="B107" i="9"/>
  <c r="C107" i="9"/>
  <c r="D107" i="9"/>
  <c r="E107" i="9"/>
  <c r="F107" i="9"/>
  <c r="G107" i="9"/>
  <c r="H107" i="9"/>
  <c r="I107" i="9"/>
  <c r="A106" i="9"/>
  <c r="B106" i="9"/>
  <c r="C106" i="9"/>
  <c r="D106" i="9"/>
  <c r="E106" i="9"/>
  <c r="F106" i="9"/>
  <c r="G106" i="9"/>
  <c r="H106" i="9"/>
  <c r="I106" i="9"/>
  <c r="A105" i="9"/>
  <c r="B105" i="9"/>
  <c r="C105" i="9"/>
  <c r="D105" i="9"/>
  <c r="E105" i="9"/>
  <c r="F105" i="9"/>
  <c r="G105" i="9"/>
  <c r="H105" i="9"/>
  <c r="I105" i="9"/>
  <c r="A104" i="9"/>
  <c r="B104" i="9"/>
  <c r="C104" i="9"/>
  <c r="D104" i="9"/>
  <c r="E104" i="9"/>
  <c r="F104" i="9"/>
  <c r="G104" i="9"/>
  <c r="H104" i="9"/>
  <c r="I104" i="9"/>
  <c r="A103" i="9"/>
  <c r="B103" i="9"/>
  <c r="C103" i="9"/>
  <c r="D103" i="9"/>
  <c r="E103" i="9"/>
  <c r="F103" i="9"/>
  <c r="G103" i="9"/>
  <c r="H103" i="9"/>
  <c r="I103" i="9"/>
  <c r="I102" i="9"/>
  <c r="H102" i="9"/>
  <c r="G102" i="9"/>
  <c r="F102" i="9"/>
  <c r="E102" i="9"/>
  <c r="D102" i="9"/>
  <c r="C102" i="9"/>
  <c r="B102" i="9"/>
  <c r="A102" i="9"/>
  <c r="I131" i="9"/>
  <c r="H131" i="9"/>
  <c r="G131" i="9"/>
  <c r="F131" i="9"/>
  <c r="E131" i="9"/>
  <c r="D131" i="9"/>
  <c r="C131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<sst xmlns="http://schemas.openxmlformats.org/spreadsheetml/2006/main" count="874" uniqueCount="142">
  <si>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</si>
  <si>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</si>
  <si>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</si>
  <si>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</si>
  <si>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</si>
  <si>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</si>
  <si>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</si>
  <si>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</si>
  <si>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</si>
  <si>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</si>
  <si>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</si>
  <si>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</si>
  <si>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</si>
  <si>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</si>
  <si>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</si>
  <si>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</si>
  <si>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</si>
  <si>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</si>
  <si>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</si>
  <si>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</si>
  <si>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</si>
  <si>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</si>
  <si>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</si>
  <si>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</si>
  <si>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</si>
  <si>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</si>
  <si>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</si>
  <si>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</si>
  <si>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</si>
  <si>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</si>
  <si>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</si>
  <si>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</si>
  <si>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</si>
  <si>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</si>
  <si>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</si>
  <si>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</si>
  <si>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</si>
  <si>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</si>
  <si>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</si>
  <si>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</si>
  <si>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</si>
  <si>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</si>
  <si>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</si>
  <si>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</si>
  <si>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</si>
  <si>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</si>
  <si>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</si>
  <si>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</si>
  <si>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</si>
  <si>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</si>
  <si>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</si>
  <si>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</si>
  <si>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</si>
  <si>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</si>
  <si>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</si>
  <si>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</si>
  <si>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</si>
  <si>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</si>
  <si>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</si>
  <si>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</si>
  <si>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</si>
  <si>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</si>
  <si>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</si>
  <si>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</si>
  <si>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</si>
  <si>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</si>
  <si>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</si>
  <si>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</si>
  <si>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</si>
  <si>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</si>
  <si>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</si>
  <si>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</si>
  <si>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</si>
  <si>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</si>
  <si>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</si>
  <si>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</si>
  <si>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</si>
  <si>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</si>
  <si>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</si>
  <si>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</si>
  <si>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</si>
  <si>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</si>
  <si>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</si>
  <si>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</si>
  <si>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</si>
  <si>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</si>
  <si>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</si>
  <si>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</si>
  <si>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</si>
  <si>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</si>
  <si>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</si>
  <si>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</si>
  <si>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</si>
  <si>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</si>
  <si>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</si>
  <si>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</si>
  <si>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</si>
  <si>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</si>
  <si>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</si>
  <si>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</si>
  <si>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</si>
  <si>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</si>
  <si>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</si>
  <si>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</si>
  <si>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</si>
  <si>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</si>
  <si>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</si>
  <si>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</si>
  <si>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</si>
  <si>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</si>
  <si>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</si>
  <si>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</si>
  <si>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</si>
  <si>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</si>
  <si>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</si>
  <si>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</si>
  <si>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</si>
  <si>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</si>
  <si>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</si>
  <si>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</si>
  <si>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</si>
  <si>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</si>
  <si>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</si>
  <si>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</si>
  <si>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</si>
  <si>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Sources of Food : Q1 HHs</t>
  </si>
  <si>
    <t>Income : Q1 HHs</t>
  </si>
  <si>
    <t>Expenditure : Q1 HHs</t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</si>
  <si>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</si>
  <si>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</si>
  <si>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</si>
  <si>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Sources of Food : Q3 HHs</t>
  </si>
  <si>
    <t>Income : Q3 HHs</t>
  </si>
  <si>
    <t>Expenditure : Q3 HHs</t>
  </si>
  <si>
    <t>Sources of Food : Q4 HHs</t>
  </si>
  <si>
    <t>Income : Q4 HHs</t>
  </si>
  <si>
    <t>Expenditure : Q4 HHs</t>
  </si>
  <si>
    <t>Quintile 2</t>
  </si>
  <si>
    <t>Quintile 3</t>
  </si>
  <si>
    <t>Quintile 4</t>
  </si>
  <si>
    <t>Baseline:Quintile1</t>
  </si>
  <si>
    <t>Current: Quintile1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</si>
</sst>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</numFmts>
  <fonts count="36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9C0006"/>
      <name val="Arial"/>
      <family val="2"/>
    </font>
    <font>
      <sz val="10"/>
      <color rgb="FFF2DCDB"/>
      <name val="Arial"/>
    </font>
    <font>
      <sz val="10"/>
      <color rgb="FF60497A"/>
      <name val="Arial"/>
    </font>
    <font>
      <sz val="10"/>
      <color rgb="FF16365C"/>
      <name val="Arial"/>
    </font>
    <font>
      <sz val="10"/>
      <color rgb="FF595959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C66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4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0" fontId="0" fillId="0" borderId="0" xfId="0" applyFont="1" applyAlignment="1"/>
    <xf numFmtId="9" fontId="5" fillId="0" borderId="0" xfId="0" applyNumberFormat="1" applyFont="1" applyBorder="1" applyProtection="1">
      <alignment vertical="top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34" xfId="0" applyBorder="1" applyAlignment="1"/>
    <xf numFmtId="3" fontId="0" fillId="0" borderId="34" xfId="1" applyNumberFormat="1" applyFont="1" applyBorder="1" applyAlignment="1"/>
    <xf numFmtId="1" fontId="7" fillId="0" borderId="0" xfId="0" applyNumberFormat="1" applyFont="1" applyBorder="1" applyAlignment="1" applyProtection="1">
      <alignment horizontal="righ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1" fontId="32" fillId="12" borderId="0" xfId="0" applyNumberFormat="1" applyFont="1" applyFill="1" applyAlignment="1" applyProtection="1">
      <alignment horizontal="left"/>
      <protection locked="0"/>
    </xf>
    <xf numFmtId="1" fontId="33" fillId="13" borderId="0" xfId="0" applyNumberFormat="1" applyFont="1" applyFill="1" applyAlignment="1" applyProtection="1">
      <alignment horizontal="left"/>
      <protection locked="0"/>
    </xf>
    <xf numFmtId="1" fontId="34" fillId="14" borderId="0" xfId="0" applyNumberFormat="1" applyFont="1" applyFill="1" applyAlignment="1" applyProtection="1">
      <alignment horizontal="left"/>
      <protection locked="0"/>
    </xf>
    <xf numFmtId="1" fontId="7" fillId="15" borderId="0" xfId="0" applyNumberFormat="1" applyFont="1" applyFill="1" applyAlignment="1" applyProtection="1">
      <alignment horizontal="left"/>
      <protection locked="0"/>
    </xf>
    <xf numFmtId="1" fontId="35" fillId="16" borderId="0" xfId="0" applyNumberFormat="1" applyFont="1" applyFill="1" applyAlignment="1" applyProtection="1">
      <alignment horizontal="left"/>
      <protection locked="0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39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914040"/>
        <c:axId val="-2072950056"/>
      </c:barChart>
      <c:catAx>
        <c:axId val="-207291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95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95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91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2850664"/>
        <c:axId val="-2012847672"/>
      </c:barChart>
      <c:catAx>
        <c:axId val="-201285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84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84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85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40888"/>
        <c:axId val="-2076628056"/>
      </c:barChart>
      <c:catAx>
        <c:axId val="-207664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2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2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40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92744"/>
        <c:axId val="-2078882552"/>
      </c:barChart>
      <c:catAx>
        <c:axId val="-207869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88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88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9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58168577373424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632088"/>
        <c:axId val="-20736429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632088"/>
        <c:axId val="-2073642968"/>
      </c:lineChart>
      <c:catAx>
        <c:axId val="-207863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4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4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63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36323748737111"/>
          <c:y val="0.011627906976744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2549160"/>
        <c:axId val="-20124961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49160"/>
        <c:axId val="-2012496120"/>
      </c:lineChart>
      <c:catAx>
        <c:axId val="-201254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49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49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54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712472"/>
        <c:axId val="-20626735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12472"/>
        <c:axId val="-2062673512"/>
      </c:lineChart>
      <c:catAx>
        <c:axId val="-2062712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673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67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71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Urban Poor -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Income!$A$103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Income!$B$103:$I$103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Income!$A$104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Income!$B$104:$I$104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Income!$A$106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Income!$B$106:$I$106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Income!$A$107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Income!$B$107:$I$107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Income!$B$108:$I$108</c:f>
              <c:numCache>
                <c:formatCode>#,##0</c:formatCode>
                <c:ptCount val="8"/>
                <c:pt idx="0">
                  <c:v>4020.0</c:v>
                </c:pt>
                <c:pt idx="1">
                  <c:v>9408.0</c:v>
                </c:pt>
                <c:pt idx="2">
                  <c:v>13860.0</c:v>
                </c:pt>
                <c:pt idx="3">
                  <c:v>19800.0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12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Income!$B$109:$I$109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9000.0</c:v>
                </c:pt>
                <c:pt idx="3">
                  <c:v>23100.0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Income!$B$110:$I$110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Income!$B$111:$I$111</c:f>
              <c:numCache>
                <c:formatCode>#,##0</c:formatCode>
                <c:ptCount val="8"/>
                <c:pt idx="0">
                  <c:v>2340.0</c:v>
                </c:pt>
                <c:pt idx="1">
                  <c:v>5460.0</c:v>
                </c:pt>
                <c:pt idx="2">
                  <c:v>7020.0</c:v>
                </c:pt>
                <c:pt idx="3">
                  <c:v>9504.0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15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Income!$B$112:$I$112</c:f>
              <c:numCache>
                <c:formatCode>#,##0</c:formatCode>
                <c:ptCount val="8"/>
                <c:pt idx="0">
                  <c:v>0.0</c:v>
                </c:pt>
                <c:pt idx="1">
                  <c:v>2820.0</c:v>
                </c:pt>
                <c:pt idx="2">
                  <c:v>4680.0</c:v>
                </c:pt>
                <c:pt idx="3">
                  <c:v>5940.0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Income!$B$113:$I$113</c:f>
              <c:numCache>
                <c:formatCode>#,##0</c:formatCode>
                <c:ptCount val="8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Income!$A$114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Income!$B$114:$I$114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Income!$B$115:$I$115</c:f>
              <c:numCache>
                <c:formatCode>#,##0</c:formatCode>
                <c:ptCount val="8"/>
                <c:pt idx="0">
                  <c:v>10248.0</c:v>
                </c:pt>
                <c:pt idx="1">
                  <c:v>10248.0</c:v>
                </c:pt>
                <c:pt idx="2">
                  <c:v>3048.0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Income!$A$116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Income!$B$116:$I$116</c:f>
              <c:numCache>
                <c:formatCode>#,##0</c:formatCode>
                <c:ptCount val="8"/>
                <c:pt idx="0">
                  <c:v>2544.0</c:v>
                </c:pt>
                <c:pt idx="1">
                  <c:v>1740.0</c:v>
                </c:pt>
                <c:pt idx="2">
                  <c:v>2340.0</c:v>
                </c:pt>
                <c:pt idx="3">
                  <c:v>3000.0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Income!$A$117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Income!$B$117:$I$117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403368"/>
        <c:axId val="-2044399992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21962.29813744271</c:v>
                </c:pt>
                <c:pt idx="1">
                  <c:v>21962.29813744271</c:v>
                </c:pt>
                <c:pt idx="2">
                  <c:v>21962.2981374427</c:v>
                </c:pt>
                <c:pt idx="3">
                  <c:v>21962.29813744271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38331.2581374427</c:v>
                </c:pt>
                <c:pt idx="1">
                  <c:v>38331.2581374427</c:v>
                </c:pt>
                <c:pt idx="2">
                  <c:v>38331.2581374427</c:v>
                </c:pt>
                <c:pt idx="3">
                  <c:v>38331.2581374427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Baseline:Quintile1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Current: Quintile1</c:v>
                </c:pt>
                <c:pt idx="5">
                  <c:v>Quintile 2</c:v>
                </c:pt>
                <c:pt idx="6">
                  <c:v>Quintile 3</c:v>
                </c:pt>
                <c:pt idx="7">
                  <c:v>Quintile 4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03368"/>
        <c:axId val="-2044399992"/>
      </c:lineChart>
      <c:catAx>
        <c:axId val="-20444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39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39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40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376200"/>
        <c:axId val="-2013088376"/>
      </c:barChart>
      <c:catAx>
        <c:axId val="-201137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08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08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37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617304"/>
        <c:axId val="-2010613944"/>
      </c:barChart>
      <c:catAx>
        <c:axId val="-2010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61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61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61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357816"/>
        <c:axId val="-2011870360"/>
      </c:barChart>
      <c:catAx>
        <c:axId val="-201135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870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87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35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360184"/>
        <c:axId val="-2076033528"/>
      </c:barChart>
      <c:catAx>
        <c:axId val="-207536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3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3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36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667320"/>
        <c:axId val="-2073334072"/>
      </c:barChart>
      <c:catAx>
        <c:axId val="-206266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33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33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66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269384"/>
        <c:axId val="-21034819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69384"/>
        <c:axId val="-21034819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269384"/>
        <c:axId val="-2103481992"/>
      </c:scatterChart>
      <c:catAx>
        <c:axId val="-2099269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481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3481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269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760984"/>
        <c:axId val="-20619814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60984"/>
        <c:axId val="-2061981464"/>
      </c:lineChart>
      <c:catAx>
        <c:axId val="-2043760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9814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1981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760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54360"/>
        <c:axId val="-20616878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271112"/>
        <c:axId val="-2075255144"/>
      </c:scatterChart>
      <c:valAx>
        <c:axId val="-2044254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687832"/>
        <c:crosses val="autoZero"/>
        <c:crossBetween val="midCat"/>
      </c:valAx>
      <c:valAx>
        <c:axId val="-2061687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254360"/>
        <c:crosses val="autoZero"/>
        <c:crossBetween val="midCat"/>
      </c:valAx>
      <c:valAx>
        <c:axId val="-20752711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5255144"/>
        <c:crosses val="autoZero"/>
        <c:crossBetween val="midCat"/>
      </c:valAx>
      <c:valAx>
        <c:axId val="-20752551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2711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92248"/>
        <c:axId val="-20614862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92248"/>
        <c:axId val="-2061486296"/>
      </c:lineChart>
      <c:catAx>
        <c:axId val="-20614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4862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14862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4922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622120"/>
        <c:axId val="-2014773752"/>
      </c:barChart>
      <c:catAx>
        <c:axId val="-201362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77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77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2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842248"/>
        <c:axId val="-2075656296"/>
      </c:barChart>
      <c:catAx>
        <c:axId val="-207584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65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65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842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048840"/>
        <c:axId val="-2011610824"/>
      </c:barChart>
      <c:catAx>
        <c:axId val="-2011048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610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161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04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325880"/>
        <c:axId val="-2011038456"/>
      </c:barChart>
      <c:catAx>
        <c:axId val="-2098325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038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103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32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992984"/>
        <c:axId val="-2076350072"/>
      </c:barChart>
      <c:catAx>
        <c:axId val="-2057992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350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63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99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945640"/>
        <c:axId val="-2073165320"/>
      </c:barChart>
      <c:catAx>
        <c:axId val="-2056945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165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16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94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81128"/>
        <c:axId val="-2079278136"/>
      </c:barChart>
      <c:catAx>
        <c:axId val="-207928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7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7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8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622300</xdr:colOff>
      <xdr:row>132</xdr:row>
      <xdr:rowOff>25400</xdr:rowOff>
    </xdr:from>
    <xdr:to>
      <xdr:col>17</xdr:col>
      <xdr:colOff>660400</xdr:colOff>
      <xdr:row>152</xdr:row>
      <xdr:rowOff>63500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.Poor"/>
      <sheetName val="Poor"/>
      <sheetName val="Middle"/>
      <sheetName val="Rich"/>
      <sheetName val="Food"/>
      <sheetName val="Income"/>
      <sheetName val="Expenditure"/>
      <sheetName val="Percentiles"/>
    </sheetNames>
    <sheetDataSet>
      <sheetData sheetId="0"/>
      <sheetData sheetId="1"/>
      <sheetData sheetId="2"/>
      <sheetData sheetId="3"/>
      <sheetData sheetId="4"/>
      <sheetData sheetId="5">
        <row r="71">
          <cell r="B71" t="str">
            <v>Baseline: v poor</v>
          </cell>
          <cell r="C71" t="str">
            <v>Baseline: poor</v>
          </cell>
          <cell r="D71" t="str">
            <v>Baseline: middle</v>
          </cell>
          <cell r="E71" t="str">
            <v>Baseline: b-off</v>
          </cell>
          <cell r="F71" t="str">
            <v>Current: v poor</v>
          </cell>
          <cell r="G71" t="str">
            <v>Current: poor</v>
          </cell>
          <cell r="H71" t="str">
            <v>Current: Middle</v>
          </cell>
          <cell r="I71" t="str">
            <v>Current: b-off</v>
          </cell>
        </row>
        <row r="82">
          <cell r="A82" t="str">
            <v>Small business/petty trading</v>
          </cell>
        </row>
        <row r="102">
          <cell r="A102" t="str">
            <v>Own crops Consumed</v>
          </cell>
          <cell r="B102">
            <v>984.25445590616596</v>
          </cell>
          <cell r="C102">
            <v>2704.266735645449</v>
          </cell>
          <cell r="D102">
            <v>2492.8571902326798</v>
          </cell>
          <cell r="E102">
            <v>1745.9206346047977</v>
          </cell>
          <cell r="F102">
            <v>414.0773225620311</v>
          </cell>
          <cell r="G102">
            <v>1305.9185369471618</v>
          </cell>
          <cell r="H102">
            <v>5379.2251456426266</v>
          </cell>
          <cell r="I102">
            <v>896.03977909982518</v>
          </cell>
        </row>
        <row r="103">
          <cell r="A103" t="str">
            <v>Own crops sold</v>
          </cell>
          <cell r="B103">
            <v>0</v>
          </cell>
          <cell r="C103">
            <v>1660</v>
          </cell>
          <cell r="D103">
            <v>25314.285714285714</v>
          </cell>
          <cell r="E103">
            <v>10032</v>
          </cell>
          <cell r="F103">
            <v>0</v>
          </cell>
          <cell r="G103">
            <v>444.24851808903816</v>
          </cell>
          <cell r="H103">
            <v>5795.8952412628869</v>
          </cell>
          <cell r="I103">
            <v>3250.9527515545969</v>
          </cell>
        </row>
        <row r="104">
          <cell r="A104" t="str">
            <v>Animal products consumed</v>
          </cell>
          <cell r="B104">
            <v>119.18500810595445</v>
          </cell>
          <cell r="C104">
            <v>570.43548525155074</v>
          </cell>
          <cell r="D104">
            <v>1656.3641471326373</v>
          </cell>
          <cell r="E104">
            <v>2032.2021217743129</v>
          </cell>
          <cell r="F104">
            <v>39.331052674964965</v>
          </cell>
          <cell r="G104">
            <v>188.24371013301172</v>
          </cell>
          <cell r="H104">
            <v>546.60016855377023</v>
          </cell>
          <cell r="I104">
            <v>670.6267001855233</v>
          </cell>
        </row>
        <row r="106">
          <cell r="A106" t="str">
            <v>Animals sold</v>
          </cell>
          <cell r="B106">
            <v>1285.7142857142858</v>
          </cell>
          <cell r="C106">
            <v>9750</v>
          </cell>
          <cell r="D106">
            <v>28457.142857142859</v>
          </cell>
          <cell r="E106">
            <v>32750</v>
          </cell>
          <cell r="F106">
            <v>758.57142857142856</v>
          </cell>
          <cell r="G106">
            <v>5075.8608076190048</v>
          </cell>
          <cell r="H106">
            <v>19982.215006217557</v>
          </cell>
          <cell r="I106">
            <v>19378.509143798357</v>
          </cell>
        </row>
        <row r="107">
          <cell r="A107" t="str">
            <v>Wild foods consumed and sold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 t="str">
            <v>Labour - casual</v>
          </cell>
          <cell r="B108">
            <v>7428.5714285714284</v>
          </cell>
          <cell r="C108">
            <v>4960</v>
          </cell>
          <cell r="D108">
            <v>21942.857142857141</v>
          </cell>
          <cell r="E108">
            <v>0</v>
          </cell>
          <cell r="F108">
            <v>4122.8571428571431</v>
          </cell>
          <cell r="G108">
            <v>2752.8000000000006</v>
          </cell>
          <cell r="H108">
            <v>10357.028571428571</v>
          </cell>
          <cell r="I108">
            <v>0</v>
          </cell>
        </row>
        <row r="109">
          <cell r="A109" t="str">
            <v>Labour - formal emp</v>
          </cell>
          <cell r="B109">
            <v>0</v>
          </cell>
          <cell r="C109">
            <v>0</v>
          </cell>
          <cell r="D109">
            <v>0</v>
          </cell>
          <cell r="E109">
            <v>75600</v>
          </cell>
          <cell r="F109">
            <v>0</v>
          </cell>
          <cell r="G109">
            <v>0</v>
          </cell>
          <cell r="H109">
            <v>0</v>
          </cell>
          <cell r="I109">
            <v>35683.199999999997</v>
          </cell>
        </row>
        <row r="110">
          <cell r="A110" t="str">
            <v>Labour - public works</v>
          </cell>
          <cell r="B110">
            <v>0</v>
          </cell>
          <cell r="C110">
            <v>14916</v>
          </cell>
          <cell r="D110">
            <v>0</v>
          </cell>
          <cell r="E110">
            <v>0</v>
          </cell>
          <cell r="F110">
            <v>0</v>
          </cell>
          <cell r="G110">
            <v>17600.879999999997</v>
          </cell>
          <cell r="H110">
            <v>0</v>
          </cell>
          <cell r="I110">
            <v>0</v>
          </cell>
        </row>
        <row r="111">
          <cell r="A111" t="str">
            <v>Self - employment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B112">
            <v>0</v>
          </cell>
          <cell r="C112">
            <v>0</v>
          </cell>
          <cell r="D112">
            <v>8708.5714285714294</v>
          </cell>
          <cell r="E112">
            <v>62700</v>
          </cell>
          <cell r="F112">
            <v>0</v>
          </cell>
          <cell r="G112">
            <v>0</v>
          </cell>
          <cell r="H112">
            <v>10276.114285714286</v>
          </cell>
          <cell r="I112">
            <v>59188.800000000003</v>
          </cell>
        </row>
        <row r="113">
          <cell r="A113" t="str">
            <v>Food transfer - official</v>
          </cell>
          <cell r="B113">
            <v>1401.3106912413493</v>
          </cell>
          <cell r="C113">
            <v>1401.3106912413493</v>
          </cell>
          <cell r="D113">
            <v>1401.3106912413493</v>
          </cell>
          <cell r="E113">
            <v>0</v>
          </cell>
          <cell r="F113">
            <v>2312.1626405482261</v>
          </cell>
          <cell r="G113">
            <v>2312.1626405482261</v>
          </cell>
          <cell r="H113">
            <v>2312.1626405482261</v>
          </cell>
          <cell r="I113">
            <v>0</v>
          </cell>
        </row>
        <row r="114">
          <cell r="A114" t="str">
            <v>Food transfer - gifts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 t="str">
            <v>Cash transfer - official</v>
          </cell>
          <cell r="B115">
            <v>23108.571428571428</v>
          </cell>
          <cell r="C115">
            <v>22020</v>
          </cell>
          <cell r="D115">
            <v>0</v>
          </cell>
          <cell r="E115">
            <v>7620</v>
          </cell>
          <cell r="F115">
            <v>27268.114285714288</v>
          </cell>
          <cell r="G115">
            <v>25983.599999999999</v>
          </cell>
          <cell r="H115">
            <v>0</v>
          </cell>
          <cell r="I115">
            <v>8991.6</v>
          </cell>
        </row>
        <row r="116">
          <cell r="A116" t="str">
            <v>Cash transfer - gifts</v>
          </cell>
          <cell r="B116">
            <v>0</v>
          </cell>
          <cell r="C116">
            <v>0</v>
          </cell>
          <cell r="D116">
            <v>13714.285714285714</v>
          </cell>
          <cell r="E116">
            <v>26040</v>
          </cell>
          <cell r="F116">
            <v>0</v>
          </cell>
          <cell r="G116">
            <v>0</v>
          </cell>
          <cell r="H116">
            <v>15222.857142857143</v>
          </cell>
          <cell r="I116">
            <v>27030.000000000004</v>
          </cell>
        </row>
        <row r="117">
          <cell r="A117" t="str">
            <v>Other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A119" t="str">
            <v>Food Poverty line</v>
          </cell>
          <cell r="B119">
            <v>24062.646384067204</v>
          </cell>
          <cell r="C119">
            <v>24062.646384067204</v>
          </cell>
          <cell r="D119">
            <v>24062.6463840672</v>
          </cell>
          <cell r="E119">
            <v>24062.646384067208</v>
          </cell>
        </row>
        <row r="120">
          <cell r="A120" t="str">
            <v>Lower Bound Poverty line</v>
          </cell>
          <cell r="B120">
            <v>42445.473050733868</v>
          </cell>
          <cell r="C120">
            <v>42445.473050733875</v>
          </cell>
          <cell r="D120">
            <v>42445.473050733868</v>
          </cell>
          <cell r="E120">
            <v>42445.473050733883</v>
          </cell>
        </row>
        <row r="121">
          <cell r="A121" t="str">
            <v>Upper Bound Poverty line</v>
          </cell>
          <cell r="B121">
            <v>75183.393050733866</v>
          </cell>
          <cell r="C121">
            <v>75183.393050733881</v>
          </cell>
          <cell r="D121">
            <v>75183.393050733866</v>
          </cell>
          <cell r="E121">
            <v>75183.393050733881</v>
          </cell>
        </row>
        <row r="123">
          <cell r="A123" t="str">
            <v>Food Poverty line</v>
          </cell>
          <cell r="F123">
            <v>35969.406972062061</v>
          </cell>
          <cell r="G123">
            <v>35969.406972062054</v>
          </cell>
          <cell r="H123">
            <v>35969.406972062054</v>
          </cell>
          <cell r="I123">
            <v>35969.406972062061</v>
          </cell>
        </row>
        <row r="124">
          <cell r="A124" t="str">
            <v>Lower Bound Poverty line</v>
          </cell>
          <cell r="F124">
            <v>54352.233638728721</v>
          </cell>
          <cell r="G124">
            <v>54352.233638728729</v>
          </cell>
          <cell r="H124">
            <v>54352.233638728721</v>
          </cell>
          <cell r="I124">
            <v>54352.233638728729</v>
          </cell>
        </row>
        <row r="125">
          <cell r="A125" t="str">
            <v>Upper Bound Poverty line</v>
          </cell>
          <cell r="F125">
            <v>87090.153638728734</v>
          </cell>
          <cell r="G125">
            <v>87090.15363872872</v>
          </cell>
          <cell r="H125">
            <v>87090.153638728734</v>
          </cell>
          <cell r="I125">
            <v>87090.15363872872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37" sqref="N37:N4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1" t="str">
        <f>'Q2'!Z1</f>
        <v>Apr-Jun</v>
      </c>
      <c r="AA1" s="252"/>
      <c r="AB1" s="251" t="str">
        <f>'Q2'!AB1</f>
        <v>Jul-Sep</v>
      </c>
      <c r="AC1" s="252"/>
      <c r="AD1" s="251" t="str">
        <f>'Q2'!AD1</f>
        <v>Oct-Dec</v>
      </c>
      <c r="AE1" s="252"/>
      <c r="AF1" s="251" t="str">
        <f>'Q2'!AF1</f>
        <v>Jan-Mar</v>
      </c>
      <c r="AG1" s="252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3" t="str">
        <f>'Q2'!Z2</f>
        <v>Q1</v>
      </c>
      <c r="AA2" s="254"/>
      <c r="AB2" s="253" t="str">
        <f>'Q2'!AB2</f>
        <v>Q2</v>
      </c>
      <c r="AC2" s="254"/>
      <c r="AD2" s="253" t="str">
        <f>'Q2'!AD2</f>
        <v>Q3</v>
      </c>
      <c r="AE2" s="254"/>
      <c r="AF2" s="253" t="str">
        <f>'Q2'!AF2</f>
        <v>Q4</v>
      </c>
      <c r="AG2" s="254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125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6044.2269142499463</v>
      </c>
      <c r="S13" s="219">
        <f>IF($B$81=0,0,(SUMIF($N$6:$N$28,$U13,L$6:L$28)+SUMIF($N$91:$N$118,$U13,L$91:L$118))*$I$83*'Q2'!$B$81/$B$81)</f>
        <v>2471.4000000000005</v>
      </c>
      <c r="T13" s="219">
        <f>IF($B$81=0,0,(SUMIF($N$6:$N$28,$U13,M$6:M$28)+SUMIF($N$91:$N$118,$U13,M$91:M$118))*$I$83*'Q2'!$B$81/$B$81)</f>
        <v>2471.4000000000005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0</v>
      </c>
      <c r="S14" s="219">
        <f>IF($B$81=0,0,(SUMIF($N$6:$N$28,$U14,L$6:L$28)+SUMIF($N$91:$N$118,$U14,L$91:L$118))*$I$83*'Q2'!$B$81/$B$81)</f>
        <v>0</v>
      </c>
      <c r="T14" s="219">
        <f>IF($B$81=0,0,(SUMIF($N$6:$N$28,$U14,M$6:M$28)+SUMIF($N$91:$N$118,$U14,M$91:M$118))*$I$83*'Q2'!$B$81/$B$81)</f>
        <v>0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108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3">
        <f t="shared" ref="M16:M25" si="23">J16</f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3518.2813381454916</v>
      </c>
      <c r="S16" s="219">
        <f>IF($B$81=0,0,(SUMIF($N$6:$N$28,$U16,L$6:L$28)+SUMIF($N$91:$N$118,$U16,L$91:L$118))*$I$83*'Q2'!$B$81/$B$81)</f>
        <v>2340</v>
      </c>
      <c r="T16" s="219">
        <f>IF($B$81=0,0,(SUMIF($N$6:$N$28,$U16,M$6:M$28)+SUMIF($N$91:$N$118,$U16,M$91:M$118))*$I$83*'Q2'!$B$81/$B$81)</f>
        <v>2808</v>
      </c>
      <c r="U16" s="220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3">
        <f t="shared" si="23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0</v>
      </c>
      <c r="S17" s="219">
        <f>IF($B$81=0,0,(SUMIF($N$6:$N$28,$U17,L$6:L$28)+SUMIF($N$91:$N$118,$U17,L$91:L$118))*$I$83*'Q2'!$B$81/$B$81)</f>
        <v>0</v>
      </c>
      <c r="T17" s="219">
        <f>IF($B$81=0,0,(SUMIF($N$6:$N$28,$U17,M$6:M$28)+SUMIF($N$91:$N$118,$U17,M$91:M$118))*$I$83*'Q2'!$B$81/$B$81)</f>
        <v>0</v>
      </c>
      <c r="U17" s="220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3">
        <f t="shared" si="23"/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15408.268014237179</v>
      </c>
      <c r="S20" s="219">
        <f>IF($B$81=0,0,(SUMIF($N$6:$N$28,$U20,L$6:L$28)+SUMIF($N$91:$N$118,$U20,L$91:L$118))*$I$83*'Q2'!$B$81/$B$81)</f>
        <v>12092.64</v>
      </c>
      <c r="T20" s="219">
        <f>IF($B$81=0,0,(SUMIF($N$6:$N$28,$U20,M$6:M$28)+SUMIF($N$91:$N$118,$U20,M$91:M$118))*$I$83*'Q2'!$B$81/$B$81)</f>
        <v>12092.64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3825.0033009581762</v>
      </c>
      <c r="S21" s="219">
        <f>IF($B$81=0,0,(SUMIF($N$6:$N$28,$U21,L$6:L$28)+SUMIF($N$91:$N$118,$U21,L$91:L$118))*$I$83*'Q2'!$B$81/$B$81)</f>
        <v>2742.0000000000005</v>
      </c>
      <c r="T21" s="219">
        <f>IF($B$81=0,0,(SUMIF($N$6:$N$28,$U21,M$6:M$28)+SUMIF($N$91:$N$118,$U21,M$91:M$118))*$I$83*'Q2'!$B$81/$B$81)</f>
        <v>2742.0000000000005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6"/>
      <c r="O23" s="2"/>
      <c r="P23" s="21"/>
      <c r="Q23" s="169" t="s">
        <v>80</v>
      </c>
      <c r="R23" s="177">
        <f>SUM(R7:R22)</f>
        <v>30016.778563707263</v>
      </c>
      <c r="S23" s="177">
        <f>SUM(S7:S22)</f>
        <v>20985.977506672112</v>
      </c>
      <c r="T23" s="177">
        <f>SUM(T7:T22)</f>
        <v>21453.977506672112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3">
        <f t="shared" si="6"/>
        <v>0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1">
        <f t="shared" si="6"/>
        <v>0.22463677394199705</v>
      </c>
      <c r="N29" s="226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0.8564363217274612</v>
      </c>
      <c r="J30" s="228">
        <f>IF(I$32&lt;=1,I30,1-SUM(J6:J29))</f>
        <v>0.65631560701038394</v>
      </c>
      <c r="K30" s="21">
        <f t="shared" si="4"/>
        <v>0.52537235996264009</v>
      </c>
      <c r="L30" s="21">
        <f>IF(L124=L119,0,IF(K30="",0,(L119-L124)/(B119-B124)*K30))</f>
        <v>0.25023491601985259</v>
      </c>
      <c r="M30" s="173">
        <f t="shared" si="6"/>
        <v>0.65631560701038394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0</v>
      </c>
      <c r="T30" s="231">
        <f t="shared" si="24"/>
        <v>0</v>
      </c>
      <c r="V30" s="55"/>
      <c r="W30" s="109"/>
      <c r="X30" s="117"/>
      <c r="Y30" s="181">
        <f>M30*4</f>
        <v>2.6252624280415358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0.26805318613427187</v>
      </c>
      <c r="M31" s="238">
        <f t="shared" si="6"/>
        <v>0</v>
      </c>
      <c r="N31" s="166">
        <f>M31*I83</f>
        <v>0</v>
      </c>
      <c r="P31" s="21"/>
      <c r="Q31" s="235" t="s">
        <v>122</v>
      </c>
      <c r="R31" s="231">
        <f t="shared" si="24"/>
        <v>0</v>
      </c>
      <c r="S31" s="231">
        <f t="shared" si="24"/>
        <v>7406.9596206372225</v>
      </c>
      <c r="T31" s="231">
        <f>IF(T25&gt;T$23,T25-T$23,0)</f>
        <v>6938.9596206372225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1.2001207147170772</v>
      </c>
      <c r="J32" s="16"/>
      <c r="L32" s="21">
        <f>SUM(L6:L30)</f>
        <v>0.73194681386572813</v>
      </c>
      <c r="M32" s="22"/>
      <c r="N32" s="55"/>
      <c r="O32" s="2"/>
      <c r="P32" s="21"/>
      <c r="Q32" s="231" t="s">
        <v>123</v>
      </c>
      <c r="R32" s="231">
        <f t="shared" si="24"/>
        <v>14745.118563602071</v>
      </c>
      <c r="S32" s="231">
        <f t="shared" si="24"/>
        <v>23775.919620637222</v>
      </c>
      <c r="T32" s="231">
        <f t="shared" si="24"/>
        <v>23307.919620637222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0.70130983213321185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126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6938.9596206372225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67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67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67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67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67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67">
        <v>11</v>
      </c>
      <c r="O42" s="2"/>
      <c r="P42" s="174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12092.64</v>
      </c>
      <c r="J43" s="37">
        <f t="shared" si="32"/>
        <v>12092.64</v>
      </c>
      <c r="K43" s="39">
        <f t="shared" si="33"/>
        <v>0.53508771929824561</v>
      </c>
      <c r="L43" s="21">
        <f t="shared" si="34"/>
        <v>0.63140350877192974</v>
      </c>
      <c r="M43" s="23">
        <f t="shared" si="35"/>
        <v>0.63140350877192974</v>
      </c>
      <c r="N43" s="267">
        <v>14</v>
      </c>
      <c r="O43" s="2"/>
      <c r="P43" s="174"/>
      <c r="Q43" s="58" t="s">
        <v>64</v>
      </c>
      <c r="R43" s="219">
        <f>IF($B$81=0,0,(SUMIF($N$6:$N$28,$U13,K$6:K$28)*$B$83+SUMIF($N$37:$N$64,$U13,B$37:B$64))*'Q2'!$B$81/$B$81)</f>
        <v>4020</v>
      </c>
      <c r="S43" s="219">
        <f>IF($B$81=0,0,(SUMIF($N$6:$N$28,$U13,L$6:L$28)+SUMIF($N$91:$N$118,$U13,L$91:L$118))*$I$83*'Q2'!$B$81/$B$81)</f>
        <v>2471.4000000000005</v>
      </c>
      <c r="T43" s="219">
        <f>IF($B$81=0,0,(SUMIF($N$6:$N$28,$U13,M$6:M$28)+SUMIF($N$91:$N$118,$U13,M$91:M$118))*$I$83*'Q2'!$B$81/$B$81)</f>
        <v>2471.4000000000005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3023.16</v>
      </c>
      <c r="AB43" s="155">
        <f>'Q2'!AB43</f>
        <v>0.25</v>
      </c>
      <c r="AC43" s="146">
        <f t="shared" si="41"/>
        <v>3023.16</v>
      </c>
      <c r="AD43" s="155">
        <f>'Q2'!AD43</f>
        <v>0.25</v>
      </c>
      <c r="AE43" s="146">
        <f t="shared" si="42"/>
        <v>3023.16</v>
      </c>
      <c r="AF43" s="121">
        <f t="shared" si="29"/>
        <v>0.25</v>
      </c>
      <c r="AG43" s="146">
        <f t="shared" si="36"/>
        <v>3023.16</v>
      </c>
      <c r="AH43" s="122">
        <f t="shared" si="37"/>
        <v>1</v>
      </c>
      <c r="AI43" s="111">
        <f t="shared" si="37"/>
        <v>12092.64</v>
      </c>
      <c r="AJ43" s="147">
        <f t="shared" si="38"/>
        <v>6046.32</v>
      </c>
      <c r="AK43" s="146">
        <f t="shared" si="39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540</v>
      </c>
      <c r="J44" s="37">
        <f t="shared" si="32"/>
        <v>540</v>
      </c>
      <c r="K44" s="39">
        <f t="shared" si="33"/>
        <v>2.819548872180451E-2</v>
      </c>
      <c r="L44" s="21">
        <f t="shared" si="34"/>
        <v>2.819548872180451E-2</v>
      </c>
      <c r="M44" s="23">
        <f t="shared" si="35"/>
        <v>2.819548872180451E-2</v>
      </c>
      <c r="N44" s="267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0</v>
      </c>
      <c r="S44" s="219">
        <f>IF($B$81=0,0,(SUMIF($N$6:$N$28,$U14,L$6:L$28)+SUMIF($N$91:$N$118,$U14,L$91:L$118))*$I$83*'Q2'!$B$81/$B$81)</f>
        <v>0</v>
      </c>
      <c r="T44" s="219">
        <f>IF($B$81=0,0,(SUMIF($N$6:$N$28,$U14,M$6:M$28)+SUMIF($N$91:$N$118,$U14,M$91:M$118))*$I$83*'Q2'!$B$81/$B$81)</f>
        <v>0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135</v>
      </c>
      <c r="AB44" s="155">
        <f>'Q2'!AB44</f>
        <v>0.25</v>
      </c>
      <c r="AC44" s="146">
        <f t="shared" si="41"/>
        <v>135</v>
      </c>
      <c r="AD44" s="155">
        <f>'Q2'!AD44</f>
        <v>0.25</v>
      </c>
      <c r="AE44" s="146">
        <f t="shared" si="42"/>
        <v>135</v>
      </c>
      <c r="AF44" s="121">
        <f t="shared" si="29"/>
        <v>0.25</v>
      </c>
      <c r="AG44" s="146">
        <f t="shared" si="36"/>
        <v>135</v>
      </c>
      <c r="AH44" s="122">
        <f t="shared" si="37"/>
        <v>1</v>
      </c>
      <c r="AI44" s="111">
        <f t="shared" si="37"/>
        <v>540</v>
      </c>
      <c r="AJ44" s="147">
        <f t="shared" si="38"/>
        <v>270</v>
      </c>
      <c r="AK44" s="146">
        <f t="shared" si="39"/>
        <v>270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67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67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2340</v>
      </c>
      <c r="S46" s="219">
        <f>IF($B$81=0,0,(SUMIF($N$6:$N$28,$U16,L$6:L$28)+SUMIF($N$91:$N$118,$U16,L$91:L$118))*$I$83*'Q2'!$B$81/$B$81)</f>
        <v>2340</v>
      </c>
      <c r="T46" s="219">
        <f>IF($B$81=0,0,(SUMIF($N$6:$N$28,$U16,M$6:M$28)+SUMIF($N$91:$N$118,$U16,M$91:M$118))*$I$83*'Q2'!$B$81/$B$81)</f>
        <v>2808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0</v>
      </c>
      <c r="S47" s="219">
        <f>IF($B$81=0,0,(SUMIF($N$6:$N$28,$U17,L$6:L$28)+SUMIF($N$91:$N$118,$U17,L$91:L$118))*$I$83*'Q2'!$B$81/$B$81)</f>
        <v>0</v>
      </c>
      <c r="T47" s="219">
        <f>IF($B$81=0,0,(SUMIF($N$6:$N$28,$U17,M$6:M$28)+SUMIF($N$91:$N$118,$U17,M$91:M$118))*$I$83*'Q2'!$B$81/$B$81)</f>
        <v>0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10248</v>
      </c>
      <c r="S50" s="219">
        <f>IF($B$81=0,0,(SUMIF($N$6:$N$28,$U20,L$6:L$28)+SUMIF($N$91:$N$118,$U20,L$91:L$118))*$I$83*'Q2'!$B$81/$B$81)</f>
        <v>12092.64</v>
      </c>
      <c r="T50" s="219">
        <f>IF($B$81=0,0,(SUMIF($N$6:$N$28,$U20,M$6:M$28)+SUMIF($N$91:$N$118,$U20,M$91:M$118))*$I$83*'Q2'!$B$81/$B$81)</f>
        <v>12092.64</v>
      </c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2544</v>
      </c>
      <c r="S51" s="219">
        <f>IF($B$81=0,0,(SUMIF($N$6:$N$28,$U21,L$6:L$28)+SUMIF($N$91:$N$118,$U21,L$91:L$118))*$I$83*'Q2'!$B$81/$B$81)</f>
        <v>2742.0000000000005</v>
      </c>
      <c r="T51" s="219">
        <f>IF($B$81=0,0,(SUMIF($N$6:$N$28,$U21,M$6:M$28)+SUMIF($N$91:$N$118,$U21,M$91:M$118))*$I$83*'Q2'!$B$81/$B$81)</f>
        <v>2742.0000000000005</v>
      </c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169" t="s">
        <v>80</v>
      </c>
      <c r="R53" s="177">
        <f>SUM(R37:R52)</f>
        <v>19964.08333737704</v>
      </c>
      <c r="S53" s="177">
        <f>SUM(S37:S52)</f>
        <v>20985.977506672112</v>
      </c>
      <c r="T53" s="177">
        <f>SUM(T37:T52)</f>
        <v>21453.977506672112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20114.04</v>
      </c>
      <c r="J65" s="38">
        <f>SUM(J37:J64)</f>
        <v>20114.04</v>
      </c>
      <c r="K65" s="39">
        <f>SUM(K37:K64)</f>
        <v>1</v>
      </c>
      <c r="L65" s="21">
        <f>SUM(L37:L64)</f>
        <v>1.025795739348371</v>
      </c>
      <c r="M65" s="23">
        <f>SUM(M37:M64)</f>
        <v>1.0502318295739348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127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0.39065082138773188</v>
      </c>
      <c r="L70" s="21">
        <f t="shared" ref="L70:L74" si="45">(L124*G$37*F$9/F$7)/B$130</f>
        <v>0.54691114994282453</v>
      </c>
      <c r="M70" s="23">
        <f>J70/B$76</f>
        <v>0.54691114994282464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0.40671122250069619</v>
      </c>
      <c r="L71" s="21">
        <f t="shared" si="45"/>
        <v>0.47888458940554607</v>
      </c>
      <c r="M71" s="23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9639.5976562950218</v>
      </c>
      <c r="J74" s="50">
        <f t="shared" si="44"/>
        <v>7387.1439435989087</v>
      </c>
      <c r="K74" s="39">
        <f>B74/B$76</f>
        <v>0.18712549975618942</v>
      </c>
      <c r="L74" s="21">
        <f t="shared" si="45"/>
        <v>0.14706103046225755</v>
      </c>
      <c r="M74" s="23">
        <f>J74/B$76</f>
        <v>0.38571135879275836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20114.039999999997</v>
      </c>
      <c r="J76" s="50">
        <f t="shared" si="44"/>
        <v>20114.039999999997</v>
      </c>
      <c r="K76" s="39">
        <f>SUM(K70:K75)</f>
        <v>1.7388212946888948</v>
      </c>
      <c r="L76" s="21">
        <f>SUM(L70:L75)</f>
        <v>1.172856769810628</v>
      </c>
      <c r="M76" s="23">
        <f>SUM(M70:M75)</f>
        <v>1.4125417512864045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9191.4133333333339</v>
      </c>
      <c r="J77" s="99">
        <f t="shared" si="44"/>
        <v>6938.9596206372225</v>
      </c>
      <c r="K77" s="39"/>
      <c r="L77" s="21">
        <f>-(L131*G$37*F$9/F$7)/B$130</f>
        <v>-0.47991924255082147</v>
      </c>
      <c r="M77" s="23">
        <f>-J77/B$76</f>
        <v>-0.36230992171246984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7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4">
        <f t="shared" si="49"/>
        <v>0.10059104519021173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4">
        <f t="shared" si="49"/>
        <v>7.1005443663678877E-2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4">
        <f t="shared" si="49"/>
        <v>0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5">
        <f t="shared" si="49"/>
        <v>0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5">
        <f t="shared" si="49"/>
        <v>0.24947858584535818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5">
        <f t="shared" si="49"/>
        <v>0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0.7151515151515152</v>
      </c>
      <c r="I97" s="21">
        <f t="shared" si="54"/>
        <v>1.0743784637952321</v>
      </c>
      <c r="J97" s="23">
        <f t="shared" si="55"/>
        <v>1.0743784637952321</v>
      </c>
      <c r="K97" s="21">
        <f t="shared" si="56"/>
        <v>1.5023088688662143</v>
      </c>
      <c r="L97" s="21">
        <f t="shared" si="57"/>
        <v>1.0743784637952321</v>
      </c>
      <c r="M97" s="225">
        <f t="shared" si="49"/>
        <v>1.0743784637952321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0.60606060606060608</v>
      </c>
      <c r="I98" s="21">
        <f t="shared" si="54"/>
        <v>4.7976651124107338E-2</v>
      </c>
      <c r="J98" s="23">
        <f t="shared" si="55"/>
        <v>4.7976651124107338E-2</v>
      </c>
      <c r="K98" s="21">
        <f t="shared" si="56"/>
        <v>7.9161474354777106E-2</v>
      </c>
      <c r="L98" s="21">
        <f t="shared" si="57"/>
        <v>4.7976651124107338E-2</v>
      </c>
      <c r="M98" s="225">
        <f t="shared" si="49"/>
        <v>4.7976651124107338E-2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5">
        <f t="shared" si="49"/>
        <v>6.610116377099233E-2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5">
        <f t="shared" si="49"/>
        <v>0.17751360915919717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4">
        <f t="shared" si="49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5">
        <f t="shared" si="49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5">
        <f t="shared" si="49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5">
        <f t="shared" si="49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5">
        <f t="shared" si="49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5">
        <f>(J106)</f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5">
        <f t="shared" ref="M107:M118" si="65">(J107)</f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5">
        <f t="shared" si="65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5">
        <f t="shared" si="65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5">
        <f t="shared" si="65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5">
        <f t="shared" si="65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5">
        <f t="shared" si="65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5">
        <f t="shared" si="65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5">
        <f t="shared" si="65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5">
        <f t="shared" si="65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5">
        <f t="shared" si="65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5">
        <f t="shared" si="65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5">
        <f t="shared" si="65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1.7870449625487776</v>
      </c>
      <c r="J119" s="23">
        <f>SUM(J91:J118)</f>
        <v>1.7870449625487776</v>
      </c>
      <c r="K119" s="21">
        <f>SUM(K91:K118)</f>
        <v>2.8075936237827617</v>
      </c>
      <c r="L119" s="21">
        <f>SUM(L91:L118)</f>
        <v>1.7454651982412177</v>
      </c>
      <c r="M119" s="56">
        <f t="shared" si="49"/>
        <v>1.7870449625487776</v>
      </c>
      <c r="N119" s="22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7">
        <f t="shared" si="66"/>
        <v>0.93060864082131645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0.81485655741990126</v>
      </c>
      <c r="M125" s="237">
        <f t="shared" si="66"/>
        <v>0.81661709413111461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7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7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0.8564363217274612</v>
      </c>
      <c r="J128" s="225">
        <f>(J30)</f>
        <v>0.65631560701038394</v>
      </c>
      <c r="K128" s="28">
        <f>(B128)</f>
        <v>0.52537235996264009</v>
      </c>
      <c r="L128" s="28">
        <f>IF(L124=L119,0,(L119-L124)/(B119-B124)*K128)</f>
        <v>0.25023491601985259</v>
      </c>
      <c r="M128" s="237">
        <f t="shared" si="66"/>
        <v>0.65631560701038394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7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1.7870449625487776</v>
      </c>
      <c r="J130" s="225">
        <f>(J119)</f>
        <v>1.7870449625487776</v>
      </c>
      <c r="K130" s="28">
        <f>(B130)</f>
        <v>2.8075936237827617</v>
      </c>
      <c r="L130" s="28">
        <f>(L119)</f>
        <v>1.7454651982412177</v>
      </c>
      <c r="M130" s="237">
        <f t="shared" si="66"/>
        <v>1.7870449625487776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0.81661709413111461</v>
      </c>
      <c r="J131" s="234">
        <f>IF(SUMPRODUCT($B124:$B125,$H124:$H125)&gt;(J119-J128),SUMPRODUCT($B124:$B125,$H124:$H125)+J128-J119,0)</f>
        <v>0.61649637941403745</v>
      </c>
      <c r="K131" s="28"/>
      <c r="L131" s="28">
        <f>IF(I131&lt;SUM(L126:L127),0,I131-(SUM(L126:L127)))</f>
        <v>0.81661709413111461</v>
      </c>
      <c r="M131" s="234">
        <f>IF(I131&lt;SUM(M126:M127),0,I131-(SUM(M126:M127)))</f>
        <v>0.81661709413111461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95" priority="100" operator="equal">
      <formula>16</formula>
    </cfRule>
    <cfRule type="cellIs" dxfId="394" priority="101" operator="equal">
      <formula>15</formula>
    </cfRule>
    <cfRule type="cellIs" dxfId="393" priority="102" operator="equal">
      <formula>14</formula>
    </cfRule>
    <cfRule type="cellIs" dxfId="392" priority="103" operator="equal">
      <formula>13</formula>
    </cfRule>
    <cfRule type="cellIs" dxfId="391" priority="104" operator="equal">
      <formula>12</formula>
    </cfRule>
    <cfRule type="cellIs" dxfId="390" priority="105" operator="equal">
      <formula>11</formula>
    </cfRule>
    <cfRule type="cellIs" dxfId="389" priority="106" operator="equal">
      <formula>10</formula>
    </cfRule>
    <cfRule type="cellIs" dxfId="388" priority="107" operator="equal">
      <formula>9</formula>
    </cfRule>
    <cfRule type="cellIs" dxfId="387" priority="108" operator="equal">
      <formula>8</formula>
    </cfRule>
    <cfRule type="cellIs" dxfId="386" priority="109" operator="equal">
      <formula>7</formula>
    </cfRule>
    <cfRule type="cellIs" dxfId="385" priority="110" operator="equal">
      <formula>6</formula>
    </cfRule>
    <cfRule type="cellIs" dxfId="384" priority="111" operator="equal">
      <formula>5</formula>
    </cfRule>
    <cfRule type="cellIs" dxfId="383" priority="112" operator="equal">
      <formula>4</formula>
    </cfRule>
    <cfRule type="cellIs" dxfId="382" priority="113" operator="equal">
      <formula>3</formula>
    </cfRule>
    <cfRule type="cellIs" dxfId="381" priority="114" operator="equal">
      <formula>2</formula>
    </cfRule>
    <cfRule type="cellIs" dxfId="380" priority="115" operator="equal">
      <formula>1</formula>
    </cfRule>
  </conditionalFormatting>
  <conditionalFormatting sqref="N29">
    <cfRule type="cellIs" dxfId="379" priority="84" operator="equal">
      <formula>16</formula>
    </cfRule>
    <cfRule type="cellIs" dxfId="378" priority="85" operator="equal">
      <formula>15</formula>
    </cfRule>
    <cfRule type="cellIs" dxfId="377" priority="86" operator="equal">
      <formula>14</formula>
    </cfRule>
    <cfRule type="cellIs" dxfId="376" priority="87" operator="equal">
      <formula>13</formula>
    </cfRule>
    <cfRule type="cellIs" dxfId="375" priority="88" operator="equal">
      <formula>12</formula>
    </cfRule>
    <cfRule type="cellIs" dxfId="374" priority="89" operator="equal">
      <formula>11</formula>
    </cfRule>
    <cfRule type="cellIs" dxfId="373" priority="90" operator="equal">
      <formula>10</formula>
    </cfRule>
    <cfRule type="cellIs" dxfId="372" priority="91" operator="equal">
      <formula>9</formula>
    </cfRule>
    <cfRule type="cellIs" dxfId="371" priority="92" operator="equal">
      <formula>8</formula>
    </cfRule>
    <cfRule type="cellIs" dxfId="370" priority="93" operator="equal">
      <formula>7</formula>
    </cfRule>
    <cfRule type="cellIs" dxfId="369" priority="94" operator="equal">
      <formula>6</formula>
    </cfRule>
    <cfRule type="cellIs" dxfId="368" priority="95" operator="equal">
      <formula>5</formula>
    </cfRule>
    <cfRule type="cellIs" dxfId="367" priority="96" operator="equal">
      <formula>4</formula>
    </cfRule>
    <cfRule type="cellIs" dxfId="366" priority="97" operator="equal">
      <formula>3</formula>
    </cfRule>
    <cfRule type="cellIs" dxfId="365" priority="98" operator="equal">
      <formula>2</formula>
    </cfRule>
    <cfRule type="cellIs" dxfId="364" priority="99" operator="equal">
      <formula>1</formula>
    </cfRule>
  </conditionalFormatting>
  <conditionalFormatting sqref="N113:N119">
    <cfRule type="cellIs" dxfId="363" priority="68" operator="equal">
      <formula>16</formula>
    </cfRule>
    <cfRule type="cellIs" dxfId="362" priority="69" operator="equal">
      <formula>15</formula>
    </cfRule>
    <cfRule type="cellIs" dxfId="361" priority="70" operator="equal">
      <formula>14</formula>
    </cfRule>
    <cfRule type="cellIs" dxfId="360" priority="71" operator="equal">
      <formula>13</formula>
    </cfRule>
    <cfRule type="cellIs" dxfId="359" priority="72" operator="equal">
      <formula>12</formula>
    </cfRule>
    <cfRule type="cellIs" dxfId="358" priority="73" operator="equal">
      <formula>11</formula>
    </cfRule>
    <cfRule type="cellIs" dxfId="357" priority="74" operator="equal">
      <formula>10</formula>
    </cfRule>
    <cfRule type="cellIs" dxfId="356" priority="75" operator="equal">
      <formula>9</formula>
    </cfRule>
    <cfRule type="cellIs" dxfId="355" priority="76" operator="equal">
      <formula>8</formula>
    </cfRule>
    <cfRule type="cellIs" dxfId="354" priority="77" operator="equal">
      <formula>7</formula>
    </cfRule>
    <cfRule type="cellIs" dxfId="353" priority="78" operator="equal">
      <formula>6</formula>
    </cfRule>
    <cfRule type="cellIs" dxfId="352" priority="79" operator="equal">
      <formula>5</formula>
    </cfRule>
    <cfRule type="cellIs" dxfId="351" priority="80" operator="equal">
      <formula>4</formula>
    </cfRule>
    <cfRule type="cellIs" dxfId="350" priority="81" operator="equal">
      <formula>3</formula>
    </cfRule>
    <cfRule type="cellIs" dxfId="349" priority="82" operator="equal">
      <formula>2</formula>
    </cfRule>
    <cfRule type="cellIs" dxfId="348" priority="83" operator="equal">
      <formula>1</formula>
    </cfRule>
  </conditionalFormatting>
  <conditionalFormatting sqref="N91:N104">
    <cfRule type="cellIs" dxfId="347" priority="52" operator="equal">
      <formula>16</formula>
    </cfRule>
    <cfRule type="cellIs" dxfId="346" priority="53" operator="equal">
      <formula>15</formula>
    </cfRule>
    <cfRule type="cellIs" dxfId="345" priority="54" operator="equal">
      <formula>14</formula>
    </cfRule>
    <cfRule type="cellIs" dxfId="344" priority="55" operator="equal">
      <formula>13</formula>
    </cfRule>
    <cfRule type="cellIs" dxfId="343" priority="56" operator="equal">
      <formula>12</formula>
    </cfRule>
    <cfRule type="cellIs" dxfId="342" priority="57" operator="equal">
      <formula>11</formula>
    </cfRule>
    <cfRule type="cellIs" dxfId="341" priority="58" operator="equal">
      <formula>10</formula>
    </cfRule>
    <cfRule type="cellIs" dxfId="340" priority="59" operator="equal">
      <formula>9</formula>
    </cfRule>
    <cfRule type="cellIs" dxfId="339" priority="60" operator="equal">
      <formula>8</formula>
    </cfRule>
    <cfRule type="cellIs" dxfId="338" priority="61" operator="equal">
      <formula>7</formula>
    </cfRule>
    <cfRule type="cellIs" dxfId="337" priority="62" operator="equal">
      <formula>6</formula>
    </cfRule>
    <cfRule type="cellIs" dxfId="336" priority="63" operator="equal">
      <formula>5</formula>
    </cfRule>
    <cfRule type="cellIs" dxfId="335" priority="64" operator="equal">
      <formula>4</formula>
    </cfRule>
    <cfRule type="cellIs" dxfId="334" priority="65" operator="equal">
      <formula>3</formula>
    </cfRule>
    <cfRule type="cellIs" dxfId="333" priority="66" operator="equal">
      <formula>2</formula>
    </cfRule>
    <cfRule type="cellIs" dxfId="332" priority="67" operator="equal">
      <formula>1</formula>
    </cfRule>
  </conditionalFormatting>
  <conditionalFormatting sqref="N105:N112">
    <cfRule type="cellIs" dxfId="331" priority="36" operator="equal">
      <formula>16</formula>
    </cfRule>
    <cfRule type="cellIs" dxfId="330" priority="37" operator="equal">
      <formula>15</formula>
    </cfRule>
    <cfRule type="cellIs" dxfId="329" priority="38" operator="equal">
      <formula>14</formula>
    </cfRule>
    <cfRule type="cellIs" dxfId="328" priority="39" operator="equal">
      <formula>13</formula>
    </cfRule>
    <cfRule type="cellIs" dxfId="327" priority="40" operator="equal">
      <formula>12</formula>
    </cfRule>
    <cfRule type="cellIs" dxfId="326" priority="41" operator="equal">
      <formula>11</formula>
    </cfRule>
    <cfRule type="cellIs" dxfId="325" priority="42" operator="equal">
      <formula>10</formula>
    </cfRule>
    <cfRule type="cellIs" dxfId="324" priority="43" operator="equal">
      <formula>9</formula>
    </cfRule>
    <cfRule type="cellIs" dxfId="323" priority="44" operator="equal">
      <formula>8</formula>
    </cfRule>
    <cfRule type="cellIs" dxfId="322" priority="45" operator="equal">
      <formula>7</formula>
    </cfRule>
    <cfRule type="cellIs" dxfId="321" priority="46" operator="equal">
      <formula>6</formula>
    </cfRule>
    <cfRule type="cellIs" dxfId="320" priority="47" operator="equal">
      <formula>5</formula>
    </cfRule>
    <cfRule type="cellIs" dxfId="319" priority="48" operator="equal">
      <formula>4</formula>
    </cfRule>
    <cfRule type="cellIs" dxfId="318" priority="49" operator="equal">
      <formula>3</formula>
    </cfRule>
    <cfRule type="cellIs" dxfId="317" priority="50" operator="equal">
      <formula>2</formula>
    </cfRule>
    <cfRule type="cellIs" dxfId="316" priority="51" operator="equal">
      <formula>1</formula>
    </cfRule>
  </conditionalFormatting>
  <conditionalFormatting sqref="N6:N28">
    <cfRule type="cellIs" dxfId="315" priority="20" operator="equal">
      <formula>16</formula>
    </cfRule>
    <cfRule type="cellIs" dxfId="314" priority="21" operator="equal">
      <formula>15</formula>
    </cfRule>
    <cfRule type="cellIs" dxfId="313" priority="22" operator="equal">
      <formula>14</formula>
    </cfRule>
    <cfRule type="cellIs" dxfId="312" priority="23" operator="equal">
      <formula>13</formula>
    </cfRule>
    <cfRule type="cellIs" dxfId="311" priority="24" operator="equal">
      <formula>12</formula>
    </cfRule>
    <cfRule type="cellIs" dxfId="310" priority="25" operator="equal">
      <formula>11</formula>
    </cfRule>
    <cfRule type="cellIs" dxfId="309" priority="26" operator="equal">
      <formula>10</formula>
    </cfRule>
    <cfRule type="cellIs" dxfId="308" priority="27" operator="equal">
      <formula>9</formula>
    </cfRule>
    <cfRule type="cellIs" dxfId="307" priority="28" operator="equal">
      <formula>8</formula>
    </cfRule>
    <cfRule type="cellIs" dxfId="306" priority="29" operator="equal">
      <formula>7</formula>
    </cfRule>
    <cfRule type="cellIs" dxfId="305" priority="30" operator="equal">
      <formula>6</formula>
    </cfRule>
    <cfRule type="cellIs" dxfId="304" priority="31" operator="equal">
      <formula>5</formula>
    </cfRule>
    <cfRule type="cellIs" dxfId="303" priority="32" operator="equal">
      <formula>4</formula>
    </cfRule>
    <cfRule type="cellIs" dxfId="302" priority="33" operator="equal">
      <formula>3</formula>
    </cfRule>
    <cfRule type="cellIs" dxfId="301" priority="34" operator="equal">
      <formula>2</formula>
    </cfRule>
    <cfRule type="cellIs" dxfId="300" priority="35" operator="equal">
      <formula>1</formula>
    </cfRule>
  </conditionalFormatting>
  <conditionalFormatting sqref="R31:T31">
    <cfRule type="cellIs" dxfId="299" priority="19" operator="greaterThan">
      <formula>0</formula>
    </cfRule>
  </conditionalFormatting>
  <conditionalFormatting sqref="R32:T32">
    <cfRule type="cellIs" dxfId="298" priority="18" operator="greaterThan">
      <formula>0</formula>
    </cfRule>
  </conditionalFormatting>
  <conditionalFormatting sqref="R30:T30">
    <cfRule type="cellIs" dxfId="297" priority="17" operator="greaterThan">
      <formula>0</formula>
    </cfRule>
  </conditionalFormatting>
  <conditionalFormatting sqref="N37:N4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0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5" t="s">
        <v>85</v>
      </c>
      <c r="AA1" s="256"/>
      <c r="AB1" s="255" t="s">
        <v>86</v>
      </c>
      <c r="AC1" s="256"/>
      <c r="AD1" s="255" t="s">
        <v>87</v>
      </c>
      <c r="AE1" s="256"/>
      <c r="AF1" s="255" t="s">
        <v>88</v>
      </c>
      <c r="AG1" s="256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3" t="s">
        <v>89</v>
      </c>
      <c r="AA2" s="257"/>
      <c r="AB2" s="253" t="s">
        <v>90</v>
      </c>
      <c r="AC2" s="257"/>
      <c r="AD2" s="253" t="s">
        <v>91</v>
      </c>
      <c r="AE2" s="257"/>
      <c r="AF2" s="253" t="s">
        <v>92</v>
      </c>
      <c r="AG2" s="257"/>
      <c r="AH2" s="116"/>
      <c r="AI2" s="109"/>
      <c r="AJ2" s="195" t="s">
        <v>93</v>
      </c>
      <c r="AK2" s="196" t="s">
        <v>94</v>
      </c>
      <c r="CM2" s="6"/>
    </row>
    <row r="3" spans="1:91">
      <c r="A3" s="250" t="s">
        <v>128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1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1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14145.295226184951</v>
      </c>
      <c r="S13" s="219">
        <f>IF($B$81=0,0,(SUMIF($N$6:$N$28,$U13,L$6:L$28)+SUMIF($N$91:$N$118,$U13,L$91:L$118))*$I$83*'Q2'!$B$81/$B$81)</f>
        <v>5963.7000000000007</v>
      </c>
      <c r="T13" s="219">
        <f>IF($B$81=0,0,(SUMIF($N$6:$N$28,$U13,M$6:M$28)+SUMIF($N$91:$N$118,$U13,M$91:M$118))*$I$83*'Q2'!$B$81/$B$81)</f>
        <v>5963.7000000000007</v>
      </c>
      <c r="U13" s="220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0</v>
      </c>
      <c r="S14" s="219">
        <f>IF($B$81=0,0,(SUMIF($N$6:$N$28,$U14,L$6:L$28)+SUMIF($N$91:$N$118,$U14,L$91:L$118))*$I$83*'Q2'!$B$81/$B$81)</f>
        <v>0</v>
      </c>
      <c r="T14" s="219">
        <f>IF($B$81=0,0,(SUMIF($N$6:$N$28,$U14,M$6:M$28)+SUMIF($N$91:$N$118,$U14,M$91:M$118))*$I$83*'Q2'!$B$81/$B$81)</f>
        <v>0</v>
      </c>
      <c r="U14" s="220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107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8209.3231223394796</v>
      </c>
      <c r="S16" s="219">
        <f>IF($B$81=0,0,(SUMIF($N$6:$N$28,$U16,L$6:L$28)+SUMIF($N$91:$N$118,$U16,L$91:L$118))*$I$83*'Q2'!$B$81/$B$81)</f>
        <v>5460</v>
      </c>
      <c r="T16" s="219">
        <f>IF($B$81=0,0,(SUMIF($N$6:$N$28,$U16,M$6:M$28)+SUMIF($N$91:$N$118,$U16,M$91:M$118))*$I$83*'Q2'!$B$81/$B$81)</f>
        <v>5771.0637848357219</v>
      </c>
      <c r="U16" s="220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4239.9800741753361</v>
      </c>
      <c r="S17" s="219">
        <f>IF($B$81=0,0,(SUMIF($N$6:$N$28,$U17,L$6:L$28)+SUMIF($N$91:$N$118,$U17,L$91:L$118))*$I$83*'Q2'!$B$81/$B$81)</f>
        <v>3271.1999999999994</v>
      </c>
      <c r="T17" s="219">
        <f>IF($B$81=0,0,(SUMIF($N$6:$N$28,$U17,M$6:M$28)+SUMIF($N$91:$N$118,$U17,M$91:M$118))*$I$83*'Q2'!$B$81/$B$81)</f>
        <v>3271.1999999999994</v>
      </c>
      <c r="U17" s="220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2">
        <f t="shared" ref="M18:M20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15408.268014237179</v>
      </c>
      <c r="S20" s="219">
        <f>IF($B$81=0,0,(SUMIF($N$6:$N$28,$U20,L$6:L$28)+SUMIF($N$91:$N$118,$U20,L$91:L$118))*$I$83*'Q2'!$B$81/$B$81)</f>
        <v>12092.64</v>
      </c>
      <c r="T20" s="219">
        <f>IF($B$81=0,0,(SUMIF($N$6:$N$28,$U20,M$6:M$28)+SUMIF($N$91:$N$118,$U20,M$91:M$118))*$I$83*'Q2'!$B$81/$B$81)</f>
        <v>12092.64</v>
      </c>
      <c r="U20" s="220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2">
        <f t="shared" ref="M21:M25" si="39">J21</f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2616.1579181081861</v>
      </c>
      <c r="S21" s="219">
        <f>IF($B$81=0,0,(SUMIF($N$6:$N$28,$U21,L$6:L$28)+SUMIF($N$91:$N$118,$U21,L$91:L$118))*$I$83*'Q2'!$B$81/$B$81)</f>
        <v>1740</v>
      </c>
      <c r="T21" s="219">
        <f>IF($B$81=0,0,(SUMIF($N$6:$N$28,$U21,M$6:M$28)+SUMIF($N$91:$N$118,$U21,M$91:M$118))*$I$83*'Q2'!$B$81/$B$81)</f>
        <v>1740</v>
      </c>
      <c r="U21" s="220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2">
        <f t="shared" si="39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2">
        <f t="shared" si="39"/>
        <v>0</v>
      </c>
      <c r="N23" s="226"/>
      <c r="O23" s="2"/>
      <c r="P23" s="21"/>
      <c r="Q23" s="169" t="s">
        <v>80</v>
      </c>
      <c r="R23" s="177">
        <f>SUM(R7:R22)</f>
        <v>45840.023351161602</v>
      </c>
      <c r="S23" s="177">
        <f>SUM(S7:S22)</f>
        <v>29867.477506672112</v>
      </c>
      <c r="T23" s="177">
        <f>SUM(T7:T22)</f>
        <v>30178.541291507834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2">
        <f t="shared" si="39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2">
        <f t="shared" si="39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1.7380489013737538E-2</v>
      </c>
      <c r="K27" s="21">
        <f t="shared" si="4"/>
        <v>2.4303513698630135E-2</v>
      </c>
      <c r="L27" s="21">
        <f t="shared" si="5"/>
        <v>2.4303513698630135E-2</v>
      </c>
      <c r="M27" s="223">
        <f t="shared" si="6"/>
        <v>1.7380489013737538E-2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6.9521956054950151E-2</v>
      </c>
      <c r="Z27" s="115">
        <v>0.25</v>
      </c>
      <c r="AA27" s="120">
        <f t="shared" si="16"/>
        <v>1.7380489013737538E-2</v>
      </c>
      <c r="AB27" s="115">
        <v>0.25</v>
      </c>
      <c r="AC27" s="120">
        <f t="shared" si="7"/>
        <v>1.7380489013737538E-2</v>
      </c>
      <c r="AD27" s="115">
        <v>0.25</v>
      </c>
      <c r="AE27" s="120">
        <f t="shared" si="8"/>
        <v>1.7380489013737538E-2</v>
      </c>
      <c r="AF27" s="121">
        <f t="shared" si="10"/>
        <v>0.25</v>
      </c>
      <c r="AG27" s="120">
        <f t="shared" si="11"/>
        <v>1.7380489013737538E-2</v>
      </c>
      <c r="AH27" s="122">
        <f t="shared" si="12"/>
        <v>1</v>
      </c>
      <c r="AI27" s="181">
        <f t="shared" si="13"/>
        <v>1.7380489013737538E-2</v>
      </c>
      <c r="AJ27" s="119">
        <f t="shared" si="14"/>
        <v>1.7380489013737538E-2</v>
      </c>
      <c r="AK27" s="118">
        <f t="shared" si="15"/>
        <v>1.7380489013737538E-2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0.30483659374732447</v>
      </c>
      <c r="K29" s="21">
        <f t="shared" si="4"/>
        <v>0.33678191656288908</v>
      </c>
      <c r="L29" s="21">
        <f t="shared" si="5"/>
        <v>0.33678191656288908</v>
      </c>
      <c r="M29" s="221">
        <f t="shared" si="6"/>
        <v>0.30483659374732447</v>
      </c>
      <c r="N29" s="226"/>
      <c r="P29" s="21"/>
      <c r="V29" s="55"/>
      <c r="W29" s="109"/>
      <c r="X29" s="117"/>
      <c r="Y29" s="181">
        <f t="shared" si="9"/>
        <v>1.2193463749892979</v>
      </c>
      <c r="Z29" s="115">
        <v>0.25</v>
      </c>
      <c r="AA29" s="120">
        <f t="shared" si="16"/>
        <v>0.30483659374732447</v>
      </c>
      <c r="AB29" s="115">
        <v>0.25</v>
      </c>
      <c r="AC29" s="120">
        <f t="shared" si="7"/>
        <v>0.30483659374732447</v>
      </c>
      <c r="AD29" s="115">
        <v>0.25</v>
      </c>
      <c r="AE29" s="120">
        <f t="shared" si="8"/>
        <v>0.30483659374732447</v>
      </c>
      <c r="AF29" s="121">
        <f t="shared" si="10"/>
        <v>0.25</v>
      </c>
      <c r="AG29" s="120">
        <f t="shared" si="11"/>
        <v>0.30483659374732447</v>
      </c>
      <c r="AH29" s="122">
        <f t="shared" si="12"/>
        <v>1</v>
      </c>
      <c r="AI29" s="181">
        <f t="shared" si="13"/>
        <v>0.30483659374732447</v>
      </c>
      <c r="AJ29" s="119">
        <f t="shared" si="14"/>
        <v>0.30483659374732447</v>
      </c>
      <c r="AK29" s="118">
        <f t="shared" si="15"/>
        <v>0.30483659374732447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1.7009586499870952</v>
      </c>
      <c r="J30" s="228">
        <f>IF(I$32&lt;=1,I30,1-SUM(J6:J29))</f>
        <v>0.55873529819131895</v>
      </c>
      <c r="K30" s="21">
        <f t="shared" si="4"/>
        <v>0.55751374053549196</v>
      </c>
      <c r="L30" s="21">
        <f>IF(L124=L119,0,IF(K30="",0,(L119-L124)/(B119-B124)*K30))</f>
        <v>0.27484179863897817</v>
      </c>
      <c r="M30" s="173">
        <f t="shared" si="6"/>
        <v>0.55873529819131895</v>
      </c>
      <c r="N30" s="165" t="s">
        <v>74</v>
      </c>
      <c r="O30" s="2"/>
      <c r="P30" s="21"/>
      <c r="Q30" s="231" t="s">
        <v>121</v>
      </c>
      <c r="R30" s="231">
        <f t="shared" ref="R30:T32" si="50">IF(R24&gt;R$23,R24-R$23,0)</f>
        <v>0</v>
      </c>
      <c r="S30" s="231">
        <f t="shared" si="50"/>
        <v>0</v>
      </c>
      <c r="T30" s="231">
        <f t="shared" si="50"/>
        <v>0</v>
      </c>
      <c r="V30" s="55"/>
      <c r="W30" s="109"/>
      <c r="X30" s="117"/>
      <c r="Y30" s="181">
        <f>M30*4</f>
        <v>2.2349411927652758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0.24502515205188358</v>
      </c>
      <c r="M31" s="176">
        <f t="shared" si="6"/>
        <v>0</v>
      </c>
      <c r="N31" s="166">
        <f>M31*I83</f>
        <v>0</v>
      </c>
      <c r="P31" s="21"/>
      <c r="Q31" s="235" t="s">
        <v>122</v>
      </c>
      <c r="R31" s="231">
        <f t="shared" si="50"/>
        <v>0</v>
      </c>
      <c r="S31" s="231">
        <f t="shared" si="50"/>
        <v>0</v>
      </c>
      <c r="T31" s="231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2.0446430429767113</v>
      </c>
      <c r="J32" s="16"/>
      <c r="L32" s="21">
        <f>SUM(L6:L30)</f>
        <v>0.75497484794811642</v>
      </c>
      <c r="M32" s="22"/>
      <c r="N32" s="55"/>
      <c r="O32" s="2"/>
      <c r="P32" s="21"/>
      <c r="Q32" s="231" t="s">
        <v>123</v>
      </c>
      <c r="R32" s="231">
        <f t="shared" si="50"/>
        <v>0</v>
      </c>
      <c r="S32" s="231">
        <f t="shared" si="50"/>
        <v>14894.419620637222</v>
      </c>
      <c r="T32" s="231">
        <f t="shared" si="50"/>
        <v>14583.3558358015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0.28485694582025856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50" t="s">
        <v>129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0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68">
        <v>7</v>
      </c>
      <c r="O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68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69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69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5771.0637848357219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0.19446905866140052</v>
      </c>
      <c r="N41" s="270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5771.0637848357219</v>
      </c>
      <c r="AH41" s="122">
        <f t="shared" si="61"/>
        <v>1</v>
      </c>
      <c r="AI41" s="111">
        <f t="shared" si="61"/>
        <v>5771.0637848357219</v>
      </c>
      <c r="AJ41" s="147">
        <f t="shared" si="62"/>
        <v>0</v>
      </c>
      <c r="AK41" s="146">
        <f t="shared" si="63"/>
        <v>5771.0637848357219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71">
        <v>11</v>
      </c>
      <c r="O42" s="2"/>
      <c r="P42" s="55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1</v>
      </c>
      <c r="F43" s="25">
        <v>1.18</v>
      </c>
      <c r="G43" s="21">
        <f t="shared" si="59"/>
        <v>1.65</v>
      </c>
      <c r="H43" s="23">
        <f t="shared" si="51"/>
        <v>1.18</v>
      </c>
      <c r="I43" s="38">
        <f t="shared" si="52"/>
        <v>12092.64</v>
      </c>
      <c r="J43" s="37">
        <f t="shared" si="53"/>
        <v>12092.64</v>
      </c>
      <c r="K43" s="39">
        <f t="shared" si="54"/>
        <v>0.34532955923978975</v>
      </c>
      <c r="L43" s="21">
        <f t="shared" si="55"/>
        <v>0.40748887990295191</v>
      </c>
      <c r="M43" s="23">
        <f t="shared" si="56"/>
        <v>0.40748887990295185</v>
      </c>
      <c r="N43" s="272">
        <v>14</v>
      </c>
      <c r="O43" s="2"/>
      <c r="P43" s="58"/>
      <c r="Q43" s="58" t="s">
        <v>64</v>
      </c>
      <c r="R43" s="219">
        <f>IF($B$81=0,0,(SUMIF($N$6:$N$28,$U13,K$6:K$28)*$B$83+SUMIF($N$37:$N$64,$U13,B$37:B$64))*'Q2'!$B$81/$B$81)</f>
        <v>9408</v>
      </c>
      <c r="S43" s="219">
        <f>IF($B$81=0,0,(SUMIF($N$6:$N$28,$U13,L$6:L$28)+SUMIF($N$91:$N$118,$U13,L$91:L$118))*$I$83*'Q2'!$B$81/$B$81)</f>
        <v>5963.7000000000007</v>
      </c>
      <c r="T43" s="219">
        <f>IF($B$81=0,0,(SUMIF($N$6:$N$28,$U13,M$6:M$28)+SUMIF($N$91:$N$118,$U13,M$91:M$118))*$I$83*'Q2'!$B$81/$B$81)</f>
        <v>5963.7000000000007</v>
      </c>
      <c r="U43" s="55"/>
      <c r="V43" s="55"/>
      <c r="W43" s="114"/>
      <c r="X43" s="117"/>
      <c r="Y43" s="109"/>
      <c r="Z43" s="115">
        <v>0.25</v>
      </c>
      <c r="AA43" s="146">
        <f t="shared" si="64"/>
        <v>3023.16</v>
      </c>
      <c r="AB43" s="115">
        <v>0.25</v>
      </c>
      <c r="AC43" s="146">
        <f t="shared" si="65"/>
        <v>3023.16</v>
      </c>
      <c r="AD43" s="115">
        <v>0.25</v>
      </c>
      <c r="AE43" s="146">
        <f t="shared" si="66"/>
        <v>3023.16</v>
      </c>
      <c r="AF43" s="121">
        <f t="shared" si="57"/>
        <v>0.25</v>
      </c>
      <c r="AG43" s="146">
        <f t="shared" si="60"/>
        <v>3023.16</v>
      </c>
      <c r="AH43" s="122">
        <f t="shared" si="61"/>
        <v>1</v>
      </c>
      <c r="AI43" s="111">
        <f t="shared" si="61"/>
        <v>12092.64</v>
      </c>
      <c r="AJ43" s="147">
        <f t="shared" si="62"/>
        <v>6046.32</v>
      </c>
      <c r="AK43" s="146">
        <f t="shared" si="63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</v>
      </c>
      <c r="G44" s="21">
        <f t="shared" si="59"/>
        <v>1.65</v>
      </c>
      <c r="H44" s="23">
        <f t="shared" si="51"/>
        <v>1</v>
      </c>
      <c r="I44" s="38">
        <f t="shared" si="52"/>
        <v>1668</v>
      </c>
      <c r="J44" s="37">
        <f t="shared" si="53"/>
        <v>1668.0000000000002</v>
      </c>
      <c r="K44" s="39">
        <f t="shared" si="54"/>
        <v>5.6207035988677718E-2</v>
      </c>
      <c r="L44" s="21">
        <f t="shared" si="55"/>
        <v>5.6207035988677718E-2</v>
      </c>
      <c r="M44" s="23">
        <f t="shared" si="56"/>
        <v>5.6207035988677725E-2</v>
      </c>
      <c r="N44" s="268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0</v>
      </c>
      <c r="S44" s="219">
        <f>IF($B$81=0,0,(SUMIF($N$6:$N$28,$U14,L$6:L$28)+SUMIF($N$91:$N$118,$U14,L$91:L$118))*$I$83*'Q2'!$B$81/$B$81)</f>
        <v>0</v>
      </c>
      <c r="T44" s="219">
        <f>IF($B$81=0,0,(SUMIF($N$6:$N$28,$U14,M$6:M$28)+SUMIF($N$91:$N$118,$U14,M$91:M$118))*$I$83*'Q2'!$B$81/$B$81)</f>
        <v>0</v>
      </c>
      <c r="U44" s="55"/>
      <c r="V44" s="55"/>
      <c r="W44" s="116"/>
      <c r="X44" s="117"/>
      <c r="Y44" s="109"/>
      <c r="Z44" s="115">
        <v>0.25</v>
      </c>
      <c r="AA44" s="146">
        <f t="shared" si="64"/>
        <v>417.00000000000006</v>
      </c>
      <c r="AB44" s="115">
        <v>0.25</v>
      </c>
      <c r="AC44" s="146">
        <f t="shared" si="65"/>
        <v>417.00000000000006</v>
      </c>
      <c r="AD44" s="115">
        <v>0.25</v>
      </c>
      <c r="AE44" s="146">
        <f t="shared" si="66"/>
        <v>417.00000000000006</v>
      </c>
      <c r="AF44" s="121">
        <f t="shared" si="57"/>
        <v>0.25</v>
      </c>
      <c r="AG44" s="146">
        <f t="shared" si="60"/>
        <v>417.00000000000006</v>
      </c>
      <c r="AH44" s="122">
        <f t="shared" si="61"/>
        <v>1</v>
      </c>
      <c r="AI44" s="111">
        <f t="shared" si="61"/>
        <v>1668.0000000000002</v>
      </c>
      <c r="AJ44" s="147">
        <f t="shared" si="62"/>
        <v>834.00000000000011</v>
      </c>
      <c r="AK44" s="146">
        <f t="shared" si="63"/>
        <v>834.00000000000011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73">
        <v>15</v>
      </c>
      <c r="O45" s="2"/>
      <c r="P45" s="55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73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5460</v>
      </c>
      <c r="S46" s="219">
        <f>IF($B$81=0,0,(SUMIF($N$6:$N$28,$U16,L$6:L$28)+SUMIF($N$91:$N$118,$U16,L$91:L$118))*$I$83*'Q2'!$B$81/$B$81)</f>
        <v>5460</v>
      </c>
      <c r="T46" s="219">
        <f>IF($B$81=0,0,(SUMIF($N$6:$N$28,$U16,M$6:M$28)+SUMIF($N$91:$N$118,$U16,M$91:M$118))*$I$83*'Q2'!$B$81/$B$81)</f>
        <v>5771.0637848357219</v>
      </c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Q47" s="125" t="s">
        <v>105</v>
      </c>
      <c r="R47" s="219">
        <f>IF($B$81=0,0,(SUMIF($N$6:$N$28,$U17,K$6:K$28)*$B$83+SUMIF($N$37:$N$64,$U17,B$37:B$64))*'Q2'!$B$81/$B$81)</f>
        <v>2820</v>
      </c>
      <c r="S47" s="219">
        <f>IF($B$81=0,0,(SUMIF($N$6:$N$28,$U17,L$6:L$28)+SUMIF($N$91:$N$118,$U17,L$91:L$118))*$I$83*'Q2'!$B$81/$B$81)</f>
        <v>3271.1999999999994</v>
      </c>
      <c r="T47" s="219">
        <f>IF($B$81=0,0,(SUMIF($N$6:$N$28,$U17,M$6:M$28)+SUMIF($N$91:$N$118,$U17,M$91:M$118))*$I$83*'Q2'!$B$81/$B$81)</f>
        <v>3271.1999999999994</v>
      </c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Q50" s="58" t="s">
        <v>69</v>
      </c>
      <c r="R50" s="219">
        <f>IF($B$81=0,0,(SUMIF($N$6:$N$28,$U20,K$6:K$28)*$B$83+SUMIF($N$37:$N$64,$U20,B$37:B$64))*'Q2'!$B$81/$B$81)</f>
        <v>10248</v>
      </c>
      <c r="S50" s="219">
        <f>IF($B$81=0,0,(SUMIF($N$6:$N$28,$U20,L$6:L$28)+SUMIF($N$91:$N$118,$U20,L$91:L$118))*$I$83*'Q2'!$B$81/$B$81)</f>
        <v>12092.64</v>
      </c>
      <c r="T50" s="219">
        <f>IF($B$81=0,0,(SUMIF($N$6:$N$28,$U20,M$6:M$28)+SUMIF($N$91:$N$118,$U20,M$91:M$118))*$I$83*'Q2'!$B$81/$B$81)</f>
        <v>12092.64</v>
      </c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Q51" s="58" t="s">
        <v>70</v>
      </c>
      <c r="R51" s="219">
        <f>IF($B$81=0,0,(SUMIF($N$6:$N$28,$U21,K$6:K$28)*$B$83+SUMIF($N$37:$N$64,$U21,B$37:B$64))*'Q2'!$B$81/$B$81)</f>
        <v>1740</v>
      </c>
      <c r="S51" s="219">
        <f>IF($B$81=0,0,(SUMIF($N$6:$N$28,$U21,L$6:L$28)+SUMIF($N$91:$N$118,$U21,L$91:L$118))*$I$83*'Q2'!$B$81/$B$81)</f>
        <v>1740</v>
      </c>
      <c r="T51" s="219">
        <f>IF($B$81=0,0,(SUMIF($N$6:$N$28,$U21,M$6:M$28)+SUMIF($N$91:$N$118,$U21,M$91:M$118))*$I$83*'Q2'!$B$81/$B$81)</f>
        <v>1740</v>
      </c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169" t="s">
        <v>80</v>
      </c>
      <c r="R53" s="177">
        <f>SUM(R37:R52)</f>
        <v>30488.08333737704</v>
      </c>
      <c r="S53" s="177">
        <f>SUM(S37:S52)</f>
        <v>29867.477506672112</v>
      </c>
      <c r="T53" s="177">
        <f>SUM(T37:T52)</f>
        <v>30178.541291507834</v>
      </c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29619.54</v>
      </c>
      <c r="J65" s="38">
        <f>SUM(J37:J64)</f>
        <v>28838.603784835723</v>
      </c>
      <c r="K65" s="39">
        <f>SUM(K37:K64)</f>
        <v>1</v>
      </c>
      <c r="L65" s="21">
        <f>SUM(L37:L64)</f>
        <v>0.96130004043671646</v>
      </c>
      <c r="M65" s="23">
        <f>SUM(M37:M64)</f>
        <v>0.97178203884740932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50" t="s">
        <v>130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9191.4133333333339</v>
      </c>
      <c r="J71" s="50">
        <f t="shared" si="75"/>
        <v>9191.4133333333339</v>
      </c>
      <c r="K71" s="39">
        <f t="shared" ref="K71:K72" si="78">B71/B$76</f>
        <v>0.2624792200206677</v>
      </c>
      <c r="L71" s="21">
        <f t="shared" si="76"/>
        <v>0.30972547962438784</v>
      </c>
      <c r="M71" s="23">
        <f t="shared" ref="M71:M72" si="79">J71/B$76</f>
        <v>0.30972547962438784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2883.9168960727302</v>
      </c>
      <c r="K72" s="39">
        <f t="shared" si="78"/>
        <v>0.46744844318641326</v>
      </c>
      <c r="L72" s="21">
        <f t="shared" si="76"/>
        <v>0.19437287080542895</v>
      </c>
      <c r="M72" s="23">
        <f t="shared" si="79"/>
        <v>9.7180108372851126E-2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19145.097656295024</v>
      </c>
      <c r="J74" s="50">
        <f t="shared" si="75"/>
        <v>6288.8312117246805</v>
      </c>
      <c r="K74" s="39">
        <f>B74/B$76</f>
        <v>0.12815338994473646</v>
      </c>
      <c r="L74" s="21">
        <f t="shared" si="76"/>
        <v>0.10424164337982782</v>
      </c>
      <c r="M74" s="23">
        <f>J74/B$76</f>
        <v>0.21191640422309882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-4.9984350241264514E-12</v>
      </c>
      <c r="K75" s="39">
        <f>B75/B$76</f>
        <v>0</v>
      </c>
      <c r="L75" s="21">
        <f t="shared" si="76"/>
        <v>0</v>
      </c>
      <c r="M75" s="23">
        <f>J75/B$76</f>
        <v>-1.6843358350608071E-16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29619.539999999997</v>
      </c>
      <c r="J76" s="50">
        <f t="shared" si="75"/>
        <v>28838.603784835719</v>
      </c>
      <c r="K76" s="39">
        <f>SUM(K70:K75)</f>
        <v>1.1495200790049596</v>
      </c>
      <c r="L76" s="21">
        <f>SUM(L70:L75)</f>
        <v>0.96130004043671613</v>
      </c>
      <c r="M76" s="23">
        <f>SUM(M70:M75)</f>
        <v>0.97178203884740921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0</v>
      </c>
      <c r="K77" s="39"/>
      <c r="L77" s="21">
        <f>-(L131*G$37*F$9/F$7)/B$130</f>
        <v>-0.11535260881895895</v>
      </c>
      <c r="M77" s="23">
        <f>-J77/B$76</f>
        <v>0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7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7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4">
        <f t="shared" si="80"/>
        <v>0.17751360915919717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4">
        <f t="shared" ref="M92:M118" si="92">(J92)</f>
        <v>0.20414065053307673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4">
        <f t="shared" si="92"/>
        <v>0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4">
        <f t="shared" si="92"/>
        <v>0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0.51273391448154426</v>
      </c>
      <c r="K95" s="21">
        <f t="shared" si="90"/>
        <v>0.80041046292052409</v>
      </c>
      <c r="L95" s="21">
        <f t="shared" si="91"/>
        <v>0.48509725025486311</v>
      </c>
      <c r="M95" s="224">
        <f t="shared" si="92"/>
        <v>0.51273391448154426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4">
        <f t="shared" si="92"/>
        <v>0.29063189103181464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0.7151515151515152</v>
      </c>
      <c r="I97" s="21">
        <f t="shared" si="88"/>
        <v>1.0743784637952321</v>
      </c>
      <c r="J97" s="23">
        <f t="shared" si="89"/>
        <v>1.0743784637952321</v>
      </c>
      <c r="K97" s="21">
        <f t="shared" si="90"/>
        <v>1.5023088688662143</v>
      </c>
      <c r="L97" s="21">
        <f t="shared" si="91"/>
        <v>1.0743784637952321</v>
      </c>
      <c r="M97" s="224">
        <f t="shared" si="92"/>
        <v>1.0743784637952321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0.60606060606060608</v>
      </c>
      <c r="I98" s="21">
        <f t="shared" si="88"/>
        <v>0.14819454458335379</v>
      </c>
      <c r="J98" s="23">
        <f t="shared" si="89"/>
        <v>0.14819454458335379</v>
      </c>
      <c r="K98" s="21">
        <f t="shared" si="90"/>
        <v>0.24452099856253373</v>
      </c>
      <c r="L98" s="21">
        <f t="shared" si="91"/>
        <v>0.14819454458335379</v>
      </c>
      <c r="M98" s="224">
        <f t="shared" si="92"/>
        <v>0.14819454458335379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4">
        <f t="shared" si="92"/>
        <v>0.15459143139990142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4">
        <f t="shared" si="92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4">
        <f t="shared" si="92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4">
        <f t="shared" si="92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4">
        <f t="shared" si="92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4">
        <f t="shared" si="92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4">
        <f t="shared" si="92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4">
        <f t="shared" si="92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4">
        <f t="shared" si="92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4">
        <f t="shared" si="92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4">
        <f t="shared" si="92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4">
        <f t="shared" si="92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4">
        <f t="shared" si="92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4">
        <f t="shared" si="92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4">
        <f t="shared" si="92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4">
        <f t="shared" si="92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4">
        <f t="shared" si="92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4">
        <f t="shared" si="92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4">
        <f t="shared" si="92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4">
        <f t="shared" si="92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2.6315672908084116</v>
      </c>
      <c r="J119" s="23">
        <f>SUM(J91:J118)</f>
        <v>2.5621845049841201</v>
      </c>
      <c r="K119" s="21">
        <f>SUM(K91:K118)</f>
        <v>4.35036280176364</v>
      </c>
      <c r="L119" s="21">
        <f>SUM(L91:L118)</f>
        <v>2.5345478407574387</v>
      </c>
      <c r="M119" s="56">
        <f t="shared" si="80"/>
        <v>2.5621845049841201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7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237">
        <f t="shared" si="93"/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0.2562234718403702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0.5124803071660291</v>
      </c>
      <c r="M126" s="237">
        <f t="shared" si="93"/>
        <v>0.2562234718403702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7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1.7009586499870952</v>
      </c>
      <c r="J128" s="225">
        <f>(J30)</f>
        <v>0.55873529819131895</v>
      </c>
      <c r="K128" s="28">
        <f>(B128)</f>
        <v>0.55751374053549196</v>
      </c>
      <c r="L128" s="28">
        <f>IF(L124=L119,0,(L119-L124)/(B119-B124)*K128)</f>
        <v>0.27484179863897817</v>
      </c>
      <c r="M128" s="237">
        <f t="shared" si="93"/>
        <v>0.55873529819131895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5">
        <f>IF(SUM(J124:J128)&gt;J130,0,J130-SUM(J124:J128))</f>
        <v>-4.4408920985006262E-16</v>
      </c>
      <c r="K129" s="28">
        <f>(B129)</f>
        <v>0</v>
      </c>
      <c r="L129" s="59">
        <f>IF(SUM(L124:L128)&gt;L130,0,L130-SUM(L124:L128))</f>
        <v>0</v>
      </c>
      <c r="M129" s="237">
        <f t="shared" si="93"/>
        <v>-4.4408920985006262E-16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2.6315672908084116</v>
      </c>
      <c r="J130" s="225">
        <f>(J119)</f>
        <v>2.5621845049841201</v>
      </c>
      <c r="K130" s="28">
        <f>(B130)</f>
        <v>4.35036280176364</v>
      </c>
      <c r="L130" s="28">
        <f>(L119)</f>
        <v>2.5345478407574387</v>
      </c>
      <c r="M130" s="237">
        <f t="shared" si="93"/>
        <v>2.5621845049841201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4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0.30413678696508573</v>
      </c>
      <c r="M131" s="234">
        <f>IF(I131&lt;SUM(M126:M127),0,I131-(SUM(M126:M127)))</f>
        <v>0.56039362229074463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68" operator="equal">
      <formula>16</formula>
    </cfRule>
    <cfRule type="cellIs" dxfId="295" priority="69" operator="equal">
      <formula>15</formula>
    </cfRule>
    <cfRule type="cellIs" dxfId="294" priority="70" operator="equal">
      <formula>14</formula>
    </cfRule>
    <cfRule type="cellIs" dxfId="293" priority="71" operator="equal">
      <formula>13</formula>
    </cfRule>
    <cfRule type="cellIs" dxfId="292" priority="72" operator="equal">
      <formula>12</formula>
    </cfRule>
    <cfRule type="cellIs" dxfId="291" priority="73" operator="equal">
      <formula>11</formula>
    </cfRule>
    <cfRule type="cellIs" dxfId="290" priority="74" operator="equal">
      <formula>10</formula>
    </cfRule>
    <cfRule type="cellIs" dxfId="289" priority="75" operator="equal">
      <formula>9</formula>
    </cfRule>
    <cfRule type="cellIs" dxfId="288" priority="76" operator="equal">
      <formula>8</formula>
    </cfRule>
    <cfRule type="cellIs" dxfId="287" priority="77" operator="equal">
      <formula>7</formula>
    </cfRule>
    <cfRule type="cellIs" dxfId="286" priority="78" operator="equal">
      <formula>6</formula>
    </cfRule>
    <cfRule type="cellIs" dxfId="285" priority="79" operator="equal">
      <formula>5</formula>
    </cfRule>
    <cfRule type="cellIs" dxfId="284" priority="80" operator="equal">
      <formula>4</formula>
    </cfRule>
    <cfRule type="cellIs" dxfId="283" priority="81" operator="equal">
      <formula>3</formula>
    </cfRule>
    <cfRule type="cellIs" dxfId="282" priority="82" operator="equal">
      <formula>2</formula>
    </cfRule>
    <cfRule type="cellIs" dxfId="281" priority="83" operator="equal">
      <formula>1</formula>
    </cfRule>
  </conditionalFormatting>
  <conditionalFormatting sqref="N91:N104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105:N118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3" t="str">
        <f>'Q2'!Z2</f>
        <v>Q1</v>
      </c>
      <c r="AA2" s="254"/>
      <c r="AB2" s="253" t="str">
        <f>'Q2'!AB2</f>
        <v>Q2</v>
      </c>
      <c r="AC2" s="254"/>
      <c r="AD2" s="253" t="str">
        <f>'Q2'!AD2</f>
        <v>Q3</v>
      </c>
      <c r="AE2" s="254"/>
      <c r="AF2" s="253" t="str">
        <f>'Q2'!AF2</f>
        <v>Q4</v>
      </c>
      <c r="AG2" s="254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131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1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1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20839.051002861754</v>
      </c>
      <c r="S13" s="219">
        <f>IF($B$81=0,0,(SUMIF($N$6:$N$28,$U13,L$6:L$28)+SUMIF($N$91:$N$118,$U13,L$91:L$118))*$I$83*'Q2'!$B$81/$B$81)</f>
        <v>8760.3000000000011</v>
      </c>
      <c r="T13" s="219">
        <f>IF($B$81=0,0,(SUMIF($N$6:$N$28,$U13,M$6:M$28)+SUMIF($N$91:$N$118,$U13,M$91:M$118))*$I$83*'Q2'!$B$81/$B$81)</f>
        <v>8760.3000000000011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13531.851300559581</v>
      </c>
      <c r="S14" s="219">
        <f>IF($B$81=0,0,(SUMIF($N$6:$N$28,$U14,L$6:L$28)+SUMIF($N$91:$N$118,$U14,L$91:L$118))*$I$83*'Q2'!$B$81/$B$81)</f>
        <v>9743.9999999999982</v>
      </c>
      <c r="T14" s="219">
        <f>IF($B$81=0,0,(SUMIF($N$6:$N$28,$U14,M$6:M$28)+SUMIF($N$91:$N$118,$U14,M$91:M$118))*$I$83*'Q2'!$B$81/$B$81)</f>
        <v>9743.9999999999982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106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10554.844014436472</v>
      </c>
      <c r="S16" s="219">
        <f>IF($B$81=0,0,(SUMIF($N$6:$N$28,$U16,L$6:L$28)+SUMIF($N$91:$N$118,$U16,L$91:L$118))*$I$83*'Q2'!$B$81/$B$81)</f>
        <v>7019.9999999999991</v>
      </c>
      <c r="T16" s="219">
        <f>IF($B$81=0,0,(SUMIF($N$6:$N$28,$U16,M$6:M$28)+SUMIF($N$91:$N$118,$U16,M$91:M$118))*$I$83*'Q2'!$B$81/$B$81)</f>
        <v>7231.7890804763256</v>
      </c>
      <c r="U16" s="220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7036.5626762909824</v>
      </c>
      <c r="S17" s="219">
        <f>IF($B$81=0,0,(SUMIF($N$6:$N$28,$U17,L$6:L$28)+SUMIF($N$91:$N$118,$U17,L$91:L$118))*$I$83*'Q2'!$B$81/$B$81)</f>
        <v>5428.8</v>
      </c>
      <c r="T17" s="219">
        <f>IF($B$81=0,0,(SUMIF($N$6:$N$28,$U17,M$6:M$28)+SUMIF($N$91:$N$118,$U17,M$91:M$118))*$I$83*'Q2'!$B$81/$B$81)</f>
        <v>5428.8</v>
      </c>
      <c r="U17" s="220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2">
        <f t="shared" ref="M18:M25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1220.9989961164724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4582.7869737895116</v>
      </c>
      <c r="S20" s="219">
        <f>IF($B$81=0,0,(SUMIF($N$6:$N$28,$U20,L$6:L$28)+SUMIF($N$91:$N$118,$U20,L$91:L$118))*$I$83*'Q2'!$B$81/$B$81)</f>
        <v>3596.6400000000003</v>
      </c>
      <c r="T20" s="219">
        <f>IF($B$81=0,0,(SUMIF($N$6:$N$28,$U20,M$6:M$28)+SUMIF($N$91:$N$118,$U20,M$91:M$118))*$I$83*'Q2'!$B$81/$B$81)</f>
        <v>3596.6400000000003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2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3518.2813381454912</v>
      </c>
      <c r="S21" s="219">
        <f>IF($B$81=0,0,(SUMIF($N$6:$N$28,$U21,L$6:L$28)+SUMIF($N$91:$N$118,$U21,L$91:L$118))*$I$83*'Q2'!$B$81/$B$81)</f>
        <v>2340</v>
      </c>
      <c r="T21" s="219">
        <f>IF($B$81=0,0,(SUMIF($N$6:$N$28,$U21,M$6:M$28)+SUMIF($N$91:$N$118,$U21,M$91:M$118))*$I$83*'Q2'!$B$81/$B$81)</f>
        <v>2340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2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2">
        <f t="shared" si="23"/>
        <v>0</v>
      </c>
      <c r="N23" s="226"/>
      <c r="O23" s="2"/>
      <c r="P23" s="21"/>
      <c r="Q23" s="169" t="s">
        <v>80</v>
      </c>
      <c r="R23" s="177">
        <f>SUM(R7:R22)</f>
        <v>61284.37630220026</v>
      </c>
      <c r="S23" s="177">
        <f>SUM(S7:S22)</f>
        <v>38229.677506672117</v>
      </c>
      <c r="T23" s="177">
        <f>SUM(T7:T22)</f>
        <v>38441.466587148439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2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2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2.2513531013442126E-2</v>
      </c>
      <c r="K27" s="21">
        <f t="shared" si="4"/>
        <v>2.651292403486924E-2</v>
      </c>
      <c r="L27" s="21">
        <f t="shared" si="5"/>
        <v>2.651292403486924E-2</v>
      </c>
      <c r="M27" s="223">
        <f t="shared" si="6"/>
        <v>2.2513531013442126E-2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9.0054124053768503E-2</v>
      </c>
      <c r="Z27" s="155">
        <f>'Q2'!Z27</f>
        <v>0.25</v>
      </c>
      <c r="AA27" s="120">
        <f t="shared" si="16"/>
        <v>2.2513531013442126E-2</v>
      </c>
      <c r="AB27" s="155">
        <f>'Q2'!AB27</f>
        <v>0.25</v>
      </c>
      <c r="AC27" s="120">
        <f t="shared" si="7"/>
        <v>2.2513531013442126E-2</v>
      </c>
      <c r="AD27" s="155">
        <f>'Q2'!AD27</f>
        <v>0.25</v>
      </c>
      <c r="AE27" s="120">
        <f t="shared" si="8"/>
        <v>2.2513531013442126E-2</v>
      </c>
      <c r="AF27" s="121">
        <f t="shared" si="10"/>
        <v>0.25</v>
      </c>
      <c r="AG27" s="120">
        <f t="shared" si="11"/>
        <v>2.2513531013442126E-2</v>
      </c>
      <c r="AH27" s="122">
        <f t="shared" si="12"/>
        <v>1</v>
      </c>
      <c r="AI27" s="181">
        <f t="shared" si="13"/>
        <v>2.2513531013442126E-2</v>
      </c>
      <c r="AJ27" s="119">
        <f t="shared" si="14"/>
        <v>2.2513531013442126E-2</v>
      </c>
      <c r="AK27" s="118">
        <f t="shared" si="15"/>
        <v>2.2513531013442126E-2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0.41928886019917583</v>
      </c>
      <c r="K29" s="21">
        <f t="shared" si="4"/>
        <v>0.4538676295143213</v>
      </c>
      <c r="L29" s="21">
        <f t="shared" si="5"/>
        <v>0.4538676295143213</v>
      </c>
      <c r="M29" s="221">
        <f t="shared" si="6"/>
        <v>0.41928886019917583</v>
      </c>
      <c r="N29" s="226"/>
      <c r="P29" s="21"/>
      <c r="V29" s="55"/>
      <c r="W29" s="109"/>
      <c r="X29" s="117"/>
      <c r="Y29" s="181">
        <f t="shared" si="9"/>
        <v>1.6771554407967033</v>
      </c>
      <c r="Z29" s="155">
        <f>'Q2'!Z29</f>
        <v>0.25</v>
      </c>
      <c r="AA29" s="120">
        <f t="shared" si="16"/>
        <v>0.41928886019917583</v>
      </c>
      <c r="AB29" s="155">
        <f>'Q2'!AB29</f>
        <v>0.25</v>
      </c>
      <c r="AC29" s="120">
        <f t="shared" si="7"/>
        <v>0.41928886019917583</v>
      </c>
      <c r="AD29" s="155">
        <f>'Q2'!AD29</f>
        <v>0.25</v>
      </c>
      <c r="AE29" s="120">
        <f t="shared" si="8"/>
        <v>0.41928886019917583</v>
      </c>
      <c r="AF29" s="121">
        <f t="shared" si="10"/>
        <v>0.25</v>
      </c>
      <c r="AG29" s="120">
        <f t="shared" si="11"/>
        <v>0.41928886019917583</v>
      </c>
      <c r="AH29" s="122">
        <f t="shared" si="12"/>
        <v>1</v>
      </c>
      <c r="AI29" s="181">
        <f t="shared" si="13"/>
        <v>0.41928886019917583</v>
      </c>
      <c r="AJ29" s="119">
        <f t="shared" si="14"/>
        <v>0.41928886019917583</v>
      </c>
      <c r="AK29" s="118">
        <f t="shared" si="15"/>
        <v>0.41928886019917583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2.4716235892106728</v>
      </c>
      <c r="J30" s="228">
        <f>IF(I$32&lt;=1,I30,1-SUM(J6:J29))</f>
        <v>0.43914998973976305</v>
      </c>
      <c r="K30" s="21">
        <f t="shared" si="4"/>
        <v>0.57900237422166878</v>
      </c>
      <c r="L30" s="21">
        <f>IF(L124=L119,0,IF(K30="",0,(L119-L124)/(B119-B124)*K30))</f>
        <v>0.28550893727597682</v>
      </c>
      <c r="M30" s="173">
        <f t="shared" si="6"/>
        <v>0.43914998973976305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0</v>
      </c>
      <c r="T30" s="231">
        <f t="shared" si="24"/>
        <v>0</v>
      </c>
      <c r="V30" s="55"/>
      <c r="W30" s="109"/>
      <c r="X30" s="117"/>
      <c r="Y30" s="181">
        <f>M30*4</f>
        <v>1.7565999589590522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0.1150628901272136</v>
      </c>
      <c r="M31" s="176">
        <f t="shared" si="6"/>
        <v>0</v>
      </c>
      <c r="N31" s="166">
        <f>M31*I83</f>
        <v>0</v>
      </c>
      <c r="P31" s="21"/>
      <c r="Q31" s="235" t="s">
        <v>122</v>
      </c>
      <c r="R31" s="231">
        <f t="shared" si="24"/>
        <v>0</v>
      </c>
      <c r="S31" s="231">
        <f t="shared" si="24"/>
        <v>0</v>
      </c>
      <c r="T31" s="231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2.8153079822002889</v>
      </c>
      <c r="J32" s="16"/>
      <c r="L32" s="21">
        <f>SUM(L6:L30)</f>
        <v>0.8849371098727864</v>
      </c>
      <c r="M32" s="22"/>
      <c r="N32" s="55"/>
      <c r="O32" s="2"/>
      <c r="P32" s="21"/>
      <c r="Q32" s="231" t="s">
        <v>123</v>
      </c>
      <c r="R32" s="231">
        <f t="shared" si="24"/>
        <v>0</v>
      </c>
      <c r="S32" s="231">
        <f t="shared" si="24"/>
        <v>6532.21962063721</v>
      </c>
      <c r="T32" s="231">
        <f t="shared" si="24"/>
        <v>6320.4305401608872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0.1508469234161873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132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67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67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67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67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7231.7890804763256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0.18103006609783531</v>
      </c>
      <c r="N41" s="267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7231.7890804763256</v>
      </c>
      <c r="AH41" s="122">
        <f t="shared" si="37"/>
        <v>1</v>
      </c>
      <c r="AI41" s="111">
        <f t="shared" si="37"/>
        <v>7231.7890804763256</v>
      </c>
      <c r="AJ41" s="147">
        <f t="shared" si="38"/>
        <v>0</v>
      </c>
      <c r="AK41" s="146">
        <f t="shared" si="39"/>
        <v>7231.7890804763256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67">
        <v>11</v>
      </c>
      <c r="O42" s="2"/>
      <c r="P42" s="2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3596.6400000000003</v>
      </c>
      <c r="J43" s="37">
        <f t="shared" si="32"/>
        <v>3596.6400000000003</v>
      </c>
      <c r="K43" s="39">
        <f t="shared" si="33"/>
        <v>7.6299188945629329E-2</v>
      </c>
      <c r="L43" s="21">
        <f t="shared" si="34"/>
        <v>9.0033042955842607E-2</v>
      </c>
      <c r="M43" s="23">
        <f t="shared" si="35"/>
        <v>9.0033042955842607E-2</v>
      </c>
      <c r="N43" s="267">
        <v>14</v>
      </c>
      <c r="O43" s="2"/>
      <c r="P43" s="2"/>
      <c r="Q43" s="58" t="s">
        <v>64</v>
      </c>
      <c r="R43" s="219">
        <f>IF($B$81=0,0,(SUMIF($N$6:$N$28,$U13,K$6:K$28)*$B$83+SUMIF($N$37:$N$64,$U13,B$37:B$64))*'Q2'!$B$81/$B$81)</f>
        <v>13860</v>
      </c>
      <c r="S43" s="219">
        <f>IF($B$81=0,0,(SUMIF($N$6:$N$28,$U13,L$6:L$28)+SUMIF($N$91:$N$118,$U13,L$91:L$118))*$I$83*'Q2'!$B$81/$B$81)</f>
        <v>8760.3000000000011</v>
      </c>
      <c r="T43" s="219">
        <f>IF($B$81=0,0,(SUMIF($N$6:$N$28,$U13,M$6:M$28)+SUMIF($N$91:$N$118,$U13,M$91:M$118))*$I$83*'Q2'!$B$81/$B$81)</f>
        <v>8760.3000000000011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899.16000000000008</v>
      </c>
      <c r="AB43" s="155">
        <f>'Q2'!AB43</f>
        <v>0.25</v>
      </c>
      <c r="AC43" s="146">
        <f t="shared" si="41"/>
        <v>899.16000000000008</v>
      </c>
      <c r="AD43" s="155">
        <f>'Q2'!AD43</f>
        <v>0.25</v>
      </c>
      <c r="AE43" s="146">
        <f t="shared" si="42"/>
        <v>899.16000000000008</v>
      </c>
      <c r="AF43" s="121">
        <f t="shared" si="29"/>
        <v>0.25</v>
      </c>
      <c r="AG43" s="146">
        <f t="shared" si="36"/>
        <v>899.16000000000008</v>
      </c>
      <c r="AH43" s="122">
        <f t="shared" si="37"/>
        <v>1</v>
      </c>
      <c r="AI43" s="111">
        <f t="shared" si="37"/>
        <v>3596.6400000000003</v>
      </c>
      <c r="AJ43" s="147">
        <f t="shared" si="38"/>
        <v>1798.3200000000002</v>
      </c>
      <c r="AK43" s="146">
        <f t="shared" si="39"/>
        <v>1798.3200000000002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2400</v>
      </c>
      <c r="J44" s="37">
        <f t="shared" si="32"/>
        <v>2399.9999999999995</v>
      </c>
      <c r="K44" s="39">
        <f t="shared" si="33"/>
        <v>6.0078101531991591E-2</v>
      </c>
      <c r="L44" s="21">
        <f t="shared" si="34"/>
        <v>6.0078101531991591E-2</v>
      </c>
      <c r="M44" s="23">
        <f t="shared" si="35"/>
        <v>6.0078101531991578E-2</v>
      </c>
      <c r="N44" s="267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9000</v>
      </c>
      <c r="S44" s="219">
        <f>IF($B$81=0,0,(SUMIF($N$6:$N$28,$U14,L$6:L$28)+SUMIF($N$91:$N$118,$U14,L$91:L$118))*$I$83*'Q2'!$B$81/$B$81)</f>
        <v>9743.9999999999982</v>
      </c>
      <c r="T44" s="219">
        <f>IF($B$81=0,0,(SUMIF($N$6:$N$28,$U14,M$6:M$28)+SUMIF($N$91:$N$118,$U14,M$91:M$118))*$I$83*'Q2'!$B$81/$B$81)</f>
        <v>9743.9999999999982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599.99999999999989</v>
      </c>
      <c r="AB44" s="155">
        <f>'Q2'!AB44</f>
        <v>0.25</v>
      </c>
      <c r="AC44" s="146">
        <f t="shared" si="41"/>
        <v>599.99999999999989</v>
      </c>
      <c r="AD44" s="155">
        <f>'Q2'!AD44</f>
        <v>0.25</v>
      </c>
      <c r="AE44" s="146">
        <f t="shared" si="42"/>
        <v>599.99999999999989</v>
      </c>
      <c r="AF44" s="121">
        <f t="shared" si="29"/>
        <v>0.25</v>
      </c>
      <c r="AG44" s="146">
        <f t="shared" si="36"/>
        <v>599.99999999999989</v>
      </c>
      <c r="AH44" s="122">
        <f t="shared" si="37"/>
        <v>1</v>
      </c>
      <c r="AI44" s="111">
        <f t="shared" si="37"/>
        <v>2399.9999999999995</v>
      </c>
      <c r="AJ44" s="147">
        <f t="shared" si="38"/>
        <v>1199.9999999999998</v>
      </c>
      <c r="AK44" s="146">
        <f t="shared" si="39"/>
        <v>1199.9999999999998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67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67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7020</v>
      </c>
      <c r="S46" s="219">
        <f>IF($B$81=0,0,(SUMIF($N$6:$N$28,$U16,L$6:L$28)+SUMIF($N$91:$N$118,$U16,L$91:L$118))*$I$83*'Q2'!$B$81/$B$81)</f>
        <v>7019.9999999999991</v>
      </c>
      <c r="T46" s="219">
        <f>IF($B$81=0,0,(SUMIF($N$6:$N$28,$U16,M$6:M$28)+SUMIF($N$91:$N$118,$U16,M$91:M$118))*$I$83*'Q2'!$B$81/$B$81)</f>
        <v>7231.7890804763256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4680</v>
      </c>
      <c r="S47" s="219">
        <f>IF($B$81=0,0,(SUMIF($N$6:$N$28,$U17,L$6:L$28)+SUMIF($N$91:$N$118,$U17,L$91:L$118))*$I$83*'Q2'!$B$81/$B$81)</f>
        <v>5428.8</v>
      </c>
      <c r="T47" s="219">
        <f>IF($B$81=0,0,(SUMIF($N$6:$N$28,$U17,M$6:M$28)+SUMIF($N$91:$N$118,$U17,M$91:M$118))*$I$83*'Q2'!$B$81/$B$81)</f>
        <v>5428.8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3048.0000000000005</v>
      </c>
      <c r="S50" s="219">
        <f>IF($B$81=0,0,(SUMIF($N$6:$N$28,$U20,L$6:L$28)+SUMIF($N$91:$N$118,$U20,L$91:L$118))*$I$83*'Q2'!$B$81/$B$81)</f>
        <v>3596.6400000000003</v>
      </c>
      <c r="T50" s="219">
        <f>IF($B$81=0,0,(SUMIF($N$6:$N$28,$U20,M$6:M$28)+SUMIF($N$91:$N$118,$U20,M$91:M$118))*$I$83*'Q2'!$B$81/$B$81)</f>
        <v>3596.6400000000003</v>
      </c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2340</v>
      </c>
      <c r="S51" s="219">
        <f>IF($B$81=0,0,(SUMIF($N$6:$N$28,$U21,L$6:L$28)+SUMIF($N$91:$N$118,$U21,L$91:L$118))*$I$83*'Q2'!$B$81/$B$81)</f>
        <v>2340</v>
      </c>
      <c r="T51" s="219">
        <f>IF($B$81=0,0,(SUMIF($N$6:$N$28,$U21,M$6:M$28)+SUMIF($N$91:$N$118,$U21,M$91:M$118))*$I$83*'Q2'!$B$81/$B$81)</f>
        <v>2340</v>
      </c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169" t="s">
        <v>80</v>
      </c>
      <c r="R53" s="177">
        <f>SUM(R37:R52)</f>
        <v>40760.083337377037</v>
      </c>
      <c r="S53" s="177">
        <f>SUM(S37:S52)</f>
        <v>38229.677506672117</v>
      </c>
      <c r="T53" s="177">
        <f>SUM(T37:T52)</f>
        <v>38441.466587148439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</v>
      </c>
      <c r="S54" s="40">
        <f>IF($B$81=0,0,(SUM(($B$70*$H$70))+((1-$D$29)*$I$83))*'Q2'!$B$81/$B$81)</f>
        <v>19201.523793975997</v>
      </c>
      <c r="T54" s="40">
        <f>IF($B$81=0,0,(SUM(($B$70*$H$70))+((1-$D$29)*$I$83))*'Q2'!$B$81/$B$81)</f>
        <v>19201.523793975997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21962.298137442704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44761.897127309327</v>
      </c>
      <c r="T56" s="40">
        <f>IF($B$81=0,0,(SUM(($B$70*$H$70),($B$71*$H$71),($B$72*$H$72))+((1-$D$29)*$I$83))*'Q2'!$B$81/$B$81)</f>
        <v>44761.897127309327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38293.74</v>
      </c>
      <c r="J65" s="38">
        <f>SUM(J37:J64)</f>
        <v>37101.529080476321</v>
      </c>
      <c r="K65" s="39">
        <f>SUM(K37:K64)</f>
        <v>1</v>
      </c>
      <c r="L65" s="21">
        <f>SUM(L37:L64)</f>
        <v>0.92344397717032134</v>
      </c>
      <c r="M65" s="23">
        <f>SUM(M37:M64)</f>
        <v>0.92874559628708131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133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12492.831648059358</v>
      </c>
      <c r="K72" s="39">
        <f t="shared" si="47"/>
        <v>0.34725142685491139</v>
      </c>
      <c r="L72" s="21">
        <f t="shared" si="45"/>
        <v>0.3507145689690046</v>
      </c>
      <c r="M72" s="23">
        <f t="shared" si="48"/>
        <v>0.31272733673924497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27819.297656295024</v>
      </c>
      <c r="J74" s="50">
        <f t="shared" si="44"/>
        <v>4942.8417553786549</v>
      </c>
      <c r="K74" s="39">
        <f>B74/B$76</f>
        <v>9.8870149079307149E-2</v>
      </c>
      <c r="L74" s="21">
        <f t="shared" si="45"/>
        <v>8.0443044001899749E-2</v>
      </c>
      <c r="M74" s="23">
        <f>J74/B$76</f>
        <v>0.12373189534841932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38293.74</v>
      </c>
      <c r="J76" s="50">
        <f t="shared" si="44"/>
        <v>37101.529080476328</v>
      </c>
      <c r="K76" s="39">
        <f>SUM(K70:K75)</f>
        <v>1</v>
      </c>
      <c r="L76" s="21">
        <f>SUM(L70:L75)</f>
        <v>0.92344397717032134</v>
      </c>
      <c r="M76" s="23">
        <f>SUM(M70:M75)</f>
        <v>0.92874559628708131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7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</v>
      </c>
      <c r="C84" s="45"/>
      <c r="D84" s="232"/>
      <c r="E84" s="63"/>
      <c r="F84" s="63"/>
      <c r="G84" s="63"/>
      <c r="H84" s="233">
        <f>IF(B84=0,0,I84/B84)</f>
        <v>1.503539033395509</v>
      </c>
      <c r="I84" s="231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4">
        <f t="shared" si="49"/>
        <v>0.28106321450206218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4">
        <f t="shared" ref="M92:M118" si="62">(J92)</f>
        <v>0.28402177465471551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4">
        <f t="shared" si="62"/>
        <v>0.24734629023984225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4">
        <f t="shared" si="62"/>
        <v>0.61836572559960568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0.64251300317989202</v>
      </c>
      <c r="K95" s="21">
        <f t="shared" si="60"/>
        <v>1.0290991666121023</v>
      </c>
      <c r="L95" s="21">
        <f t="shared" si="61"/>
        <v>0.62369646461339534</v>
      </c>
      <c r="M95" s="224">
        <f t="shared" si="62"/>
        <v>0.64251300317989202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4">
        <f t="shared" si="62"/>
        <v>0.48232526596769243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0.7151515151515152</v>
      </c>
      <c r="I97" s="21">
        <f t="shared" si="58"/>
        <v>0.31954581944261007</v>
      </c>
      <c r="J97" s="23">
        <f t="shared" si="59"/>
        <v>0.31954581944261007</v>
      </c>
      <c r="K97" s="21">
        <f t="shared" si="60"/>
        <v>0.44682254413585304</v>
      </c>
      <c r="L97" s="21">
        <f t="shared" si="61"/>
        <v>0.31954581944261007</v>
      </c>
      <c r="M97" s="224">
        <f t="shared" si="62"/>
        <v>0.31954581944261007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0.60606060606060608</v>
      </c>
      <c r="I98" s="21">
        <f t="shared" si="58"/>
        <v>0.21322956055158815</v>
      </c>
      <c r="J98" s="23">
        <f t="shared" si="59"/>
        <v>0.21322956055158815</v>
      </c>
      <c r="K98" s="21">
        <f t="shared" si="60"/>
        <v>0.35182877491012043</v>
      </c>
      <c r="L98" s="21">
        <f t="shared" si="61"/>
        <v>0.21322956055158815</v>
      </c>
      <c r="M98" s="224">
        <f t="shared" si="62"/>
        <v>0.21322956055158815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4">
        <f t="shared" si="62"/>
        <v>0.20789882153779846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4">
        <f t="shared" si="62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4">
        <f t="shared" si="62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4">
        <f t="shared" si="62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4">
        <f t="shared" si="62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4">
        <f t="shared" si="62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4">
        <f t="shared" si="62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4">
        <f t="shared" si="62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4">
        <f t="shared" si="62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4">
        <f t="shared" si="62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4">
        <f t="shared" si="62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4">
        <f t="shared" si="62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4">
        <f t="shared" si="62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4">
        <f t="shared" si="62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4">
        <f t="shared" si="62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4">
        <f t="shared" si="62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4">
        <f t="shared" si="62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4">
        <f t="shared" si="62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4">
        <f t="shared" si="62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4">
        <f t="shared" si="62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3.4022322300319892</v>
      </c>
      <c r="J119" s="23">
        <f>SUM(J91:J118)</f>
        <v>3.2963094756758067</v>
      </c>
      <c r="K119" s="21">
        <f>SUM(K91:K118)</f>
        <v>5.8561899583789554</v>
      </c>
      <c r="L119" s="21">
        <f>SUM(L91:L118)</f>
        <v>3.2774929371093102</v>
      </c>
      <c r="M119" s="56">
        <f t="shared" si="49"/>
        <v>3.2963094756758067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1.1099337509836125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1.2447582648809021</v>
      </c>
      <c r="M126" s="56">
        <f t="shared" si="65"/>
        <v>1.1099337509836125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2.4716235892106728</v>
      </c>
      <c r="J128" s="225">
        <f>(J30)</f>
        <v>0.43914998973976305</v>
      </c>
      <c r="K128" s="21">
        <f>(B128)</f>
        <v>0.57900237422166878</v>
      </c>
      <c r="L128" s="21">
        <f>IF(L124=L119,0,(L119-L124)/(B119-B124)*K128)</f>
        <v>0.28550893727597682</v>
      </c>
      <c r="M128" s="56">
        <f t="shared" si="63"/>
        <v>0.43914998973976305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3.4022322300319892</v>
      </c>
      <c r="J130" s="225">
        <f>(J119)</f>
        <v>3.2963094756758067</v>
      </c>
      <c r="K130" s="21">
        <f>(B130)</f>
        <v>5.8561899583789554</v>
      </c>
      <c r="L130" s="21">
        <f>(L119)</f>
        <v>3.2774929371093102</v>
      </c>
      <c r="M130" s="56">
        <f t="shared" si="63"/>
        <v>3.2963094756758067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4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4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32" operator="equal">
      <formula>16</formula>
    </cfRule>
    <cfRule type="cellIs" dxfId="244" priority="133" operator="equal">
      <formula>15</formula>
    </cfRule>
    <cfRule type="cellIs" dxfId="243" priority="134" operator="equal">
      <formula>14</formula>
    </cfRule>
    <cfRule type="cellIs" dxfId="242" priority="135" operator="equal">
      <formula>13</formula>
    </cfRule>
    <cfRule type="cellIs" dxfId="241" priority="136" operator="equal">
      <formula>12</formula>
    </cfRule>
    <cfRule type="cellIs" dxfId="240" priority="137" operator="equal">
      <formula>11</formula>
    </cfRule>
    <cfRule type="cellIs" dxfId="239" priority="138" operator="equal">
      <formula>10</formula>
    </cfRule>
    <cfRule type="cellIs" dxfId="238" priority="139" operator="equal">
      <formula>9</formula>
    </cfRule>
    <cfRule type="cellIs" dxfId="237" priority="140" operator="equal">
      <formula>8</formula>
    </cfRule>
    <cfRule type="cellIs" dxfId="236" priority="141" operator="equal">
      <formula>7</formula>
    </cfRule>
    <cfRule type="cellIs" dxfId="235" priority="142" operator="equal">
      <formula>6</formula>
    </cfRule>
    <cfRule type="cellIs" dxfId="234" priority="143" operator="equal">
      <formula>5</formula>
    </cfRule>
    <cfRule type="cellIs" dxfId="233" priority="144" operator="equal">
      <formula>4</formula>
    </cfRule>
    <cfRule type="cellIs" dxfId="232" priority="145" operator="equal">
      <formula>3</formula>
    </cfRule>
    <cfRule type="cellIs" dxfId="231" priority="146" operator="equal">
      <formula>2</formula>
    </cfRule>
    <cfRule type="cellIs" dxfId="230" priority="147" operator="equal">
      <formula>1</formula>
    </cfRule>
  </conditionalFormatting>
  <conditionalFormatting sqref="N29">
    <cfRule type="cellIs" dxfId="229" priority="116" operator="equal">
      <formula>16</formula>
    </cfRule>
    <cfRule type="cellIs" dxfId="228" priority="117" operator="equal">
      <formula>15</formula>
    </cfRule>
    <cfRule type="cellIs" dxfId="227" priority="118" operator="equal">
      <formula>14</formula>
    </cfRule>
    <cfRule type="cellIs" dxfId="226" priority="119" operator="equal">
      <formula>13</formula>
    </cfRule>
    <cfRule type="cellIs" dxfId="225" priority="120" operator="equal">
      <formula>12</formula>
    </cfRule>
    <cfRule type="cellIs" dxfId="224" priority="121" operator="equal">
      <formula>11</formula>
    </cfRule>
    <cfRule type="cellIs" dxfId="223" priority="122" operator="equal">
      <formula>10</formula>
    </cfRule>
    <cfRule type="cellIs" dxfId="222" priority="123" operator="equal">
      <formula>9</formula>
    </cfRule>
    <cfRule type="cellIs" dxfId="221" priority="124" operator="equal">
      <formula>8</formula>
    </cfRule>
    <cfRule type="cellIs" dxfId="220" priority="125" operator="equal">
      <formula>7</formula>
    </cfRule>
    <cfRule type="cellIs" dxfId="219" priority="126" operator="equal">
      <formula>6</formula>
    </cfRule>
    <cfRule type="cellIs" dxfId="218" priority="127" operator="equal">
      <formula>5</formula>
    </cfRule>
    <cfRule type="cellIs" dxfId="217" priority="128" operator="equal">
      <formula>4</formula>
    </cfRule>
    <cfRule type="cellIs" dxfId="216" priority="129" operator="equal">
      <formula>3</formula>
    </cfRule>
    <cfRule type="cellIs" dxfId="215" priority="130" operator="equal">
      <formula>2</formula>
    </cfRule>
    <cfRule type="cellIs" dxfId="214" priority="131" operator="equal">
      <formula>1</formula>
    </cfRule>
  </conditionalFormatting>
  <conditionalFormatting sqref="N113:N118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8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91:N109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110:N112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R31:T31">
    <cfRule type="cellIs" dxfId="149" priority="19" operator="greaterThan">
      <formula>0</formula>
    </cfRule>
  </conditionalFormatting>
  <conditionalFormatting sqref="R32:T32">
    <cfRule type="cellIs" dxfId="148" priority="18" operator="greaterThan">
      <formula>0</formula>
    </cfRule>
  </conditionalFormatting>
  <conditionalFormatting sqref="R30:T30">
    <cfRule type="cellIs" dxfId="147" priority="17" operator="greaterThan">
      <formula>0</formula>
    </cfRule>
  </conditionalFormatting>
  <conditionalFormatting sqref="N37:N46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3" t="str">
        <f>'Q2'!Z2</f>
        <v>Q1</v>
      </c>
      <c r="AA2" s="254"/>
      <c r="AB2" s="253" t="str">
        <f>'Q2'!AB2</f>
        <v>Q2</v>
      </c>
      <c r="AC2" s="254"/>
      <c r="AD2" s="253" t="str">
        <f>'Q2'!AD2</f>
        <v>Q3</v>
      </c>
      <c r="AE2" s="254"/>
      <c r="AF2" s="253" t="str">
        <f>'Q2'!AF2</f>
        <v>Q4</v>
      </c>
      <c r="AG2" s="254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134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6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6"/>
      <c r="O7" s="2"/>
      <c r="P7" s="21"/>
      <c r="Q7" s="58" t="s">
        <v>59</v>
      </c>
      <c r="R7" s="219">
        <f>IF($B$81=0,0,(SUMIF($N$6:$N$28,$U7,K$6:K$28)+SUMIF($N$91:$N$118,$U7,K$91:K$118))*$B$83*$H$84*'Q2'!$B$81/$B$81)</f>
        <v>0</v>
      </c>
      <c r="S7" s="219">
        <f>IF($B$81=0,0,(SUMIF($N$6:$N$28,$U7,L$6:L$28)+SUMIF($N$91:$N$118,$U7,L$91:L$118))*$I$83*'Q2'!$B$81/$B$81)</f>
        <v>0</v>
      </c>
      <c r="T7" s="219">
        <f>IF($B$81=0,0,(SUMIF($N$6:$N$28,$U7,M$6:M$28)+SUMIF($N$91:$N$118,$U7,M$91:M$118))*$I$83*'Q2'!$B$81/$B$81)</f>
        <v>0</v>
      </c>
      <c r="U7" s="220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1">
        <f t="shared" si="6"/>
        <v>0</v>
      </c>
      <c r="N8" s="226"/>
      <c r="O8" s="2"/>
      <c r="P8" s="21"/>
      <c r="Q8" s="58" t="s">
        <v>60</v>
      </c>
      <c r="R8" s="219">
        <f>IF($B$81=0,0,(SUMIF($N$6:$N$28,$U8,K$6:K$28)+SUMIF($N$91:$N$118,$U8,K$91:K$118))*$B$83*$H$84*'Q2'!$B$81/$B$81)</f>
        <v>0</v>
      </c>
      <c r="S8" s="219">
        <f>IF($B$81=0,0,(SUMIF($N$6:$N$28,$U8,L$6:L$28)+SUMIF($N$91:$N$118,$U8,L$91:L$118))*$I$83*'Q2'!$B$81/$B$81)</f>
        <v>0</v>
      </c>
      <c r="T8" s="219">
        <f>IF($B$81=0,0,(SUMIF($N$6:$N$28,$U8,M$6:M$28)+SUMIF($N$91:$N$118,$U8,M$91:M$118))*$I$83*'Q2'!$B$81/$B$81)</f>
        <v>0</v>
      </c>
      <c r="U8" s="220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1">
        <f t="shared" si="6"/>
        <v>0</v>
      </c>
      <c r="N9" s="226"/>
      <c r="O9" s="2"/>
      <c r="P9" s="21"/>
      <c r="Q9" s="58" t="s">
        <v>61</v>
      </c>
      <c r="R9" s="219">
        <f>IF($B$81=0,0,(SUMIF($N$6:$N$28,$U9,K$6:K$28)+SUMIF($N$91:$N$118,$U9,K$91:K$118))*$B$83*$H$84*'Q2'!$B$81/$B$81)</f>
        <v>0</v>
      </c>
      <c r="S9" s="219">
        <f>IF($B$81=0,0,(SUMIF($N$6:$N$28,$U9,L$6:L$28)+SUMIF($N$91:$N$118,$U9,L$91:L$118))*$I$83*'Q2'!$B$81/$B$81)</f>
        <v>0</v>
      </c>
      <c r="T9" s="219">
        <f>IF($B$81=0,0,(SUMIF($N$6:$N$28,$U9,M$6:M$28)+SUMIF($N$91:$N$118,$U9,M$91:M$118))*$I$83*'Q2'!$B$81/$B$81)</f>
        <v>0</v>
      </c>
      <c r="U9" s="220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1">
        <f t="shared" si="6"/>
        <v>0</v>
      </c>
      <c r="N10" s="226"/>
      <c r="O10" s="2"/>
      <c r="P10" s="21"/>
      <c r="Q10" s="58" t="s">
        <v>62</v>
      </c>
      <c r="R10" s="219">
        <f>IF($B$81=0,0,(SUMIF($N$6:$N$28,$U10,K$6:K$28)+SUMIF($N$91:$N$118,$U10,K$91:K$118))*$B$83*$H$84*'Q2'!$B$81/$B$81)</f>
        <v>0</v>
      </c>
      <c r="S10" s="219">
        <f>IF($B$81=0,0,(SUMIF($N$6:$N$28,$U10,L$6:L$28)+SUMIF($N$91:$N$118,$U10,L$91:L$118))*$I$83*'Q2'!$B$81/$B$81)</f>
        <v>0</v>
      </c>
      <c r="T10" s="219">
        <f>IF($B$81=0,0,(SUMIF($N$6:$N$28,$U10,M$6:M$28)+SUMIF($N$91:$N$118,$U10,M$91:M$118))*$I$83*'Q2'!$B$81/$B$81)</f>
        <v>0</v>
      </c>
      <c r="U10" s="220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1">
        <f t="shared" si="6"/>
        <v>0</v>
      </c>
      <c r="N11" s="226"/>
      <c r="O11" s="2"/>
      <c r="P11" s="21"/>
      <c r="Q11" s="58" t="s">
        <v>63</v>
      </c>
      <c r="R11" s="219">
        <f>IF($B$81=0,0,(SUMIF($N$6:$N$28,$U11,K$6:K$28)+SUMIF($N$91:$N$118,$U11,K$91:K$118))*$B$83*$H$84*'Q2'!$B$81/$B$81)</f>
        <v>0</v>
      </c>
      <c r="S11" s="219">
        <f>IF($B$81=0,0,(SUMIF($N$6:$N$28,$U11,L$6:L$28)+SUMIF($N$91:$N$118,$U11,L$91:L$118))*$I$83*'Q2'!$B$81/$B$81)</f>
        <v>0</v>
      </c>
      <c r="T11" s="219">
        <f>IF($B$81=0,0,(SUMIF($N$6:$N$28,$U11,M$6:M$28)+SUMIF($N$91:$N$118,$U11,M$91:M$118))*$I$83*'Q2'!$B$81/$B$81)</f>
        <v>0</v>
      </c>
      <c r="U11" s="220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1">
        <f t="shared" si="6"/>
        <v>0</v>
      </c>
      <c r="N12" s="226"/>
      <c r="O12" s="2"/>
      <c r="P12" s="21"/>
      <c r="Q12" s="125" t="s">
        <v>104</v>
      </c>
      <c r="R12" s="219">
        <f>IF($B$81=0,0,(SUMIF($N$6:$N$28,$U12,K$6:K$28)+SUMIF($N$91:$N$118,$U12,K$91:K$118))*$B$83*$H$84*'Q2'!$B$81/$B$81)</f>
        <v>0</v>
      </c>
      <c r="S12" s="219">
        <f>IF($B$81=0,0,(SUMIF($N$6:$N$28,$U12,L$6:L$28)+SUMIF($N$91:$N$118,$U12,L$91:L$118))*$I$83*'Q2'!$B$81/$B$81)</f>
        <v>0</v>
      </c>
      <c r="T12" s="219">
        <f>IF($B$81=0,0,(SUMIF($N$6:$N$28,$U12,M$6:M$28)+SUMIF($N$91:$N$118,$U12,M$91:M$118))*$I$83*'Q2'!$B$81/$B$81)</f>
        <v>0</v>
      </c>
      <c r="U12" s="220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2">
        <f t="shared" si="6"/>
        <v>0</v>
      </c>
      <c r="N13" s="226"/>
      <c r="O13" s="2"/>
      <c r="P13" s="21"/>
      <c r="Q13" s="58" t="s">
        <v>64</v>
      </c>
      <c r="R13" s="219">
        <f>IF($B$81=0,0,(SUMIF($N$6:$N$28,$U13,K$6:K$28)+SUMIF($N$91:$N$118,$U13,K$91:K$118))*$B$83*$H$84*'Q2'!$B$81/$B$81)</f>
        <v>29770.072861231078</v>
      </c>
      <c r="S13" s="219">
        <f>IF($B$81=0,0,(SUMIF($N$6:$N$28,$U13,L$6:L$28)+SUMIF($N$91:$N$118,$U13,L$91:L$118))*$I$83*'Q2'!$B$81/$B$81)</f>
        <v>12697.8</v>
      </c>
      <c r="T13" s="219">
        <f>IF($B$81=0,0,(SUMIF($N$6:$N$28,$U13,M$6:M$28)+SUMIF($N$91:$N$118,$U13,M$91:M$118))*$I$83*'Q2'!$B$81/$B$81)</f>
        <v>12697.8</v>
      </c>
      <c r="U13" s="220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2">
        <f t="shared" si="6"/>
        <v>0</v>
      </c>
      <c r="N14" s="226"/>
      <c r="O14" s="2"/>
      <c r="P14" s="21"/>
      <c r="Q14" s="125" t="s">
        <v>65</v>
      </c>
      <c r="R14" s="219">
        <f>IF($B$81=0,0,(SUMIF($N$6:$N$28,$U14,K$6:K$28)+SUMIF($N$91:$N$118,$U14,K$91:K$118))*$B$83*$H$84*'Q2'!$B$81/$B$81)</f>
        <v>34731.751671436257</v>
      </c>
      <c r="S14" s="219">
        <f>IF($B$81=0,0,(SUMIF($N$6:$N$28,$U14,L$6:L$28)+SUMIF($N$91:$N$118,$U14,L$91:L$118))*$I$83*'Q2'!$B$81/$B$81)</f>
        <v>25055.999999999993</v>
      </c>
      <c r="T14" s="219">
        <f>IF($B$81=0,0,(SUMIF($N$6:$N$28,$U14,M$6:M$28)+SUMIF($N$91:$N$118,$U14,M$91:M$118))*$I$83*'Q2'!$B$81/$B$81)</f>
        <v>25055.999999999993</v>
      </c>
      <c r="U14" s="220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3">
        <f t="shared" si="6"/>
        <v>0</v>
      </c>
      <c r="N15" s="226"/>
      <c r="O15" s="2"/>
      <c r="P15" s="21"/>
      <c r="Q15" s="58" t="s">
        <v>106</v>
      </c>
      <c r="R15" s="219">
        <f>IF($B$81=0,0,(SUMIF($N$6:$N$28,$U15,K$6:K$28)+SUMIF($N$91:$N$118,$U15,K$91:K$118))*$B$83*$H$84*'Q2'!$B$81/$B$81)</f>
        <v>0</v>
      </c>
      <c r="S15" s="219">
        <f>IF($B$81=0,0,(SUMIF($N$6:$N$28,$U15,L$6:L$28)+SUMIF($N$91:$N$118,$U15,L$91:L$118))*$I$83*'Q2'!$B$81/$B$81)</f>
        <v>0</v>
      </c>
      <c r="T15" s="219">
        <f>IF($B$81=0,0,(SUMIF($N$6:$N$28,$U15,M$6:M$28)+SUMIF($N$91:$N$118,$U15,M$91:M$118))*$I$83*'Q2'!$B$81/$B$81)</f>
        <v>0</v>
      </c>
      <c r="U15" s="220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1">
        <f t="shared" si="6"/>
        <v>0</v>
      </c>
      <c r="N16" s="226"/>
      <c r="O16" s="2"/>
      <c r="P16" s="21"/>
      <c r="Q16" s="125" t="s">
        <v>66</v>
      </c>
      <c r="R16" s="219">
        <f>IF($B$81=0,0,(SUMIF($N$6:$N$28,$U16,K$6:K$28)+SUMIF($N$91:$N$118,$U16,K$91:K$118))*$B$83*$H$84*'Q2'!$B$81/$B$81)</f>
        <v>14289.634973390919</v>
      </c>
      <c r="S16" s="219">
        <f>IF($B$81=0,0,(SUMIF($N$6:$N$28,$U16,L$6:L$28)+SUMIF($N$91:$N$118,$U16,L$91:L$118))*$I$83*'Q2'!$B$81/$B$81)</f>
        <v>9504</v>
      </c>
      <c r="T16" s="219">
        <f>IF($B$81=0,0,(SUMIF($N$6:$N$28,$U16,M$6:M$28)+SUMIF($N$91:$N$118,$U16,M$91:M$118))*$I$83*'Q2'!$B$81/$B$81)</f>
        <v>9479.1704745976112</v>
      </c>
      <c r="U16" s="220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2">
        <f t="shared" si="6"/>
        <v>0</v>
      </c>
      <c r="N17" s="226"/>
      <c r="O17" s="2"/>
      <c r="P17" s="21"/>
      <c r="Q17" s="125" t="s">
        <v>105</v>
      </c>
      <c r="R17" s="219">
        <f>IF($B$81=0,0,(SUMIF($N$6:$N$28,$U17,K$6:K$28)+SUMIF($N$91:$N$118,$U17,K$91:K$118))*$B$83*$H$84*'Q2'!$B$81/$B$81)</f>
        <v>8931.021858369324</v>
      </c>
      <c r="S17" s="219">
        <f>IF($B$81=0,0,(SUMIF($N$6:$N$28,$U17,L$6:L$28)+SUMIF($N$91:$N$118,$U17,L$91:L$118))*$I$83*'Q2'!$B$81/$B$81)</f>
        <v>6890.3999999999987</v>
      </c>
      <c r="T17" s="219">
        <f>IF($B$81=0,0,(SUMIF($N$6:$N$28,$U17,M$6:M$28)+SUMIF($N$91:$N$118,$U17,M$91:M$118))*$I$83*'Q2'!$B$81/$B$81)</f>
        <v>6890.3999999999987</v>
      </c>
      <c r="U17" s="220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2">
        <f t="shared" ref="M18:M25" si="23">J18</f>
        <v>0</v>
      </c>
      <c r="N18" s="226"/>
      <c r="O18" s="2"/>
      <c r="P18" s="21"/>
      <c r="Q18" s="58" t="s">
        <v>67</v>
      </c>
      <c r="R18" s="219">
        <f>IF($B$81=0,0,(SUMIF($N$6:$N$28,$U18,K$6:K$28)+SUMIF($N$91:$N$118,$U18,K$91:K$118))*$B$83*$H$84*'Q2'!$B$81/$B$81)</f>
        <v>1220.9989961164727</v>
      </c>
      <c r="S18" s="219">
        <f>IF($B$81=0,0,(SUMIF($N$6:$N$28,$U18,L$6:L$28)+SUMIF($N$91:$N$118,$U18,L$91:L$118))*$I$83*'Q2'!$B$81/$B$81)</f>
        <v>1339.9375066721143</v>
      </c>
      <c r="T18" s="219">
        <f>IF($B$81=0,0,(SUMIF($N$6:$N$28,$U18,M$6:M$28)+SUMIF($N$91:$N$118,$U18,M$91:M$118))*$I$83*'Q2'!$B$81/$B$81)</f>
        <v>1339.9375066721143</v>
      </c>
      <c r="U18" s="220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2">
        <f t="shared" si="23"/>
        <v>0</v>
      </c>
      <c r="N19" s="226"/>
      <c r="O19" s="2"/>
      <c r="P19" s="21"/>
      <c r="Q19" s="58" t="s">
        <v>68</v>
      </c>
      <c r="R19" s="219">
        <f>IF($B$81=0,0,(SUMIF($N$6:$N$28,$U19,K$6:K$28)+SUMIF($N$91:$N$118,$U19,K$91:K$118))*$B$83*$H$84*'Q2'!$B$81/$B$81)</f>
        <v>0</v>
      </c>
      <c r="S19" s="219">
        <f>IF($B$81=0,0,(SUMIF($N$6:$N$28,$U19,L$6:L$28)+SUMIF($N$91:$N$118,$U19,L$91:L$118))*$I$83*'Q2'!$B$81/$B$81)</f>
        <v>0</v>
      </c>
      <c r="T19" s="219">
        <f>IF($B$81=0,0,(SUMIF($N$6:$N$28,$U19,M$6:M$28)+SUMIF($N$91:$N$118,$U19,M$91:M$118))*$I$83*'Q2'!$B$81/$B$81)</f>
        <v>0</v>
      </c>
      <c r="U19" s="220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2">
        <f t="shared" si="23"/>
        <v>0</v>
      </c>
      <c r="N20" s="226"/>
      <c r="O20" s="2"/>
      <c r="P20" s="21"/>
      <c r="Q20" s="58" t="s">
        <v>69</v>
      </c>
      <c r="R20" s="219">
        <f>IF($B$81=0,0,(SUMIF($N$6:$N$28,$U20,K$6:K$28)+SUMIF($N$91:$N$118,$U20,K$91:K$118))*$B$83*$H$84*'Q2'!$B$81/$B$81)</f>
        <v>0</v>
      </c>
      <c r="S20" s="219">
        <f>IF($B$81=0,0,(SUMIF($N$6:$N$28,$U20,L$6:L$28)+SUMIF($N$91:$N$118,$U20,L$91:L$118))*$I$83*'Q2'!$B$81/$B$81)</f>
        <v>0</v>
      </c>
      <c r="T20" s="219">
        <f>IF($B$81=0,0,(SUMIF($N$6:$N$28,$U20,M$6:M$28)+SUMIF($N$91:$N$118,$U20,M$91:M$118))*$I$83*'Q2'!$B$81/$B$81)</f>
        <v>0</v>
      </c>
      <c r="U20" s="220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2">
        <f t="shared" si="23"/>
        <v>0</v>
      </c>
      <c r="N21" s="226"/>
      <c r="O21" s="2"/>
      <c r="P21" s="21"/>
      <c r="Q21" s="58" t="s">
        <v>70</v>
      </c>
      <c r="R21" s="219">
        <f>IF($B$81=0,0,(SUMIF($N$6:$N$28,$U21,K$6:K$28)+SUMIF($N$91:$N$118,$U21,K$91:K$118))*$B$83*$H$84*'Q2'!$B$81/$B$81)</f>
        <v>4510.6171001865278</v>
      </c>
      <c r="S21" s="219">
        <f>IF($B$81=0,0,(SUMIF($N$6:$N$28,$U21,L$6:L$28)+SUMIF($N$91:$N$118,$U21,L$91:L$118))*$I$83*'Q2'!$B$81/$B$81)</f>
        <v>2999.9999999999995</v>
      </c>
      <c r="T21" s="219">
        <f>IF($B$81=0,0,(SUMIF($N$6:$N$28,$U21,M$6:M$28)+SUMIF($N$91:$N$118,$U21,M$91:M$118))*$I$83*'Q2'!$B$81/$B$81)</f>
        <v>2999.9999999999995</v>
      </c>
      <c r="U21" s="220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2">
        <f t="shared" si="23"/>
        <v>0</v>
      </c>
      <c r="N22" s="226"/>
      <c r="O22" s="2"/>
      <c r="P22" s="21"/>
      <c r="Q22" s="58" t="s">
        <v>71</v>
      </c>
      <c r="R22" s="219">
        <f>IF($B$81=0,0,(SUMIF($N$6:$N$28,$U22,K$6:K$28)+SUMIF($N$91:$N$118,$U22,K$91:K$118))*$B$83*$H$84*'Q2'!$B$81/$B$81)</f>
        <v>0</v>
      </c>
      <c r="S22" s="219">
        <f>IF($B$81=0,0,(SUMIF($N$6:$N$28,$U22,L$6:L$28)+SUMIF($N$91:$N$118,$U22,L$91:L$118))*$I$83*'Q2'!$B$81/$B$81)</f>
        <v>0</v>
      </c>
      <c r="T22" s="219">
        <f>IF($B$81=0,0,(SUMIF($N$6:$N$28,$U22,M$6:M$28)+SUMIF($N$91:$N$118,$U22,M$91:M$118))*$I$83*'Q2'!$B$81/$B$81)</f>
        <v>0</v>
      </c>
      <c r="U22" s="220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2">
        <f t="shared" si="23"/>
        <v>0</v>
      </c>
      <c r="N23" s="226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58488.137506672101</v>
      </c>
      <c r="T23" s="177">
        <f>SUM(T7:T22)</f>
        <v>58463.307981269711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2">
        <f t="shared" si="23"/>
        <v>0</v>
      </c>
      <c r="N24" s="226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2">
        <f t="shared" si="23"/>
        <v>0</v>
      </c>
      <c r="N25" s="226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1">
        <f t="shared" si="6"/>
        <v>0.11904761904761904</v>
      </c>
      <c r="N26" s="226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6.7148134109710142E-2</v>
      </c>
      <c r="K27" s="21">
        <f t="shared" si="4"/>
        <v>6.6282310087173099E-2</v>
      </c>
      <c r="L27" s="21">
        <f t="shared" si="5"/>
        <v>6.6282310087173099E-2</v>
      </c>
      <c r="M27" s="223">
        <f t="shared" si="6"/>
        <v>6.7148134109710142E-2</v>
      </c>
      <c r="N27" s="226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0.26859253643884057</v>
      </c>
      <c r="Z27" s="155">
        <f>'Q2'!Z27</f>
        <v>0.25</v>
      </c>
      <c r="AA27" s="120">
        <f t="shared" si="16"/>
        <v>6.7148134109710142E-2</v>
      </c>
      <c r="AB27" s="155">
        <f>'Q2'!AB27</f>
        <v>0.25</v>
      </c>
      <c r="AC27" s="120">
        <f t="shared" si="7"/>
        <v>6.7148134109710142E-2</v>
      </c>
      <c r="AD27" s="155">
        <f>'Q2'!AD27</f>
        <v>0.25</v>
      </c>
      <c r="AE27" s="120">
        <f t="shared" si="8"/>
        <v>6.7148134109710142E-2</v>
      </c>
      <c r="AF27" s="121">
        <f t="shared" si="10"/>
        <v>0.25</v>
      </c>
      <c r="AG27" s="120">
        <f t="shared" si="11"/>
        <v>6.7148134109710142E-2</v>
      </c>
      <c r="AH27" s="122">
        <f t="shared" si="12"/>
        <v>1</v>
      </c>
      <c r="AI27" s="181">
        <f t="shared" si="13"/>
        <v>6.7148134109710142E-2</v>
      </c>
      <c r="AJ27" s="119">
        <f t="shared" si="14"/>
        <v>6.7148134109710142E-2</v>
      </c>
      <c r="AK27" s="118">
        <f t="shared" si="15"/>
        <v>6.7148134109710142E-2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1">
        <f t="shared" si="6"/>
        <v>0</v>
      </c>
      <c r="N28" s="226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0.53519488403273607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0.53519488403273607</v>
      </c>
      <c r="N29" s="226"/>
      <c r="P29" s="21"/>
      <c r="V29" s="55"/>
      <c r="W29" s="109"/>
      <c r="X29" s="117"/>
      <c r="Y29" s="181">
        <f t="shared" si="9"/>
        <v>2.1407795361309443</v>
      </c>
      <c r="Z29" s="155">
        <f>'Q2'!Z29</f>
        <v>0.25</v>
      </c>
      <c r="AA29" s="120">
        <f t="shared" si="16"/>
        <v>0.53519488403273607</v>
      </c>
      <c r="AB29" s="155">
        <f>'Q2'!AB29</f>
        <v>0.25</v>
      </c>
      <c r="AC29" s="120">
        <f t="shared" si="7"/>
        <v>0.53519488403273607</v>
      </c>
      <c r="AD29" s="155">
        <f>'Q2'!AD29</f>
        <v>0.25</v>
      </c>
      <c r="AE29" s="120">
        <f t="shared" si="8"/>
        <v>0.53519488403273607</v>
      </c>
      <c r="AF29" s="121">
        <f t="shared" si="10"/>
        <v>0.25</v>
      </c>
      <c r="AG29" s="120">
        <f t="shared" si="11"/>
        <v>0.53519488403273607</v>
      </c>
      <c r="AH29" s="122">
        <f t="shared" si="12"/>
        <v>1</v>
      </c>
      <c r="AI29" s="181">
        <f t="shared" si="13"/>
        <v>0.53519488403273607</v>
      </c>
      <c r="AJ29" s="119">
        <f t="shared" si="14"/>
        <v>0.53519488403273607</v>
      </c>
      <c r="AK29" s="118">
        <f t="shared" si="15"/>
        <v>0.53519488403273607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4.3156381595998203</v>
      </c>
      <c r="J30" s="228">
        <f>IF(I$32&lt;=1,I30,1-SUM(J6:J29))</f>
        <v>0.27860936280993476</v>
      </c>
      <c r="K30" s="21">
        <f t="shared" si="4"/>
        <v>0.62186232777085926</v>
      </c>
      <c r="L30" s="21">
        <f>IF(L124=L119,0,IF(K30="",0,(L119-L124)/(B119-B124)*K30))</f>
        <v>0.32658673082589107</v>
      </c>
      <c r="M30" s="173">
        <f t="shared" si="6"/>
        <v>0.27860936280993476</v>
      </c>
      <c r="N30" s="165" t="s">
        <v>74</v>
      </c>
      <c r="O30" s="2"/>
      <c r="P30" s="21"/>
      <c r="Q30" s="231" t="s">
        <v>121</v>
      </c>
      <c r="R30" s="231">
        <f t="shared" ref="R30:T32" si="24">IF(R24&gt;R$23,R24-R$23,0)</f>
        <v>0</v>
      </c>
      <c r="S30" s="231">
        <f t="shared" si="24"/>
        <v>0</v>
      </c>
      <c r="T30" s="231">
        <f t="shared" si="24"/>
        <v>0</v>
      </c>
      <c r="V30" s="55"/>
      <c r="W30" s="109"/>
      <c r="X30" s="117"/>
      <c r="Y30" s="181">
        <f>M30*4</f>
        <v>1.114437451239739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29">
        <f>(1-SUM(J6:J30))</f>
        <v>0</v>
      </c>
      <c r="K31" s="21" t="str">
        <f t="shared" si="4"/>
        <v/>
      </c>
      <c r="L31" s="21">
        <f>(1-SUM(L6:L30))</f>
        <v>-4.3107133808752973E-2</v>
      </c>
      <c r="M31" s="176">
        <f t="shared" si="6"/>
        <v>0</v>
      </c>
      <c r="N31" s="166">
        <f>M31*I83</f>
        <v>0</v>
      </c>
      <c r="P31" s="21"/>
      <c r="Q31" s="235" t="s">
        <v>122</v>
      </c>
      <c r="R31" s="231">
        <f t="shared" si="24"/>
        <v>0</v>
      </c>
      <c r="S31" s="231">
        <f t="shared" si="24"/>
        <v>0</v>
      </c>
      <c r="T31" s="231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4.6593225525894368</v>
      </c>
      <c r="J32" s="16"/>
      <c r="L32" s="21">
        <f>SUM(L6:L30)</f>
        <v>1.043107133808753</v>
      </c>
      <c r="M32" s="22"/>
      <c r="N32" s="55"/>
      <c r="O32" s="2"/>
      <c r="P32" s="21"/>
      <c r="Q32" s="231" t="s">
        <v>123</v>
      </c>
      <c r="R32" s="231">
        <f t="shared" si="24"/>
        <v>0</v>
      </c>
      <c r="S32" s="231">
        <f t="shared" si="24"/>
        <v>0</v>
      </c>
      <c r="T32" s="231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-1.3062671192333645E-2</v>
      </c>
      <c r="K33" s="14"/>
      <c r="L33" s="11"/>
      <c r="M33" s="29"/>
      <c r="N33" s="167" t="s">
        <v>75</v>
      </c>
      <c r="O33" s="2"/>
      <c r="P33" s="2"/>
      <c r="Q33" s="235"/>
      <c r="R33" s="231"/>
      <c r="S33" s="231"/>
      <c r="T33" s="231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135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39"/>
      <c r="S36" s="239"/>
      <c r="T36" s="248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67">
        <v>7</v>
      </c>
      <c r="O37" s="2"/>
      <c r="P37" s="2"/>
      <c r="Q37" s="58" t="s">
        <v>59</v>
      </c>
      <c r="R37" s="219">
        <f>IF($B$81=0,0,(SUMIF($N$6:$N$28,$U7,K$6:K$28)*$B$83+SUMIF($N$37:$N$64,$U7,B$37:B$64))*'Q2'!$B$81/$B$81)</f>
        <v>0</v>
      </c>
      <c r="S37" s="219">
        <f>IF($B$81=0,0,(SUMIF($N$6:$N$28,$U7,L$6:L$28)+SUMIF($N$91:$N$118,$U7,L$91:L$118))*$I$83*'Q2'!$B$81/$B$81)</f>
        <v>0</v>
      </c>
      <c r="T37" s="219">
        <f>IF($B$81=0,0,(SUMIF($N$6:$N$28,$U7,M$6:M$28)+SUMIF($N$91:$N$118,$U7,M$91:M$118))*$I$83*'Q2'!$B$81/$B$81)</f>
        <v>0</v>
      </c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67">
        <v>7</v>
      </c>
      <c r="O38" s="2"/>
      <c r="P38" s="2"/>
      <c r="Q38" s="58" t="s">
        <v>60</v>
      </c>
      <c r="R38" s="219">
        <f>IF($B$81=0,0,(SUMIF($N$6:$N$28,$U8,K$6:K$28)*$B$83+SUMIF($N$37:$N$64,$U8,B$37:B$64))*'Q2'!$B$81/$B$81)</f>
        <v>0</v>
      </c>
      <c r="S38" s="219">
        <f>IF($B$81=0,0,(SUMIF($N$6:$N$28,$U8,L$6:L$28)+SUMIF($N$91:$N$118,$U8,L$91:L$118))*$I$83*'Q2'!$B$81/$B$81)</f>
        <v>0</v>
      </c>
      <c r="T38" s="219">
        <f>IF($B$81=0,0,(SUMIF($N$6:$N$28,$U8,M$6:M$28)+SUMIF($N$91:$N$118,$U8,M$91:M$118))*$I$83*'Q2'!$B$81/$B$81)</f>
        <v>0</v>
      </c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67">
        <v>8</v>
      </c>
      <c r="O39" s="2"/>
      <c r="P39" s="2"/>
      <c r="Q39" s="58" t="s">
        <v>61</v>
      </c>
      <c r="R39" s="219">
        <f>IF($B$81=0,0,(SUMIF($N$6:$N$28,$U9,K$6:K$28)*$B$83+SUMIF($N$37:$N$64,$U9,B$37:B$64))*'Q2'!$B$81/$B$81)</f>
        <v>0</v>
      </c>
      <c r="S39" s="219">
        <f>IF($B$81=0,0,(SUMIF($N$6:$N$28,$U9,L$6:L$28)+SUMIF($N$91:$N$118,$U9,L$91:L$118))*$I$83*'Q2'!$B$81/$B$81)</f>
        <v>0</v>
      </c>
      <c r="T39" s="219">
        <f>IF($B$81=0,0,(SUMIF($N$6:$N$28,$U9,M$6:M$28)+SUMIF($N$91:$N$118,$U9,M$91:M$118))*$I$83*'Q2'!$B$81/$B$81)</f>
        <v>0</v>
      </c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67">
        <v>8</v>
      </c>
      <c r="O40" s="2"/>
      <c r="P40" s="2"/>
      <c r="Q40" s="58" t="s">
        <v>62</v>
      </c>
      <c r="R40" s="219">
        <f>IF($B$81=0,0,(SUMIF($N$6:$N$28,$U10,K$6:K$28)*$B$83+SUMIF($N$37:$N$64,$U10,B$37:B$64))*'Q2'!$B$81/$B$81)</f>
        <v>0</v>
      </c>
      <c r="S40" s="219">
        <f>IF($B$81=0,0,(SUMIF($N$6:$N$28,$U10,L$6:L$28)+SUMIF($N$91:$N$118,$U10,L$91:L$118))*$I$83*'Q2'!$B$81/$B$81)</f>
        <v>0</v>
      </c>
      <c r="T40" s="219">
        <f>IF($B$81=0,0,(SUMIF($N$6:$N$28,$U10,M$6:M$28)+SUMIF($N$91:$N$118,$U10,M$91:M$118))*$I$83*'Q2'!$B$81/$B$81)</f>
        <v>0</v>
      </c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9479.1704745976112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0.15452481863911077</v>
      </c>
      <c r="N41" s="267">
        <v>10</v>
      </c>
      <c r="O41" s="2"/>
      <c r="P41" s="2"/>
      <c r="Q41" s="58" t="s">
        <v>63</v>
      </c>
      <c r="R41" s="219">
        <f>IF($B$81=0,0,(SUMIF($N$6:$N$28,$U11,K$6:K$28)*$B$83+SUMIF($N$37:$N$64,$U11,B$37:B$64))*'Q2'!$B$81/$B$81)</f>
        <v>0</v>
      </c>
      <c r="S41" s="219">
        <f>IF($B$81=0,0,(SUMIF($N$6:$N$28,$U11,L$6:L$28)+SUMIF($N$91:$N$118,$U11,L$91:L$118))*$I$83*'Q2'!$B$81/$B$81)</f>
        <v>0</v>
      </c>
      <c r="T41" s="219">
        <f>IF($B$81=0,0,(SUMIF($N$6:$N$28,$U11,M$6:M$28)+SUMIF($N$91:$N$118,$U11,M$91:M$118))*$I$83*'Q2'!$B$81/$B$81)</f>
        <v>0</v>
      </c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9479.1704745976112</v>
      </c>
      <c r="AH41" s="122">
        <f t="shared" si="35"/>
        <v>1</v>
      </c>
      <c r="AI41" s="111">
        <f t="shared" si="35"/>
        <v>9479.1704745976112</v>
      </c>
      <c r="AJ41" s="147">
        <f t="shared" si="36"/>
        <v>0</v>
      </c>
      <c r="AK41" s="146">
        <f t="shared" si="37"/>
        <v>9479.1704745976112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67">
        <v>11</v>
      </c>
      <c r="O42" s="2"/>
      <c r="P42" s="2"/>
      <c r="Q42" s="125" t="s">
        <v>104</v>
      </c>
      <c r="R42" s="219">
        <f>IF($B$81=0,0,(SUMIF($N$6:$N$28,$U12,K$6:K$28)*$B$83+SUMIF($N$37:$N$64,$U12,B$37:B$64))*'Q2'!$B$81/$B$81)</f>
        <v>0</v>
      </c>
      <c r="S42" s="219">
        <f>IF($B$81=0,0,(SUMIF($N$6:$N$28,$U12,L$6:L$28)+SUMIF($N$91:$N$118,$U12,L$91:L$118))*$I$83*'Q2'!$B$81/$B$81)</f>
        <v>0</v>
      </c>
      <c r="T42" s="219">
        <f>IF($B$81=0,0,(SUMIF($N$6:$N$28,$U12,M$6:M$28)+SUMIF($N$91:$N$118,$U12,M$91:M$118))*$I$83*'Q2'!$B$81/$B$81)</f>
        <v>0</v>
      </c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1</v>
      </c>
      <c r="F43" s="74">
        <f>'Q3'!F43</f>
        <v>1.18</v>
      </c>
      <c r="G43" s="21">
        <f t="shared" si="32"/>
        <v>1.65</v>
      </c>
      <c r="H43" s="23">
        <f t="shared" si="26"/>
        <v>1.18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67">
        <v>14</v>
      </c>
      <c r="O43" s="2"/>
      <c r="P43" s="2"/>
      <c r="Q43" s="58" t="s">
        <v>64</v>
      </c>
      <c r="R43" s="219">
        <f>IF($B$81=0,0,(SUMIF($N$6:$N$28,$U13,K$6:K$28)*$B$83+SUMIF($N$37:$N$64,$U13,B$37:B$64))*'Q2'!$B$81/$B$81)</f>
        <v>19800</v>
      </c>
      <c r="S43" s="219">
        <f>IF($B$81=0,0,(SUMIF($N$6:$N$28,$U13,L$6:L$28)+SUMIF($N$91:$N$118,$U13,L$91:L$118))*$I$83*'Q2'!$B$81/$B$81)</f>
        <v>12697.8</v>
      </c>
      <c r="T43" s="219">
        <f>IF($B$81=0,0,(SUMIF($N$6:$N$28,$U13,M$6:M$28)+SUMIF($N$91:$N$118,$U13,M$91:M$118))*$I$83*'Q2'!$B$81/$B$81)</f>
        <v>12697.8</v>
      </c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</v>
      </c>
      <c r="G44" s="21">
        <f t="shared" si="32"/>
        <v>1.65</v>
      </c>
      <c r="H44" s="23">
        <f t="shared" si="26"/>
        <v>1</v>
      </c>
      <c r="I44" s="38">
        <f t="shared" si="27"/>
        <v>3840</v>
      </c>
      <c r="J44" s="37">
        <f t="shared" si="33"/>
        <v>3839.9999999999995</v>
      </c>
      <c r="K44" s="39">
        <f t="shared" si="28"/>
        <v>6.2597809076682318E-2</v>
      </c>
      <c r="L44" s="21">
        <f t="shared" si="29"/>
        <v>6.2597809076682318E-2</v>
      </c>
      <c r="M44" s="23">
        <f t="shared" si="30"/>
        <v>6.2597809076682304E-2</v>
      </c>
      <c r="N44" s="267">
        <v>7</v>
      </c>
      <c r="O44" s="2"/>
      <c r="P44" s="2"/>
      <c r="Q44" s="125" t="s">
        <v>65</v>
      </c>
      <c r="R44" s="219">
        <f>IF($B$81=0,0,(SUMIF($N$6:$N$28,$U14,K$6:K$28)*$B$83+SUMIF($N$37:$N$64,$U14,B$37:B$64))*'Q2'!$B$81/$B$81)</f>
        <v>23100</v>
      </c>
      <c r="S44" s="219">
        <f>IF($B$81=0,0,(SUMIF($N$6:$N$28,$U14,L$6:L$28)+SUMIF($N$91:$N$118,$U14,L$91:L$118))*$I$83*'Q2'!$B$81/$B$81)</f>
        <v>25055.999999999993</v>
      </c>
      <c r="T44" s="219">
        <f>IF($B$81=0,0,(SUMIF($N$6:$N$28,$U14,M$6:M$28)+SUMIF($N$91:$N$118,$U14,M$91:M$118))*$I$83*'Q2'!$B$81/$B$81)</f>
        <v>25055.999999999993</v>
      </c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959.99999999999989</v>
      </c>
      <c r="AB44" s="155">
        <f>'Q2'!AB44</f>
        <v>0.25</v>
      </c>
      <c r="AC44" s="146">
        <f t="shared" si="39"/>
        <v>959.99999999999989</v>
      </c>
      <c r="AD44" s="155">
        <f>'Q2'!AD44</f>
        <v>0.25</v>
      </c>
      <c r="AE44" s="146">
        <f t="shared" si="40"/>
        <v>959.99999999999989</v>
      </c>
      <c r="AF44" s="121">
        <f t="shared" si="31"/>
        <v>0.25</v>
      </c>
      <c r="AG44" s="146">
        <f t="shared" si="34"/>
        <v>959.99999999999989</v>
      </c>
      <c r="AH44" s="122">
        <f t="shared" si="35"/>
        <v>1</v>
      </c>
      <c r="AI44" s="111">
        <f t="shared" si="35"/>
        <v>3839.9999999999995</v>
      </c>
      <c r="AJ44" s="147">
        <f t="shared" si="36"/>
        <v>1919.9999999999998</v>
      </c>
      <c r="AK44" s="146">
        <f t="shared" si="37"/>
        <v>1919.9999999999998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67">
        <v>15</v>
      </c>
      <c r="O45" s="2"/>
      <c r="P45" s="2"/>
      <c r="Q45" s="58" t="s">
        <v>107</v>
      </c>
      <c r="R45" s="219">
        <f>IF($B$81=0,0,(SUMIF($N$6:$N$28,$U15,K$6:K$28)*$B$83+SUMIF($N$37:$N$64,$U15,B$37:B$64))*'Q2'!$B$81/$B$81)</f>
        <v>0</v>
      </c>
      <c r="S45" s="219">
        <f>IF($B$81=0,0,(SUMIF($N$6:$N$28,$U15,L$6:L$28)+SUMIF($N$91:$N$118,$U15,L$91:L$118))*$I$83*'Q2'!$B$81/$B$81)</f>
        <v>0</v>
      </c>
      <c r="T45" s="219">
        <f>IF($B$81=0,0,(SUMIF($N$6:$N$28,$U15,M$6:M$28)+SUMIF($N$91:$N$118,$U15,M$91:M$118))*$I$83*'Q2'!$B$81/$B$81)</f>
        <v>0</v>
      </c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67">
        <v>15</v>
      </c>
      <c r="O46" s="2"/>
      <c r="P46" s="2"/>
      <c r="Q46" s="125" t="s">
        <v>66</v>
      </c>
      <c r="R46" s="219">
        <f>IF($B$81=0,0,(SUMIF($N$6:$N$28,$U16,K$6:K$28)*$B$83+SUMIF($N$37:$N$64,$U16,B$37:B$64))*'Q2'!$B$81/$B$81)</f>
        <v>9504</v>
      </c>
      <c r="S46" s="219">
        <f>IF($B$81=0,0,(SUMIF($N$6:$N$28,$U16,L$6:L$28)+SUMIF($N$91:$N$118,$U16,L$91:L$118))*$I$83*'Q2'!$B$81/$B$81)</f>
        <v>9504</v>
      </c>
      <c r="T46" s="219">
        <f>IF($B$81=0,0,(SUMIF($N$6:$N$28,$U16,M$6:M$28)+SUMIF($N$91:$N$118,$U16,M$91:M$118))*$I$83*'Q2'!$B$81/$B$81)</f>
        <v>9479.1704745976112</v>
      </c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Q47" s="125" t="s">
        <v>105</v>
      </c>
      <c r="R47" s="219">
        <f>IF($B$81=0,0,(SUMIF($N$6:$N$28,$U17,K$6:K$28)*$B$83+SUMIF($N$37:$N$64,$U17,B$37:B$64))*'Q2'!$B$81/$B$81)</f>
        <v>5940</v>
      </c>
      <c r="S47" s="219">
        <f>IF($B$81=0,0,(SUMIF($N$6:$N$28,$U17,L$6:L$28)+SUMIF($N$91:$N$118,$U17,L$91:L$118))*$I$83*'Q2'!$B$81/$B$81)</f>
        <v>6890.3999999999987</v>
      </c>
      <c r="T47" s="219">
        <f>IF($B$81=0,0,(SUMIF($N$6:$N$28,$U17,M$6:M$28)+SUMIF($N$91:$N$118,$U17,M$91:M$118))*$I$83*'Q2'!$B$81/$B$81)</f>
        <v>6890.3999999999987</v>
      </c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58" t="s">
        <v>67</v>
      </c>
      <c r="R48" s="219">
        <f>IF($B$81=0,0,(SUMIF($N$6:$N$28,$U18,K$6:K$28)*$B$83+SUMIF($N$37:$N$64,$U18,B$37:B$64))*'Q2'!$B$81/$B$81)</f>
        <v>812.08333737703913</v>
      </c>
      <c r="S48" s="219">
        <f>IF($B$81=0,0,(SUMIF($N$6:$N$28,$U18,L$6:L$28)+SUMIF($N$91:$N$118,$U18,L$91:L$118))*$I$83*'Q2'!$B$81/$B$81)</f>
        <v>1339.9375066721143</v>
      </c>
      <c r="T48" s="219">
        <f>IF($B$81=0,0,(SUMIF($N$6:$N$28,$U18,M$6:M$28)+SUMIF($N$91:$N$118,$U18,M$91:M$118))*$I$83*'Q2'!$B$81/$B$81)</f>
        <v>1339.9375066721143</v>
      </c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Q49" s="58" t="s">
        <v>68</v>
      </c>
      <c r="R49" s="219">
        <f>IF($B$81=0,0,(SUMIF($N$6:$N$28,$U19,K$6:K$28)*$B$83+SUMIF($N$37:$N$64,$U19,B$37:B$64))*'Q2'!$B$81/$B$81)</f>
        <v>0</v>
      </c>
      <c r="S49" s="219">
        <f>IF($B$81=0,0,(SUMIF($N$6:$N$28,$U19,L$6:L$28)+SUMIF($N$91:$N$118,$U19,L$91:L$118))*$I$83*'Q2'!$B$81/$B$81)</f>
        <v>0</v>
      </c>
      <c r="T49" s="219">
        <f>IF($B$81=0,0,(SUMIF($N$6:$N$28,$U19,M$6:M$28)+SUMIF($N$91:$N$118,$U19,M$91:M$118))*$I$83*'Q2'!$B$81/$B$81)</f>
        <v>0</v>
      </c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Q50" s="58" t="s">
        <v>69</v>
      </c>
      <c r="R50" s="219">
        <f>IF($B$81=0,0,(SUMIF($N$6:$N$28,$U20,K$6:K$28)*$B$83+SUMIF($N$37:$N$64,$U20,B$37:B$64))*'Q2'!$B$81/$B$81)</f>
        <v>0</v>
      </c>
      <c r="S50" s="219">
        <f>IF($B$81=0,0,(SUMIF($N$6:$N$28,$U20,L$6:L$28)+SUMIF($N$91:$N$118,$U20,L$91:L$118))*$I$83*'Q2'!$B$81/$B$81)</f>
        <v>0</v>
      </c>
      <c r="T50" s="219">
        <f>IF($B$81=0,0,(SUMIF($N$6:$N$28,$U20,M$6:M$28)+SUMIF($N$91:$N$118,$U20,M$91:M$118))*$I$83*'Q2'!$B$81/$B$81)</f>
        <v>0</v>
      </c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Q51" s="58" t="s">
        <v>70</v>
      </c>
      <c r="R51" s="219">
        <f>IF($B$81=0,0,(SUMIF($N$6:$N$28,$U21,K$6:K$28)*$B$83+SUMIF($N$37:$N$64,$U21,B$37:B$64))*'Q2'!$B$81/$B$81)</f>
        <v>3000</v>
      </c>
      <c r="S51" s="219">
        <f>IF($B$81=0,0,(SUMIF($N$6:$N$28,$U21,L$6:L$28)+SUMIF($N$91:$N$118,$U21,L$91:L$118))*$I$83*'Q2'!$B$81/$B$81)</f>
        <v>2999.9999999999995</v>
      </c>
      <c r="T51" s="219">
        <f>IF($B$81=0,0,(SUMIF($N$6:$N$28,$U21,M$6:M$28)+SUMIF($N$91:$N$118,$U21,M$91:M$118))*$I$83*'Q2'!$B$81/$B$81)</f>
        <v>2999.9999999999995</v>
      </c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58" t="s">
        <v>71</v>
      </c>
      <c r="R52" s="219">
        <f>IF($B$81=0,0,(SUMIF($N$6:$N$28,$U22,K$6:K$28)*$B$83+SUMIF($N$37:$N$64,$U22,B$37:B$64))*'Q2'!$B$81/$B$81)</f>
        <v>0</v>
      </c>
      <c r="S52" s="219">
        <f>IF($B$81=0,0,(SUMIF($N$6:$N$28,$U22,L$6:L$28)+SUMIF($N$91:$N$118,$U22,L$91:L$118))*$I$83*'Q2'!$B$81/$B$81)</f>
        <v>0</v>
      </c>
      <c r="T52" s="219">
        <f>IF($B$81=0,0,(SUMIF($N$6:$N$28,$U22,M$6:M$28)+SUMIF($N$91:$N$118,$U22,M$91:M$118))*$I$83*'Q2'!$B$81/$B$81)</f>
        <v>0</v>
      </c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 thickBo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169" t="s">
        <v>80</v>
      </c>
      <c r="R53" s="177">
        <f>SUM(R37:R52)</f>
        <v>62156.083337377037</v>
      </c>
      <c r="S53" s="177">
        <f>SUM(S37:S52)</f>
        <v>58488.137506672101</v>
      </c>
      <c r="T53" s="177">
        <f>SUM(T37:T52)</f>
        <v>58463.307981269711</v>
      </c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 thickTop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58" t="s">
        <v>117</v>
      </c>
      <c r="R54" s="40">
        <f>IF($B$81=0,0,(SUM(($B$70))+((1-$D$29)*$B$83))*'Q2'!$B$81/$B$81)</f>
        <v>12770.884804109372</v>
      </c>
      <c r="S54" s="40">
        <f>IF($B$81=0,0,(SUM(($B$70*$H$70))+((1-$D$29)*$I$83))*'Q2'!$B$81/$B$81)</f>
        <v>19201.523793976001</v>
      </c>
      <c r="T54" s="40">
        <f>IF($B$81=0,0,(SUM(($B$70*$H$70))+((1-$D$29)*$I$83))*'Q2'!$B$81/$B$81)</f>
        <v>19201.523793976001</v>
      </c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141" t="s">
        <v>118</v>
      </c>
      <c r="R55" s="40">
        <f>IF($B$81=0,0,(SUM(($B$70),($B$71*$H$71))+((1-$D$29)*$B$83))*'Q2'!$B$81/$B$81)</f>
        <v>21962.298137442707</v>
      </c>
      <c r="S55" s="40">
        <f>IF($B$81=0,0,(SUM(($B$70*$H$70),($B$71*$H$71))+((1-$D$29)*$I$83))*'Q2'!$B$81/$B$81)</f>
        <v>28392.937127309335</v>
      </c>
      <c r="T55" s="40">
        <f>IF($B$81=0,0,(SUM(($B$70*$H$70),($B$71*$H$71))+((1-$D$29)*$I$83))*'Q2'!$B$81/$B$81)</f>
        <v>28392.937127309335</v>
      </c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58" t="s">
        <v>119</v>
      </c>
      <c r="R56" s="40">
        <f>IF($B$81=0,0,(SUM(($B$70),($B$71*$H$71),($B$72*$H$72))+((1-$D$29)*$B$83))*'Q2'!$B$81/$B$81)</f>
        <v>38331.258137442703</v>
      </c>
      <c r="S56" s="40">
        <f>IF($B$81=0,0,(SUM(($B$70*$H$70),($B$71*$H$71),($B$72*$H$72))+((1-$D$29)*$I$83))*'Q2'!$B$81/$B$81)</f>
        <v>44761.897127309334</v>
      </c>
      <c r="T56" s="40">
        <f>IF($B$81=0,0,(SUM(($B$70*$H$70),($B$71*$H$71),($B$72*$H$72))+((1-$D$29)*$I$83))*'Q2'!$B$81/$B$81)</f>
        <v>44761.897127309334</v>
      </c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59049.000000000007</v>
      </c>
      <c r="J65" s="38">
        <f>SUM(J37:J64)</f>
        <v>57123.370474597607</v>
      </c>
      <c r="K65" s="39">
        <f>SUM(K37:K64)</f>
        <v>1.0000000000000002</v>
      </c>
      <c r="L65" s="21">
        <f>SUM(L37:L64)</f>
        <v>0.93160211267605642</v>
      </c>
      <c r="M65" s="23">
        <f>SUM(M37:M64)</f>
        <v>0.9311973538503785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136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48574.557656295015</v>
      </c>
      <c r="J74" s="50">
        <f>J128*I$83</f>
        <v>3135.8807334880244</v>
      </c>
      <c r="K74" s="39">
        <f>B74/B$76</f>
        <v>6.915156967285789E-2</v>
      </c>
      <c r="L74" s="21">
        <f>(L128*G$37*F$9/F$7)/B$130</f>
        <v>5.9922548292357013E-2</v>
      </c>
      <c r="M74" s="23">
        <f>J74/B$76</f>
        <v>5.1119599854721316E-2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14393.794064071264</v>
      </c>
      <c r="K75" s="39">
        <f>B75/B$76</f>
        <v>0.40660681151273192</v>
      </c>
      <c r="L75" s="21">
        <f>(L129*G$37*F$9/F$7)/B$130</f>
        <v>0.22624242828174443</v>
      </c>
      <c r="M75" s="23">
        <f>J75/B$76</f>
        <v>0.23464061789370214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59048.999999999993</v>
      </c>
      <c r="J76" s="50">
        <f>J130*I$83</f>
        <v>57123.370474597607</v>
      </c>
      <c r="K76" s="39">
        <f>SUM(K70:K75)</f>
        <v>0.64688749782646493</v>
      </c>
      <c r="L76" s="21">
        <f>SUM(L70:L75)</f>
        <v>0.51492936011128476</v>
      </c>
      <c r="M76" s="23">
        <f>SUM(M70:M75)</f>
        <v>0.51452460128560684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7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1">
        <f>B70+((1-D29)*B83)</f>
        <v>12770.884804109372</v>
      </c>
      <c r="C84" s="45"/>
      <c r="D84" s="232"/>
      <c r="E84" s="63"/>
      <c r="F84" s="63"/>
      <c r="G84" s="63"/>
      <c r="H84" s="233">
        <f>IF(B84=0,0,I84/B84)</f>
        <v>1.5035390333955092</v>
      </c>
      <c r="I84" s="231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4">
        <f t="shared" si="50"/>
        <v>0.4437840228979929</v>
      </c>
      <c r="N91" s="226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4">
        <f t="shared" ref="M92:M118" si="63">(J92)</f>
        <v>0.34319297770778118</v>
      </c>
      <c r="N92" s="226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4">
        <f t="shared" si="63"/>
        <v>0.61836572559960556</v>
      </c>
      <c r="N93" s="226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4">
        <f t="shared" si="63"/>
        <v>1.6077508865589747</v>
      </c>
      <c r="N94" s="226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0.8421830644550159</v>
      </c>
      <c r="K95" s="21">
        <f t="shared" si="61"/>
        <v>1.393241948644077</v>
      </c>
      <c r="L95" s="21">
        <f t="shared" si="62"/>
        <v>0.84438905978428913</v>
      </c>
      <c r="M95" s="224">
        <f t="shared" si="63"/>
        <v>0.8421830644550159</v>
      </c>
      <c r="N95" s="226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4">
        <f t="shared" si="63"/>
        <v>0.61218206834360955</v>
      </c>
      <c r="N96" s="226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0.7151515151515152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4">
        <f t="shared" si="63"/>
        <v>0</v>
      </c>
      <c r="N97" s="226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0.60606060606060608</v>
      </c>
      <c r="I98" s="21">
        <f t="shared" si="59"/>
        <v>0.34116729688254105</v>
      </c>
      <c r="J98" s="23">
        <f t="shared" si="60"/>
        <v>0.34116729688254105</v>
      </c>
      <c r="K98" s="21">
        <f t="shared" si="61"/>
        <v>0.56292603985619272</v>
      </c>
      <c r="L98" s="21">
        <f t="shared" si="62"/>
        <v>0.34116729688254105</v>
      </c>
      <c r="M98" s="224">
        <f t="shared" si="63"/>
        <v>0.34116729688254105</v>
      </c>
      <c r="N98" s="226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4">
        <f t="shared" si="63"/>
        <v>0.26653695068948519</v>
      </c>
      <c r="N99" s="226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4">
        <f t="shared" si="63"/>
        <v>0</v>
      </c>
      <c r="N100" s="226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4">
        <f t="shared" si="63"/>
        <v>0</v>
      </c>
      <c r="N101" s="22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4">
        <f t="shared" si="63"/>
        <v>0</v>
      </c>
      <c r="N102" s="22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4">
        <f t="shared" si="63"/>
        <v>0</v>
      </c>
      <c r="N103" s="22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4">
        <f t="shared" si="63"/>
        <v>0</v>
      </c>
      <c r="N104" s="22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4">
        <f t="shared" si="63"/>
        <v>0</v>
      </c>
      <c r="N105" s="22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4">
        <f t="shared" si="63"/>
        <v>0</v>
      </c>
      <c r="N106" s="22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4">
        <f t="shared" si="63"/>
        <v>0</v>
      </c>
      <c r="N107" s="22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4">
        <f t="shared" si="63"/>
        <v>0</v>
      </c>
      <c r="N108" s="22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4">
        <f t="shared" si="63"/>
        <v>0</v>
      </c>
      <c r="N109" s="22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4">
        <f t="shared" si="63"/>
        <v>0</v>
      </c>
      <c r="N110" s="22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4">
        <f t="shared" si="63"/>
        <v>0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4">
        <f t="shared" si="63"/>
        <v>0</v>
      </c>
      <c r="N112" s="22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4">
        <f t="shared" si="63"/>
        <v>0</v>
      </c>
      <c r="N113" s="22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4">
        <f t="shared" si="63"/>
        <v>0</v>
      </c>
      <c r="N114" s="22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4">
        <f t="shared" si="63"/>
        <v>0</v>
      </c>
      <c r="N115" s="22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4">
        <f t="shared" si="63"/>
        <v>0</v>
      </c>
      <c r="N116" s="22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4">
        <f t="shared" si="63"/>
        <v>0</v>
      </c>
      <c r="N117" s="22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4">
        <f t="shared" si="63"/>
        <v>0</v>
      </c>
      <c r="N118" s="22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5.2462468004211367</v>
      </c>
      <c r="J119" s="23">
        <f>SUM(J91:J118)</f>
        <v>5.075162993135006</v>
      </c>
      <c r="K119" s="21">
        <f>SUM(K91:K118)</f>
        <v>8.992743486702679</v>
      </c>
      <c r="L119" s="21">
        <f>SUM(L91:L118)</f>
        <v>5.0773689884642792</v>
      </c>
      <c r="M119" s="56">
        <f t="shared" si="50"/>
        <v>5.075162993135006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4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4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4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4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4.3156381595998203</v>
      </c>
      <c r="J128" s="225">
        <f>(J30)</f>
        <v>0.27860936280993476</v>
      </c>
      <c r="K128" s="21">
        <f>(B128)</f>
        <v>0.62186232777085926</v>
      </c>
      <c r="L128" s="21">
        <f>IF(L124=L119,0,(L119-L124)/(B119-B124)*K128)</f>
        <v>0.32658673082589107</v>
      </c>
      <c r="M128" s="56">
        <f t="shared" si="90"/>
        <v>0.27860936280993476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5">
        <f>IF(SUM(J124:J128)&gt;J130,0,J130-SUM(J124:J128))</f>
        <v>1.2788259928966559</v>
      </c>
      <c r="K129" s="28">
        <f>(B129)</f>
        <v>3.6565107558800642</v>
      </c>
      <c r="L129" s="59">
        <f>IF(SUM(L124:L128)&gt;L130,0,L130-SUM(L124:L128))</f>
        <v>1.2330546202099728</v>
      </c>
      <c r="M129" s="56">
        <f t="shared" si="90"/>
        <v>1.2788259928966559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5.2462468004211367</v>
      </c>
      <c r="J130" s="225">
        <f>(J119)</f>
        <v>5.075162993135006</v>
      </c>
      <c r="K130" s="21">
        <f>(B130)</f>
        <v>8.992743486702679</v>
      </c>
      <c r="L130" s="21">
        <f>(L119)</f>
        <v>5.0773689884642792</v>
      </c>
      <c r="M130" s="56">
        <f t="shared" si="90"/>
        <v>5.075162993135006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4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4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132" operator="equal">
      <formula>16</formula>
    </cfRule>
    <cfRule type="cellIs" dxfId="145" priority="133" operator="equal">
      <formula>15</formula>
    </cfRule>
    <cfRule type="cellIs" dxfId="144" priority="134" operator="equal">
      <formula>14</formula>
    </cfRule>
    <cfRule type="cellIs" dxfId="143" priority="135" operator="equal">
      <formula>13</formula>
    </cfRule>
    <cfRule type="cellIs" dxfId="142" priority="136" operator="equal">
      <formula>12</formula>
    </cfRule>
    <cfRule type="cellIs" dxfId="141" priority="137" operator="equal">
      <formula>11</formula>
    </cfRule>
    <cfRule type="cellIs" dxfId="140" priority="138" operator="equal">
      <formula>10</formula>
    </cfRule>
    <cfRule type="cellIs" dxfId="139" priority="139" operator="equal">
      <formula>9</formula>
    </cfRule>
    <cfRule type="cellIs" dxfId="138" priority="140" operator="equal">
      <formula>8</formula>
    </cfRule>
    <cfRule type="cellIs" dxfId="137" priority="141" operator="equal">
      <formula>7</formula>
    </cfRule>
    <cfRule type="cellIs" dxfId="136" priority="142" operator="equal">
      <formula>6</formula>
    </cfRule>
    <cfRule type="cellIs" dxfId="135" priority="143" operator="equal">
      <formula>5</formula>
    </cfRule>
    <cfRule type="cellIs" dxfId="134" priority="144" operator="equal">
      <formula>4</formula>
    </cfRule>
    <cfRule type="cellIs" dxfId="133" priority="145" operator="equal">
      <formula>3</formula>
    </cfRule>
    <cfRule type="cellIs" dxfId="132" priority="146" operator="equal">
      <formula>2</formula>
    </cfRule>
    <cfRule type="cellIs" dxfId="131" priority="147" operator="equal">
      <formula>1</formula>
    </cfRule>
  </conditionalFormatting>
  <conditionalFormatting sqref="N29">
    <cfRule type="cellIs" dxfId="130" priority="116" operator="equal">
      <formula>16</formula>
    </cfRule>
    <cfRule type="cellIs" dxfId="129" priority="117" operator="equal">
      <formula>15</formula>
    </cfRule>
    <cfRule type="cellIs" dxfId="128" priority="118" operator="equal">
      <formula>14</formula>
    </cfRule>
    <cfRule type="cellIs" dxfId="127" priority="119" operator="equal">
      <formula>13</formula>
    </cfRule>
    <cfRule type="cellIs" dxfId="126" priority="120" operator="equal">
      <formula>12</formula>
    </cfRule>
    <cfRule type="cellIs" dxfId="125" priority="121" operator="equal">
      <formula>11</formula>
    </cfRule>
    <cfRule type="cellIs" dxfId="124" priority="122" operator="equal">
      <formula>10</formula>
    </cfRule>
    <cfRule type="cellIs" dxfId="123" priority="123" operator="equal">
      <formula>9</formula>
    </cfRule>
    <cfRule type="cellIs" dxfId="122" priority="124" operator="equal">
      <formula>8</formula>
    </cfRule>
    <cfRule type="cellIs" dxfId="121" priority="125" operator="equal">
      <formula>7</formula>
    </cfRule>
    <cfRule type="cellIs" dxfId="120" priority="126" operator="equal">
      <formula>6</formula>
    </cfRule>
    <cfRule type="cellIs" dxfId="119" priority="127" operator="equal">
      <formula>5</formula>
    </cfRule>
    <cfRule type="cellIs" dxfId="118" priority="128" operator="equal">
      <formula>4</formula>
    </cfRule>
    <cfRule type="cellIs" dxfId="117" priority="129" operator="equal">
      <formula>3</formula>
    </cfRule>
    <cfRule type="cellIs" dxfId="116" priority="130" operator="equal">
      <formula>2</formula>
    </cfRule>
    <cfRule type="cellIs" dxfId="115" priority="131" operator="equal">
      <formula>1</formula>
    </cfRule>
  </conditionalFormatting>
  <conditionalFormatting sqref="N113:N118">
    <cfRule type="cellIs" dxfId="114" priority="68" operator="equal">
      <formula>16</formula>
    </cfRule>
    <cfRule type="cellIs" dxfId="113" priority="69" operator="equal">
      <formula>15</formula>
    </cfRule>
    <cfRule type="cellIs" dxfId="112" priority="70" operator="equal">
      <formula>14</formula>
    </cfRule>
    <cfRule type="cellIs" dxfId="111" priority="71" operator="equal">
      <formula>13</formula>
    </cfRule>
    <cfRule type="cellIs" dxfId="110" priority="72" operator="equal">
      <formula>12</formula>
    </cfRule>
    <cfRule type="cellIs" dxfId="109" priority="73" operator="equal">
      <formula>11</formula>
    </cfRule>
    <cfRule type="cellIs" dxfId="108" priority="74" operator="equal">
      <formula>10</formula>
    </cfRule>
    <cfRule type="cellIs" dxfId="107" priority="75" operator="equal">
      <formula>9</formula>
    </cfRule>
    <cfRule type="cellIs" dxfId="106" priority="76" operator="equal">
      <formula>8</formula>
    </cfRule>
    <cfRule type="cellIs" dxfId="105" priority="77" operator="equal">
      <formula>7</formula>
    </cfRule>
    <cfRule type="cellIs" dxfId="104" priority="78" operator="equal">
      <formula>6</formula>
    </cfRule>
    <cfRule type="cellIs" dxfId="103" priority="79" operator="equal">
      <formula>5</formula>
    </cfRule>
    <cfRule type="cellIs" dxfId="102" priority="80" operator="equal">
      <formula>4</formula>
    </cfRule>
    <cfRule type="cellIs" dxfId="101" priority="81" operator="equal">
      <formula>3</formula>
    </cfRule>
    <cfRule type="cellIs" dxfId="100" priority="82" operator="equal">
      <formula>2</formula>
    </cfRule>
    <cfRule type="cellIs" dxfId="99" priority="83" operator="equal">
      <formula>1</formula>
    </cfRule>
  </conditionalFormatting>
  <conditionalFormatting sqref="N6:N28">
    <cfRule type="cellIs" dxfId="98" priority="52" operator="equal">
      <formula>16</formula>
    </cfRule>
    <cfRule type="cellIs" dxfId="97" priority="53" operator="equal">
      <formula>15</formula>
    </cfRule>
    <cfRule type="cellIs" dxfId="96" priority="54" operator="equal">
      <formula>14</formula>
    </cfRule>
    <cfRule type="cellIs" dxfId="95" priority="55" operator="equal">
      <formula>13</formula>
    </cfRule>
    <cfRule type="cellIs" dxfId="94" priority="56" operator="equal">
      <formula>12</formula>
    </cfRule>
    <cfRule type="cellIs" dxfId="93" priority="57" operator="equal">
      <formula>11</formula>
    </cfRule>
    <cfRule type="cellIs" dxfId="92" priority="58" operator="equal">
      <formula>10</formula>
    </cfRule>
    <cfRule type="cellIs" dxfId="91" priority="59" operator="equal">
      <formula>9</formula>
    </cfRule>
    <cfRule type="cellIs" dxfId="90" priority="60" operator="equal">
      <formula>8</formula>
    </cfRule>
    <cfRule type="cellIs" dxfId="89" priority="61" operator="equal">
      <formula>7</formula>
    </cfRule>
    <cfRule type="cellIs" dxfId="88" priority="62" operator="equal">
      <formula>6</formula>
    </cfRule>
    <cfRule type="cellIs" dxfId="87" priority="63" operator="equal">
      <formula>5</formula>
    </cfRule>
    <cfRule type="cellIs" dxfId="86" priority="64" operator="equal">
      <formula>4</formula>
    </cfRule>
    <cfRule type="cellIs" dxfId="85" priority="65" operator="equal">
      <formula>3</formula>
    </cfRule>
    <cfRule type="cellIs" dxfId="84" priority="66" operator="equal">
      <formula>2</formula>
    </cfRule>
    <cfRule type="cellIs" dxfId="83" priority="67" operator="equal">
      <formula>1</formula>
    </cfRule>
  </conditionalFormatting>
  <conditionalFormatting sqref="N91:N104">
    <cfRule type="cellIs" dxfId="82" priority="36" operator="equal">
      <formula>16</formula>
    </cfRule>
    <cfRule type="cellIs" dxfId="81" priority="37" operator="equal">
      <formula>15</formula>
    </cfRule>
    <cfRule type="cellIs" dxfId="80" priority="38" operator="equal">
      <formula>14</formula>
    </cfRule>
    <cfRule type="cellIs" dxfId="79" priority="39" operator="equal">
      <formula>13</formula>
    </cfRule>
    <cfRule type="cellIs" dxfId="78" priority="40" operator="equal">
      <formula>12</formula>
    </cfRule>
    <cfRule type="cellIs" dxfId="77" priority="41" operator="equal">
      <formula>11</formula>
    </cfRule>
    <cfRule type="cellIs" dxfId="76" priority="42" operator="equal">
      <formula>10</formula>
    </cfRule>
    <cfRule type="cellIs" dxfId="75" priority="43" operator="equal">
      <formula>9</formula>
    </cfRule>
    <cfRule type="cellIs" dxfId="74" priority="44" operator="equal">
      <formula>8</formula>
    </cfRule>
    <cfRule type="cellIs" dxfId="73" priority="45" operator="equal">
      <formula>7</formula>
    </cfRule>
    <cfRule type="cellIs" dxfId="72" priority="46" operator="equal">
      <formula>6</formula>
    </cfRule>
    <cfRule type="cellIs" dxfId="71" priority="47" operator="equal">
      <formula>5</formula>
    </cfRule>
    <cfRule type="cellIs" dxfId="70" priority="48" operator="equal">
      <formula>4</formula>
    </cfRule>
    <cfRule type="cellIs" dxfId="69" priority="49" operator="equal">
      <formula>3</formula>
    </cfRule>
    <cfRule type="cellIs" dxfId="68" priority="50" operator="equal">
      <formula>2</formula>
    </cfRule>
    <cfRule type="cellIs" dxfId="67" priority="51" operator="equal">
      <formula>1</formula>
    </cfRule>
  </conditionalFormatting>
  <conditionalFormatting sqref="N105:N112">
    <cfRule type="cellIs" dxfId="66" priority="20" operator="equal">
      <formula>16</formula>
    </cfRule>
    <cfRule type="cellIs" dxfId="65" priority="21" operator="equal">
      <formula>15</formula>
    </cfRule>
    <cfRule type="cellIs" dxfId="64" priority="22" operator="equal">
      <formula>14</formula>
    </cfRule>
    <cfRule type="cellIs" dxfId="63" priority="23" operator="equal">
      <formula>13</formula>
    </cfRule>
    <cfRule type="cellIs" dxfId="62" priority="24" operator="equal">
      <formula>12</formula>
    </cfRule>
    <cfRule type="cellIs" dxfId="61" priority="25" operator="equal">
      <formula>11</formula>
    </cfRule>
    <cfRule type="cellIs" dxfId="60" priority="26" operator="equal">
      <formula>10</formula>
    </cfRule>
    <cfRule type="cellIs" dxfId="59" priority="27" operator="equal">
      <formula>9</formula>
    </cfRule>
    <cfRule type="cellIs" dxfId="58" priority="28" operator="equal">
      <formula>8</formula>
    </cfRule>
    <cfRule type="cellIs" dxfId="57" priority="29" operator="equal">
      <formula>7</formula>
    </cfRule>
    <cfRule type="cellIs" dxfId="56" priority="30" operator="equal">
      <formula>6</formula>
    </cfRule>
    <cfRule type="cellIs" dxfId="55" priority="31" operator="equal">
      <formula>5</formula>
    </cfRule>
    <cfRule type="cellIs" dxfId="54" priority="32" operator="equal">
      <formula>4</formula>
    </cfRule>
    <cfRule type="cellIs" dxfId="53" priority="33" operator="equal">
      <formula>3</formula>
    </cfRule>
    <cfRule type="cellIs" dxfId="52" priority="34" operator="equal">
      <formula>2</formula>
    </cfRule>
    <cfRule type="cellIs" dxfId="51" priority="35" operator="equal">
      <formula>1</formula>
    </cfRule>
  </conditionalFormatting>
  <conditionalFormatting sqref="R31:T31">
    <cfRule type="cellIs" dxfId="50" priority="19" operator="greaterThan">
      <formula>0</formula>
    </cfRule>
  </conditionalFormatting>
  <conditionalFormatting sqref="R32:T32">
    <cfRule type="cellIs" dxfId="49" priority="18" operator="greaterThan">
      <formula>0</formula>
    </cfRule>
  </conditionalFormatting>
  <conditionalFormatting sqref="R30:T30">
    <cfRule type="cellIs" dxfId="48" priority="17" operator="greaterThan">
      <formula>0</formula>
    </cfRule>
  </conditionalFormatting>
  <conditionalFormatting sqref="N37:N46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4"/>
      <c r="B2" s="244"/>
      <c r="C2" s="244"/>
      <c r="D2" s="244"/>
      <c r="E2" s="244"/>
      <c r="F2" s="245"/>
      <c r="G2" s="242"/>
      <c r="H2" s="242"/>
      <c r="I2" s="242"/>
      <c r="J2" s="242"/>
      <c r="K2" s="259" t="str">
        <f>'Q2'!A1</f>
        <v>ZA UP: 59899</v>
      </c>
      <c r="L2" s="259"/>
      <c r="M2" s="259"/>
      <c r="N2" s="259"/>
      <c r="O2" s="259"/>
      <c r="P2" s="259"/>
      <c r="Q2" s="259"/>
      <c r="R2" s="244"/>
      <c r="S2" s="244"/>
      <c r="T2" s="244"/>
      <c r="U2" s="244"/>
      <c r="V2" s="244"/>
    </row>
    <row r="3" spans="1:22" s="91" customFormat="1" ht="17">
      <c r="A3" s="89"/>
      <c r="B3" s="260" t="str">
        <f>'Q1'!A3</f>
        <v>Sources of Food : Q1 HHs</v>
      </c>
      <c r="C3" s="261"/>
      <c r="D3" s="261"/>
      <c r="E3" s="261"/>
      <c r="F3" s="241"/>
      <c r="G3" s="258" t="str">
        <f>'Q2'!A3</f>
        <v>Sources of Food : Q2 HHs</v>
      </c>
      <c r="H3" s="258"/>
      <c r="I3" s="258"/>
      <c r="J3" s="258"/>
      <c r="K3" s="242"/>
      <c r="L3" s="258" t="str">
        <f>'Q3'!A3</f>
        <v>Sources of Food : Q3 HHs</v>
      </c>
      <c r="M3" s="258"/>
      <c r="N3" s="258"/>
      <c r="O3" s="258"/>
      <c r="P3" s="258"/>
      <c r="Q3" s="243"/>
      <c r="R3" s="258" t="str">
        <f>'Q4'!A3</f>
        <v>Sources of Food : Q4 HHs</v>
      </c>
      <c r="S3" s="258"/>
      <c r="T3" s="258"/>
      <c r="U3" s="258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94" workbookViewId="0">
      <selection activeCell="A102" sqref="A102:I13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3" t="str">
        <f>'Q2'!A1</f>
        <v>ZA UP: 59899</v>
      </c>
      <c r="L2" s="263"/>
      <c r="M2" s="263"/>
      <c r="N2" s="263"/>
      <c r="O2" s="263"/>
      <c r="P2" s="263"/>
      <c r="Q2" s="263"/>
      <c r="R2" s="86"/>
      <c r="S2" s="86"/>
      <c r="T2" s="86"/>
      <c r="U2" s="86"/>
      <c r="V2" s="86"/>
    </row>
    <row r="3" spans="1:22" s="91" customFormat="1" ht="17">
      <c r="A3" s="89"/>
      <c r="B3" s="88"/>
      <c r="C3" s="264" t="str">
        <f>'Q1'!A34</f>
        <v>Income : Q1 HHs</v>
      </c>
      <c r="D3" s="264"/>
      <c r="E3" s="264"/>
      <c r="F3" s="89"/>
      <c r="G3" s="262" t="str">
        <f>'Q2'!A34</f>
        <v>Income : Q2 HHs</v>
      </c>
      <c r="H3" s="262"/>
      <c r="I3" s="262"/>
      <c r="J3" s="262"/>
      <c r="K3" s="88"/>
      <c r="L3" s="262" t="str">
        <f>'Q3'!A34</f>
        <v>Income : Q3 HHs</v>
      </c>
      <c r="M3" s="262"/>
      <c r="N3" s="262"/>
      <c r="O3" s="262"/>
      <c r="P3" s="262"/>
      <c r="Q3" s="90"/>
      <c r="R3" s="262" t="str">
        <f>'Q4'!A34</f>
        <v>Income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49" t="s">
        <v>140</v>
      </c>
      <c r="C71" s="249" t="s">
        <v>137</v>
      </c>
      <c r="D71" s="249" t="s">
        <v>138</v>
      </c>
      <c r="E71" s="249" t="s">
        <v>139</v>
      </c>
      <c r="F71" s="249" t="s">
        <v>141</v>
      </c>
      <c r="G71" s="249" t="s">
        <v>137</v>
      </c>
      <c r="H71" s="249" t="s">
        <v>138</v>
      </c>
      <c r="I71" s="249" t="s">
        <v>139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2471.4000000000005</v>
      </c>
      <c r="G78" s="108">
        <f>'Q2'!T13</f>
        <v>5963.7000000000007</v>
      </c>
      <c r="H78" s="108">
        <f>'Q3'!T13</f>
        <v>8760.3000000000011</v>
      </c>
      <c r="I78" s="108">
        <f>'Q4'!T13</f>
        <v>12697.8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5771.0637848357219</v>
      </c>
      <c r="H81" s="108">
        <f>'Q3'!T16</f>
        <v>7231.7890804763256</v>
      </c>
      <c r="I81" s="108">
        <f>'Q4'!T16</f>
        <v>9479.1704745976112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12092.64</v>
      </c>
      <c r="G85" s="108">
        <f>'Q2'!T20</f>
        <v>12092.64</v>
      </c>
      <c r="H85" s="108">
        <f>'Q3'!T20</f>
        <v>3596.6400000000003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21453.977506672112</v>
      </c>
      <c r="G88" s="108">
        <f>'Q2'!T23</f>
        <v>30178.541291507834</v>
      </c>
      <c r="H88" s="108">
        <f>'Q3'!T23</f>
        <v>38441.466587148439</v>
      </c>
      <c r="I88" s="108">
        <f>'Q4'!T23</f>
        <v>58463.307981269711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6">
        <f>IF(B89&gt;B$88,B89-B$88,0)</f>
        <v>0</v>
      </c>
      <c r="C98" s="236">
        <f t="shared" ref="C98:I101" si="0">IF(C89&gt;C$88,C89-C$88,0)</f>
        <v>0</v>
      </c>
      <c r="D98" s="236">
        <f t="shared" si="0"/>
        <v>0</v>
      </c>
      <c r="E98" s="236">
        <f t="shared" si="0"/>
        <v>0</v>
      </c>
      <c r="F98" s="236">
        <f t="shared" si="0"/>
        <v>0</v>
      </c>
      <c r="G98" s="236">
        <f t="shared" si="0"/>
        <v>0</v>
      </c>
      <c r="H98" s="236">
        <f t="shared" si="0"/>
        <v>0</v>
      </c>
      <c r="I98" s="236">
        <f t="shared" si="0"/>
        <v>0</v>
      </c>
    </row>
    <row r="99" spans="1:9">
      <c r="A99" t="s">
        <v>122</v>
      </c>
      <c r="B99" s="236">
        <f>IF(B90&gt;B$88,B90-B$88,0)</f>
        <v>0</v>
      </c>
      <c r="C99" s="236">
        <f t="shared" si="0"/>
        <v>0</v>
      </c>
      <c r="D99" s="236">
        <f t="shared" si="0"/>
        <v>0</v>
      </c>
      <c r="E99" s="236">
        <f t="shared" si="0"/>
        <v>0</v>
      </c>
      <c r="F99" s="236">
        <f t="shared" si="0"/>
        <v>6938.9596206372225</v>
      </c>
      <c r="G99" s="236">
        <f t="shared" si="0"/>
        <v>0</v>
      </c>
      <c r="H99" s="236">
        <f t="shared" si="0"/>
        <v>0</v>
      </c>
      <c r="I99" s="236">
        <f t="shared" si="0"/>
        <v>0</v>
      </c>
    </row>
    <row r="100" spans="1:9">
      <c r="A100" t="s">
        <v>123</v>
      </c>
      <c r="B100" s="236">
        <f>IF(B91&gt;B$88,B91-B$88,0)</f>
        <v>14745.118563602071</v>
      </c>
      <c r="C100" s="236">
        <f t="shared" si="0"/>
        <v>0</v>
      </c>
      <c r="D100" s="236">
        <f t="shared" si="0"/>
        <v>0</v>
      </c>
      <c r="E100" s="236">
        <f t="shared" si="0"/>
        <v>0</v>
      </c>
      <c r="F100" s="236">
        <f t="shared" si="0"/>
        <v>23307.919620637222</v>
      </c>
      <c r="G100" s="236">
        <f t="shared" si="0"/>
        <v>14583.3558358015</v>
      </c>
      <c r="H100" s="236">
        <f t="shared" si="0"/>
        <v>6320.4305401608872</v>
      </c>
      <c r="I100" s="236">
        <f t="shared" si="0"/>
        <v>0</v>
      </c>
    </row>
    <row r="101" spans="1:9" ht="16" thickBot="1">
      <c r="A101" s="265" t="s">
        <v>124</v>
      </c>
      <c r="B101" s="266">
        <f>IF(B92&gt;B$88,B92-B$88,0)</f>
        <v>0</v>
      </c>
      <c r="C101" s="266">
        <f t="shared" si="0"/>
        <v>0</v>
      </c>
      <c r="D101" s="266">
        <f t="shared" si="0"/>
        <v>0</v>
      </c>
      <c r="E101" s="266">
        <f t="shared" si="0"/>
        <v>0</v>
      </c>
      <c r="F101" s="266">
        <f t="shared" si="0"/>
        <v>0</v>
      </c>
      <c r="G101" s="266">
        <f t="shared" si="0"/>
        <v>0</v>
      </c>
      <c r="H101" s="266">
        <f t="shared" si="0"/>
        <v>0</v>
      </c>
      <c r="I101" s="266">
        <f t="shared" si="0"/>
        <v>0</v>
      </c>
    </row>
    <row r="102" spans="1:9">
      <c r="A102" t="str">
        <f>'Q2'!Q37</f>
        <v>Own crops Consumed</v>
      </c>
      <c r="B102" s="108">
        <f>'Q1'!R37</f>
        <v>0</v>
      </c>
      <c r="C102" s="108">
        <f>'Q2'!R37</f>
        <v>0</v>
      </c>
      <c r="D102" s="108">
        <f>'Q3'!R37</f>
        <v>0</v>
      </c>
      <c r="E102" s="108">
        <f>'Q4'!R37</f>
        <v>0</v>
      </c>
      <c r="F102" s="108">
        <f>'Q1'!T37</f>
        <v>0</v>
      </c>
      <c r="G102" s="108">
        <f>'Q2'!T37</f>
        <v>0</v>
      </c>
      <c r="H102" s="108">
        <f>'Q3'!T37</f>
        <v>0</v>
      </c>
      <c r="I102" s="108">
        <f>'Q4'!T37</f>
        <v>0</v>
      </c>
    </row>
    <row r="103" spans="1:9">
      <c r="A103" t="str">
        <f>'Q2'!Q38</f>
        <v>Own crops sold</v>
      </c>
      <c r="B103" s="108">
        <f>'Q1'!R38</f>
        <v>0</v>
      </c>
      <c r="C103" s="108">
        <f>'Q2'!R38</f>
        <v>0</v>
      </c>
      <c r="D103" s="108">
        <f>'Q3'!R38</f>
        <v>0</v>
      </c>
      <c r="E103" s="108">
        <f>'Q4'!R38</f>
        <v>0</v>
      </c>
      <c r="F103" s="108">
        <f>'Q1'!T38</f>
        <v>0</v>
      </c>
      <c r="G103" s="108">
        <f>'Q2'!T38</f>
        <v>0</v>
      </c>
      <c r="H103" s="108">
        <f>'Q3'!T38</f>
        <v>0</v>
      </c>
      <c r="I103" s="108">
        <f>'Q4'!T38</f>
        <v>0</v>
      </c>
    </row>
    <row r="104" spans="1:9">
      <c r="A104" t="str">
        <f>'Q2'!Q39</f>
        <v>Animal products consumed</v>
      </c>
      <c r="B104" s="108">
        <f>'Q1'!R39</f>
        <v>0</v>
      </c>
      <c r="C104" s="108">
        <f>'Q2'!R39</f>
        <v>0</v>
      </c>
      <c r="D104" s="108">
        <f>'Q3'!R39</f>
        <v>0</v>
      </c>
      <c r="E104" s="108">
        <f>'Q4'!R39</f>
        <v>0</v>
      </c>
      <c r="F104" s="108">
        <f>'Q1'!T39</f>
        <v>0</v>
      </c>
      <c r="G104" s="108">
        <f>'Q2'!T39</f>
        <v>0</v>
      </c>
      <c r="H104" s="108">
        <f>'Q3'!T39</f>
        <v>0</v>
      </c>
      <c r="I104" s="108">
        <f>'Q4'!T39</f>
        <v>0</v>
      </c>
    </row>
    <row r="105" spans="1:9">
      <c r="A105" t="str">
        <f>'Q2'!Q40</f>
        <v>Animal products sold</v>
      </c>
      <c r="B105" s="108">
        <f>'Q1'!R40</f>
        <v>0</v>
      </c>
      <c r="C105" s="108">
        <f>'Q2'!R40</f>
        <v>0</v>
      </c>
      <c r="D105" s="108">
        <f>'Q3'!R40</f>
        <v>0</v>
      </c>
      <c r="E105" s="108">
        <f>'Q4'!R40</f>
        <v>0</v>
      </c>
      <c r="F105" s="108">
        <f>'Q1'!T40</f>
        <v>0</v>
      </c>
      <c r="G105" s="108">
        <f>'Q2'!T40</f>
        <v>0</v>
      </c>
      <c r="H105" s="108">
        <f>'Q3'!T40</f>
        <v>0</v>
      </c>
      <c r="I105" s="108">
        <f>'Q4'!T40</f>
        <v>0</v>
      </c>
    </row>
    <row r="106" spans="1:9">
      <c r="A106" t="str">
        <f>'Q2'!Q41</f>
        <v>Animals sold</v>
      </c>
      <c r="B106" s="108">
        <f>'Q1'!R41</f>
        <v>0</v>
      </c>
      <c r="C106" s="108">
        <f>'Q2'!R41</f>
        <v>0</v>
      </c>
      <c r="D106" s="108">
        <f>'Q3'!R41</f>
        <v>0</v>
      </c>
      <c r="E106" s="108">
        <f>'Q4'!R41</f>
        <v>0</v>
      </c>
      <c r="F106" s="108">
        <f>'Q1'!T41</f>
        <v>0</v>
      </c>
      <c r="G106" s="108">
        <f>'Q2'!T41</f>
        <v>0</v>
      </c>
      <c r="H106" s="108">
        <f>'Q3'!T41</f>
        <v>0</v>
      </c>
      <c r="I106" s="108">
        <f>'Q4'!T41</f>
        <v>0</v>
      </c>
    </row>
    <row r="107" spans="1:9">
      <c r="A107" t="str">
        <f>'Q2'!Q42</f>
        <v>Wild foods consumed and sold</v>
      </c>
      <c r="B107" s="108">
        <f>'Q1'!R42</f>
        <v>0</v>
      </c>
      <c r="C107" s="108">
        <f>'Q2'!R42</f>
        <v>0</v>
      </c>
      <c r="D107" s="108">
        <f>'Q3'!R42</f>
        <v>0</v>
      </c>
      <c r="E107" s="108">
        <f>'Q4'!R42</f>
        <v>0</v>
      </c>
      <c r="F107" s="108">
        <f>'Q1'!T42</f>
        <v>0</v>
      </c>
      <c r="G107" s="108">
        <f>'Q2'!T42</f>
        <v>0</v>
      </c>
      <c r="H107" s="108">
        <f>'Q3'!T42</f>
        <v>0</v>
      </c>
      <c r="I107" s="108">
        <f>'Q4'!T42</f>
        <v>0</v>
      </c>
    </row>
    <row r="108" spans="1:9">
      <c r="A108" t="str">
        <f>'Q2'!Q43</f>
        <v>Labour - casual</v>
      </c>
      <c r="B108" s="108">
        <f>'Q1'!R43</f>
        <v>4020</v>
      </c>
      <c r="C108" s="108">
        <f>'Q2'!R43</f>
        <v>9408</v>
      </c>
      <c r="D108" s="108">
        <f>'Q3'!R43</f>
        <v>13860</v>
      </c>
      <c r="E108" s="108">
        <f>'Q4'!R43</f>
        <v>19800</v>
      </c>
      <c r="F108" s="108">
        <f>'Q1'!T43</f>
        <v>2471.4000000000005</v>
      </c>
      <c r="G108" s="108">
        <f>'Q2'!T43</f>
        <v>5963.7000000000007</v>
      </c>
      <c r="H108" s="108">
        <f>'Q3'!T43</f>
        <v>8760.3000000000011</v>
      </c>
      <c r="I108" s="108">
        <f>'Q4'!T43</f>
        <v>12697.8</v>
      </c>
    </row>
    <row r="109" spans="1:9">
      <c r="A109" t="str">
        <f>'Q2'!Q44</f>
        <v>Labour - formal emp</v>
      </c>
      <c r="B109" s="108">
        <f>'Q1'!R44</f>
        <v>0</v>
      </c>
      <c r="C109" s="108">
        <f>'Q2'!R44</f>
        <v>0</v>
      </c>
      <c r="D109" s="108">
        <f>'Q3'!R44</f>
        <v>9000</v>
      </c>
      <c r="E109" s="108">
        <f>'Q4'!R44</f>
        <v>23100</v>
      </c>
      <c r="F109" s="108">
        <f>'Q1'!T44</f>
        <v>0</v>
      </c>
      <c r="G109" s="108">
        <f>'Q2'!T44</f>
        <v>0</v>
      </c>
      <c r="H109" s="108">
        <f>'Q3'!T44</f>
        <v>9743.9999999999982</v>
      </c>
      <c r="I109" s="108">
        <f>'Q4'!T44</f>
        <v>25055.999999999993</v>
      </c>
    </row>
    <row r="110" spans="1:9">
      <c r="A110" t="str">
        <f>'Q2'!Q45</f>
        <v>Labour - public works</v>
      </c>
      <c r="B110" s="108">
        <f>'Q1'!R45</f>
        <v>0</v>
      </c>
      <c r="C110" s="108">
        <f>'Q2'!R45</f>
        <v>0</v>
      </c>
      <c r="D110" s="108">
        <f>'Q3'!R45</f>
        <v>0</v>
      </c>
      <c r="E110" s="108">
        <f>'Q4'!R45</f>
        <v>0</v>
      </c>
      <c r="F110" s="108">
        <f>'Q1'!T45</f>
        <v>0</v>
      </c>
      <c r="G110" s="108">
        <f>'Q2'!T45</f>
        <v>0</v>
      </c>
      <c r="H110" s="108">
        <f>'Q3'!T45</f>
        <v>0</v>
      </c>
      <c r="I110" s="108">
        <f>'Q4'!T45</f>
        <v>0</v>
      </c>
    </row>
    <row r="111" spans="1:9">
      <c r="A111" t="str">
        <f>'Q2'!Q46</f>
        <v>Self - employment</v>
      </c>
      <c r="B111" s="108">
        <f>'Q1'!R46</f>
        <v>2340</v>
      </c>
      <c r="C111" s="108">
        <f>'Q2'!R46</f>
        <v>5460</v>
      </c>
      <c r="D111" s="108">
        <f>'Q3'!R46</f>
        <v>7020</v>
      </c>
      <c r="E111" s="108">
        <f>'Q4'!R46</f>
        <v>9504</v>
      </c>
      <c r="F111" s="108">
        <f>'Q1'!T46</f>
        <v>2808</v>
      </c>
      <c r="G111" s="108">
        <f>'Q2'!T46</f>
        <v>5771.0637848357219</v>
      </c>
      <c r="H111" s="108">
        <f>'Q3'!T46</f>
        <v>7231.7890804763256</v>
      </c>
      <c r="I111" s="108">
        <f>'Q4'!T46</f>
        <v>9479.1704745976112</v>
      </c>
    </row>
    <row r="112" spans="1:9">
      <c r="A112" t="str">
        <f>'Q2'!Q47</f>
        <v>Small business/petty trading</v>
      </c>
      <c r="B112" s="108">
        <f>'Q1'!R47</f>
        <v>0</v>
      </c>
      <c r="C112" s="108">
        <f>'Q2'!R47</f>
        <v>2820</v>
      </c>
      <c r="D112" s="108">
        <f>'Q3'!R47</f>
        <v>4680</v>
      </c>
      <c r="E112" s="108">
        <f>'Q4'!R47</f>
        <v>5940</v>
      </c>
      <c r="F112" s="108">
        <f>'Q1'!T47</f>
        <v>0</v>
      </c>
      <c r="G112" s="108">
        <f>'Q2'!T47</f>
        <v>3271.1999999999994</v>
      </c>
      <c r="H112" s="108">
        <f>'Q3'!T47</f>
        <v>5428.8</v>
      </c>
      <c r="I112" s="108">
        <f>'Q4'!T47</f>
        <v>6890.3999999999987</v>
      </c>
    </row>
    <row r="113" spans="1:9">
      <c r="A113" t="str">
        <f>'Q2'!Q48</f>
        <v>Food transfer - official</v>
      </c>
      <c r="B113" s="108">
        <f>'Q1'!R48</f>
        <v>812.08333737703913</v>
      </c>
      <c r="C113" s="108">
        <f>'Q2'!R48</f>
        <v>812.08333737703913</v>
      </c>
      <c r="D113" s="108">
        <f>'Q3'!R48</f>
        <v>812.08333737703913</v>
      </c>
      <c r="E113" s="108">
        <f>'Q4'!R48</f>
        <v>812.08333737703913</v>
      </c>
      <c r="F113" s="108">
        <f>'Q1'!T48</f>
        <v>1339.9375066721143</v>
      </c>
      <c r="G113" s="108">
        <f>'Q2'!T48</f>
        <v>1339.9375066721143</v>
      </c>
      <c r="H113" s="108">
        <f>'Q3'!T48</f>
        <v>1339.9375066721143</v>
      </c>
      <c r="I113" s="108">
        <f>'Q4'!T48</f>
        <v>1339.9375066721143</v>
      </c>
    </row>
    <row r="114" spans="1:9">
      <c r="A114" t="str">
        <f>'Q2'!Q49</f>
        <v>Food transfer - gifts</v>
      </c>
      <c r="B114" s="108">
        <f>'Q1'!R49</f>
        <v>0</v>
      </c>
      <c r="C114" s="108">
        <f>'Q2'!R49</f>
        <v>0</v>
      </c>
      <c r="D114" s="108">
        <f>'Q3'!R49</f>
        <v>0</v>
      </c>
      <c r="E114" s="108">
        <f>'Q4'!R49</f>
        <v>0</v>
      </c>
      <c r="F114" s="108">
        <f>'Q1'!T49</f>
        <v>0</v>
      </c>
      <c r="G114" s="108">
        <f>'Q2'!T49</f>
        <v>0</v>
      </c>
      <c r="H114" s="108">
        <f>'Q3'!T49</f>
        <v>0</v>
      </c>
      <c r="I114" s="108">
        <f>'Q4'!T49</f>
        <v>0</v>
      </c>
    </row>
    <row r="115" spans="1:9">
      <c r="A115" t="str">
        <f>'Q2'!Q50</f>
        <v>Cash transfer - official</v>
      </c>
      <c r="B115" s="108">
        <f>'Q1'!R50</f>
        <v>10248</v>
      </c>
      <c r="C115" s="108">
        <f>'Q2'!R50</f>
        <v>10248</v>
      </c>
      <c r="D115" s="108">
        <f>'Q3'!R50</f>
        <v>3048.0000000000005</v>
      </c>
      <c r="E115" s="108">
        <f>'Q4'!R50</f>
        <v>0</v>
      </c>
      <c r="F115" s="108">
        <f>'Q1'!T50</f>
        <v>12092.64</v>
      </c>
      <c r="G115" s="108">
        <f>'Q2'!T50</f>
        <v>12092.64</v>
      </c>
      <c r="H115" s="108">
        <f>'Q3'!T50</f>
        <v>3596.6400000000003</v>
      </c>
      <c r="I115" s="108">
        <f>'Q4'!T50</f>
        <v>0</v>
      </c>
    </row>
    <row r="116" spans="1:9">
      <c r="A116" t="str">
        <f>'Q2'!Q51</f>
        <v>Cash transfer - gifts</v>
      </c>
      <c r="B116" s="108">
        <f>'Q1'!R51</f>
        <v>2544</v>
      </c>
      <c r="C116" s="108">
        <f>'Q2'!R51</f>
        <v>1740</v>
      </c>
      <c r="D116" s="108">
        <f>'Q3'!R51</f>
        <v>2340</v>
      </c>
      <c r="E116" s="108">
        <f>'Q4'!R51</f>
        <v>3000</v>
      </c>
      <c r="F116" s="108">
        <f>'Q1'!T51</f>
        <v>2742.0000000000005</v>
      </c>
      <c r="G116" s="108">
        <f>'Q2'!T51</f>
        <v>1740</v>
      </c>
      <c r="H116" s="108">
        <f>'Q3'!T51</f>
        <v>2340</v>
      </c>
      <c r="I116" s="108">
        <f>'Q4'!T51</f>
        <v>2999.9999999999995</v>
      </c>
    </row>
    <row r="117" spans="1:9">
      <c r="A117" t="str">
        <f>'Q2'!Q52</f>
        <v>Other</v>
      </c>
      <c r="B117" s="108">
        <f>'Q1'!R52</f>
        <v>0</v>
      </c>
      <c r="C117" s="108">
        <f>'Q2'!R52</f>
        <v>0</v>
      </c>
      <c r="D117" s="108">
        <f>'Q3'!R52</f>
        <v>0</v>
      </c>
      <c r="E117" s="108">
        <f>'Q4'!R52</f>
        <v>0</v>
      </c>
      <c r="F117" s="108">
        <f>'Q1'!T52</f>
        <v>0</v>
      </c>
      <c r="G117" s="108">
        <f>'Q2'!T52</f>
        <v>0</v>
      </c>
      <c r="H117" s="108">
        <f>'Q3'!T52</f>
        <v>0</v>
      </c>
      <c r="I117" s="108">
        <f>'Q4'!T52</f>
        <v>0</v>
      </c>
    </row>
    <row r="118" spans="1:9">
      <c r="A118" t="str">
        <f>'Q2'!Q53</f>
        <v>TOTAL</v>
      </c>
      <c r="B118" s="108">
        <f>'Q1'!R53</f>
        <v>19964.08333737704</v>
      </c>
      <c r="C118" s="108">
        <f>'Q2'!R53</f>
        <v>30488.08333737704</v>
      </c>
      <c r="D118" s="108">
        <f>'Q3'!R53</f>
        <v>40760.083337377037</v>
      </c>
      <c r="E118" s="108">
        <f>'Q4'!R53</f>
        <v>62156.083337377037</v>
      </c>
      <c r="F118" s="108">
        <f>'Q1'!T53</f>
        <v>21453.977506672112</v>
      </c>
      <c r="G118" s="108">
        <f>'Q2'!T53</f>
        <v>30178.541291507834</v>
      </c>
      <c r="H118" s="108">
        <f>'Q3'!T53</f>
        <v>38441.466587148439</v>
      </c>
      <c r="I118" s="108">
        <f>'Q4'!T53</f>
        <v>58463.307981269711</v>
      </c>
    </row>
    <row r="119" spans="1:9">
      <c r="A119" t="str">
        <f>'Q2'!Q54</f>
        <v>Food Poverty line</v>
      </c>
      <c r="B119" s="108">
        <f>'Q1'!R54</f>
        <v>12770.884804109372</v>
      </c>
      <c r="C119" s="108">
        <f>'Q2'!R54</f>
        <v>12770.884804109372</v>
      </c>
      <c r="D119" s="108">
        <f>'Q3'!R54</f>
        <v>12770.88480410937</v>
      </c>
      <c r="E119" s="108">
        <f>'Q4'!R54</f>
        <v>12770.884804109372</v>
      </c>
      <c r="F119" s="108"/>
      <c r="G119" s="108"/>
      <c r="H119" s="108"/>
      <c r="I119" s="108"/>
    </row>
    <row r="120" spans="1:9">
      <c r="A120" t="str">
        <f>'Q2'!Q55</f>
        <v>Lower Bound Poverty line</v>
      </c>
      <c r="B120" s="108">
        <f>'Q1'!R55</f>
        <v>21962.298137442707</v>
      </c>
      <c r="C120" s="108">
        <f>'Q2'!R55</f>
        <v>21962.298137442707</v>
      </c>
      <c r="D120" s="108">
        <f>'Q3'!R55</f>
        <v>21962.298137442704</v>
      </c>
      <c r="E120" s="108">
        <f>'Q4'!R55</f>
        <v>21962.298137442707</v>
      </c>
      <c r="F120" s="108"/>
      <c r="G120" s="108"/>
      <c r="H120" s="108"/>
      <c r="I120" s="108"/>
    </row>
    <row r="121" spans="1:9">
      <c r="A121" t="str">
        <f>'Q2'!Q56</f>
        <v>Upper Bound Poverty line</v>
      </c>
      <c r="B121" s="108">
        <f>'Q1'!R56</f>
        <v>38331.258137442703</v>
      </c>
      <c r="C121" s="108">
        <f>'Q2'!R56</f>
        <v>38331.258137442703</v>
      </c>
      <c r="D121" s="108">
        <f>'Q3'!R56</f>
        <v>38331.258137442703</v>
      </c>
      <c r="E121" s="108">
        <f>'Q4'!R56</f>
        <v>38331.258137442703</v>
      </c>
      <c r="F121" s="108"/>
      <c r="G121" s="108"/>
      <c r="H121" s="108"/>
      <c r="I121" s="108"/>
    </row>
    <row r="122" spans="1:9">
      <c r="A122">
        <f>'Q2'!Q57</f>
        <v>0</v>
      </c>
      <c r="B122" s="108">
        <f>'Q1'!R57</f>
        <v>0</v>
      </c>
      <c r="C122" s="108">
        <f>'Q2'!R57</f>
        <v>0</v>
      </c>
      <c r="D122" s="108">
        <f>'Q3'!R57</f>
        <v>0</v>
      </c>
      <c r="E122" s="108">
        <f>'Q4'!R57</f>
        <v>0</v>
      </c>
      <c r="F122" s="108"/>
      <c r="G122" s="108"/>
      <c r="H122" s="108"/>
      <c r="I122" s="108"/>
    </row>
    <row r="123" spans="1:9">
      <c r="A123" t="str">
        <f>'Q2'!Q54</f>
        <v>Food Poverty line</v>
      </c>
      <c r="F123" s="108">
        <f>'Q1'!T54</f>
        <v>19201.523793976001</v>
      </c>
      <c r="G123" s="108">
        <f>'Q2'!T54</f>
        <v>19201.523793976001</v>
      </c>
      <c r="H123" s="108">
        <f>'Q3'!T54</f>
        <v>19201.523793975997</v>
      </c>
      <c r="I123" s="108">
        <f>'Q4'!T54</f>
        <v>19201.523793976001</v>
      </c>
    </row>
    <row r="124" spans="1:9">
      <c r="A124" t="str">
        <f>'Q2'!Q55</f>
        <v>Lower Bound Poverty line</v>
      </c>
      <c r="F124" s="108">
        <f>'Q1'!T55</f>
        <v>28392.937127309335</v>
      </c>
      <c r="G124" s="108">
        <f>'Q2'!T55</f>
        <v>28392.937127309335</v>
      </c>
      <c r="H124" s="108">
        <f>'Q3'!T55</f>
        <v>28392.937127309335</v>
      </c>
      <c r="I124" s="108">
        <f>'Q4'!T55</f>
        <v>28392.937127309335</v>
      </c>
    </row>
    <row r="125" spans="1:9">
      <c r="A125" t="str">
        <f>'Q2'!Q56</f>
        <v>Upper Bound Poverty line</v>
      </c>
      <c r="F125" s="108">
        <f>'Q1'!T56</f>
        <v>44761.897127309334</v>
      </c>
      <c r="G125" s="108">
        <f>'Q2'!T56</f>
        <v>44761.897127309334</v>
      </c>
      <c r="H125" s="108">
        <f>'Q3'!T56</f>
        <v>44761.897127309327</v>
      </c>
      <c r="I125" s="108">
        <f>'Q4'!T56</f>
        <v>44761.897127309334</v>
      </c>
    </row>
    <row r="126" spans="1:9">
      <c r="A126">
        <f>'Q2'!Q57</f>
        <v>0</v>
      </c>
      <c r="F126" s="108">
        <f>'Q1'!T57</f>
        <v>0</v>
      </c>
      <c r="G126" s="108">
        <f>'Q2'!T57</f>
        <v>0</v>
      </c>
      <c r="H126" s="108">
        <f>'Q3'!T57</f>
        <v>0</v>
      </c>
      <c r="I126" s="108">
        <f>'Q4'!T57</f>
        <v>0</v>
      </c>
    </row>
    <row r="128" spans="1:9">
      <c r="A128" t="s">
        <v>121</v>
      </c>
      <c r="B128" s="236">
        <f>IF(B119&gt;B$88,B119-B$88,0)</f>
        <v>0</v>
      </c>
      <c r="C128" s="236">
        <f t="shared" ref="C128:I131" si="1">IF(C119&gt;C$88,C119-C$88,0)</f>
        <v>0</v>
      </c>
      <c r="D128" s="236">
        <f t="shared" si="1"/>
        <v>0</v>
      </c>
      <c r="E128" s="236">
        <f t="shared" si="1"/>
        <v>0</v>
      </c>
      <c r="F128" s="236">
        <f t="shared" si="1"/>
        <v>0</v>
      </c>
      <c r="G128" s="236">
        <f t="shared" si="1"/>
        <v>0</v>
      </c>
      <c r="H128" s="236">
        <f t="shared" si="1"/>
        <v>0</v>
      </c>
      <c r="I128" s="236">
        <f t="shared" si="1"/>
        <v>0</v>
      </c>
    </row>
    <row r="129" spans="1:9">
      <c r="A129" t="s">
        <v>122</v>
      </c>
      <c r="B129" s="236">
        <f>IF(B120&gt;B$88,B120-B$88,0)</f>
        <v>0</v>
      </c>
      <c r="C129" s="236">
        <f t="shared" si="1"/>
        <v>0</v>
      </c>
      <c r="D129" s="236">
        <f t="shared" si="1"/>
        <v>0</v>
      </c>
      <c r="E129" s="236">
        <f t="shared" si="1"/>
        <v>0</v>
      </c>
      <c r="F129" s="236">
        <f t="shared" si="1"/>
        <v>0</v>
      </c>
      <c r="G129" s="236">
        <f t="shared" si="1"/>
        <v>0</v>
      </c>
      <c r="H129" s="236">
        <f t="shared" si="1"/>
        <v>0</v>
      </c>
      <c r="I129" s="236">
        <f t="shared" si="1"/>
        <v>0</v>
      </c>
    </row>
    <row r="130" spans="1:9">
      <c r="A130" t="s">
        <v>123</v>
      </c>
      <c r="B130" s="236">
        <f>IF(B121&gt;B$88,B121-B$88,0)</f>
        <v>8314.4795737354398</v>
      </c>
      <c r="C130" s="236">
        <f t="shared" si="1"/>
        <v>0</v>
      </c>
      <c r="D130" s="236">
        <f t="shared" si="1"/>
        <v>0</v>
      </c>
      <c r="E130" s="236">
        <f t="shared" si="1"/>
        <v>0</v>
      </c>
      <c r="F130" s="236">
        <f t="shared" si="1"/>
        <v>0</v>
      </c>
      <c r="G130" s="236">
        <f t="shared" si="1"/>
        <v>0</v>
      </c>
      <c r="H130" s="236">
        <f t="shared" si="1"/>
        <v>0</v>
      </c>
      <c r="I130" s="236">
        <f t="shared" si="1"/>
        <v>0</v>
      </c>
    </row>
    <row r="131" spans="1:9">
      <c r="A131" t="s">
        <v>124</v>
      </c>
      <c r="B131" s="236">
        <f>IF(B122&gt;B$88,B122-B$88,0)</f>
        <v>0</v>
      </c>
      <c r="C131" s="236">
        <f t="shared" si="1"/>
        <v>0</v>
      </c>
      <c r="D131" s="236">
        <f t="shared" si="1"/>
        <v>0</v>
      </c>
      <c r="E131" s="236">
        <f t="shared" si="1"/>
        <v>0</v>
      </c>
      <c r="F131" s="236">
        <f t="shared" si="1"/>
        <v>0</v>
      </c>
      <c r="G131" s="236">
        <f t="shared" si="1"/>
        <v>0</v>
      </c>
      <c r="H131" s="236">
        <f t="shared" si="1"/>
        <v>0</v>
      </c>
      <c r="I131" s="236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7" customFormat="1" ht="19">
      <c r="A2" s="244"/>
      <c r="B2" s="244"/>
      <c r="C2" s="244"/>
      <c r="D2" s="244"/>
      <c r="E2" s="244"/>
      <c r="F2" s="244"/>
      <c r="G2" s="242"/>
      <c r="H2" s="242"/>
      <c r="I2" s="242"/>
      <c r="J2" s="242"/>
      <c r="K2" s="259" t="str">
        <f>'Q2'!A1</f>
        <v>ZA UP: 59899</v>
      </c>
      <c r="L2" s="259"/>
      <c r="M2" s="259"/>
      <c r="N2" s="259"/>
      <c r="O2" s="259"/>
      <c r="P2" s="259"/>
      <c r="Q2" s="259"/>
      <c r="R2" s="244"/>
      <c r="S2" s="244"/>
      <c r="T2" s="244"/>
      <c r="U2" s="244"/>
      <c r="V2" s="244"/>
    </row>
    <row r="3" spans="1:22" s="91" customFormat="1" ht="17">
      <c r="A3" s="89"/>
      <c r="B3" s="260" t="str">
        <f>'Q1'!A67</f>
        <v>Expenditure : Q1 HHs</v>
      </c>
      <c r="C3" s="260"/>
      <c r="D3" s="260"/>
      <c r="E3" s="260"/>
      <c r="F3" s="246"/>
      <c r="G3" s="258" t="str">
        <f>'Q2'!A67</f>
        <v>Expenditure : Q2 HHs</v>
      </c>
      <c r="H3" s="258"/>
      <c r="I3" s="258"/>
      <c r="J3" s="258"/>
      <c r="K3" s="242"/>
      <c r="L3" s="258" t="str">
        <f>'Q3'!A67</f>
        <v>Expenditure : Q3 HHs</v>
      </c>
      <c r="M3" s="258"/>
      <c r="N3" s="258"/>
      <c r="O3" s="258"/>
      <c r="P3" s="258"/>
      <c r="Q3" s="243"/>
      <c r="R3" s="258" t="str">
        <f>'Q4'!A67</f>
        <v>Expenditure : Q4 HHs</v>
      </c>
      <c r="S3" s="258"/>
      <c r="T3" s="258"/>
      <c r="U3" s="258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2016-10-18T14:25:33Z</dcterms:modified>
  <cp:category/>
</cp:coreProperties>
</file>