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4140" windowHeight="16780" activeTab="3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<sst xmlns="http://schemas.openxmlformats.org/spreadsheetml/2006/main" count="790" uniqueCount="145">
  <si>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</si>
  <si>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</si>
  <si>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</si>
  <si>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</si>
  <si>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</si>
  <si>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</si>
  <si>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</si>
  <si>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</si>
  <si>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</si>
  <si>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</si>
  <si>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</si>
  <si>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</si>
  <si>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</si>
  <si>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</si>
  <si>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</si>
  <si>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</si>
  <si>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</si>
  <si>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</si>
  <si>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</si>
  <si>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</si>
  <si>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</si>
  <si>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</si>
  <si>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</si>
  <si>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</si>
  <si>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</si>
  <si>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</si>
  <si>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</si>
  <si>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</si>
  <si>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</si>
  <si>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</si>
  <si>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</si>
  <si>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</si>
  <si>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</si>
  <si>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</si>
  <si>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</si>
  <si>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</si>
  <si>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</si>
  <si>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</si>
  <si>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</si>
  <si>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</si>
  <si>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</si>
  <si>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</si>
  <si>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</si>
  <si>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</si>
  <si>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</si>
  <si>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</si>
  <si>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</si>
  <si>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</si>
  <si>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</si>
  <si>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</si>
  <si>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</si>
  <si>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</si>
  <si>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</si>
  <si>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</si>
  <si>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</si>
  <si>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</si>
  <si>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</si>
  <si>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</si>
  <si>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</si>
  <si>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</si>
  <si>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</si>
  <si>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</si>
  <si>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</si>
  <si>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</si>
  <si>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</si>
  <si>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</si>
  <si>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</si>
  <si>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</si>
  <si>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</si>
  <si>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</si>
  <si>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</si>
  <si>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</si>
  <si>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</si>
  <si>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</si>
  <si>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</si>
  <si>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</si>
  <si>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</si>
  <si>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</si>
  <si>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</si>
  <si>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</si>
  <si>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</si>
  <si>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</si>
  <si>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</si>
  <si>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</si>
  <si>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</si>
  <si>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</si>
  <si>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</si>
  <si>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</si>
  <si>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</si>
  <si>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</si>
  <si>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</si>
  <si>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</si>
  <si>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</si>
  <si>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</si>
  <si>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</si>
  <si>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</si>
  <si>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</si>
  <si>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</si>
  <si>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</si>
  <si>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</si>
  <si>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</si>
  <si>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</si>
  <si>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</si>
  <si>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</si>
  <si>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</si>
  <si>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</si>
  <si>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</si>
  <si>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</si>
  <si>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</si>
  <si>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</si>
  <si>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</si>
  <si>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</si>
  <si>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</si>
  <si>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</si>
  <si>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</si>
  <si>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</si>
  <si>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</si>
  <si>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</si>
  <si>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</si>
  <si>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</si>
  <si>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</si>
  <si>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</si>
  <si>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</si>
  <si>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</si>
  <si>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</si>
  <si>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>Q1</t>
    </r>
  </si>
  <si>
    <r>
      <t>Baseline:</t>
    </r>
    <r>
      <rPr>
        <sz val="12"/>
        <rFont val="Arial"/>
        <family val="2"/>
      </rPr>
      <t xml:space="preserve"> Q2§</t>
    </r>
  </si>
  <si>
    <r>
      <t>Baseline:</t>
    </r>
    <r>
      <rPr>
        <sz val="12"/>
        <rFont val="Arial"/>
        <family val="2"/>
      </rPr>
      <t xml:space="preserve"> 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</si>
  <si>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</si>
  <si>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</si>
  <si>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</si>
  <si>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</si>
  <si>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</si>
  <si>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t>Sources of Food : Q1 HHs</t>
  </si>
  <si>
    <t>Income : Q1 HHs</t>
  </si>
  <si>
    <t>Expenditure : Q1 HHs</t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</si>
  <si>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</si>
  <si>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</si>
  <si>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</si>
  <si>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Sources of Food : Q3 HHs</t>
  </si>
  <si>
    <t>Income : Q3 HHs</t>
  </si>
  <si>
    <t>Expenditure : Q3 HHs</t>
  </si>
  <si>
    <t>Sources of Food : Q4 HHs</t>
  </si>
  <si>
    <t>Income : Q4 HHs</t>
  </si>
  <si>
    <t>Expenditure : Q4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</si>
</sst>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5" fillId="0" borderId="0" xfId="0" applyNumberFormat="1" applyFont="1" applyBorder="1" applyProtection="1">
      <alignment vertical="top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270984"/>
        <c:axId val="-2070267640"/>
      </c:barChart>
      <c:catAx>
        <c:axId val="-207027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6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26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7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693864"/>
        <c:axId val="-2068690808"/>
      </c:barChart>
      <c:catAx>
        <c:axId val="-206869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9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69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9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550264"/>
        <c:axId val="-2068547208"/>
      </c:barChart>
      <c:catAx>
        <c:axId val="-206855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54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54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55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407320"/>
        <c:axId val="-2068404264"/>
      </c:barChart>
      <c:catAx>
        <c:axId val="-206840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0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40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0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58168577373424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29816"/>
        <c:axId val="-20683262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29816"/>
        <c:axId val="-2068326296"/>
      </c:lineChart>
      <c:catAx>
        <c:axId val="-206832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2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32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2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36323748737111"/>
          <c:y val="0.011627906976744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01288"/>
        <c:axId val="-2068198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01288"/>
        <c:axId val="-2068198056"/>
      </c:lineChart>
      <c:catAx>
        <c:axId val="-206820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19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19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20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108952"/>
        <c:axId val="-2068105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08952"/>
        <c:axId val="-2068105672"/>
      </c:lineChart>
      <c:catAx>
        <c:axId val="-2068108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1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10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10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045736"/>
        <c:axId val="-2068042360"/>
      </c:barChart>
      <c:catAx>
        <c:axId val="-206804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04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4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04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984248"/>
        <c:axId val="-2067980840"/>
      </c:barChart>
      <c:catAx>
        <c:axId val="-206798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8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8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8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928392"/>
        <c:axId val="-2067924888"/>
      </c:barChart>
      <c:catAx>
        <c:axId val="-206792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2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2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2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867688"/>
        <c:axId val="-2067864312"/>
      </c:barChart>
      <c:catAx>
        <c:axId val="-206786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86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86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86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130984"/>
        <c:axId val="-2070127640"/>
      </c:barChart>
      <c:catAx>
        <c:axId val="-20701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2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12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3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764360"/>
        <c:axId val="-20897678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64360"/>
        <c:axId val="-20897678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764360"/>
        <c:axId val="-2089767800"/>
      </c:scatterChart>
      <c:catAx>
        <c:axId val="-2089764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767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976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764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673832"/>
        <c:axId val="-20676704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73832"/>
        <c:axId val="-2067670456"/>
      </c:lineChart>
      <c:catAx>
        <c:axId val="-20676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67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67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6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87256"/>
        <c:axId val="-21040839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80296"/>
        <c:axId val="-2104077400"/>
      </c:scatterChart>
      <c:valAx>
        <c:axId val="-2104087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083912"/>
        <c:crosses val="autoZero"/>
        <c:crossBetween val="midCat"/>
      </c:valAx>
      <c:valAx>
        <c:axId val="-2104083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087256"/>
        <c:crosses val="autoZero"/>
        <c:crossBetween val="midCat"/>
      </c:valAx>
      <c:valAx>
        <c:axId val="-2104080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4077400"/>
        <c:crosses val="autoZero"/>
        <c:crossBetween val="midCat"/>
      </c:valAx>
      <c:valAx>
        <c:axId val="-2104077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0802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97688"/>
        <c:axId val="-2067595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97688"/>
        <c:axId val="-2067595048"/>
      </c:lineChart>
      <c:catAx>
        <c:axId val="-206759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59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59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5976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92904"/>
        <c:axId val="-2089189560"/>
      </c:barChart>
      <c:catAx>
        <c:axId val="-208919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18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18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19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361848"/>
        <c:axId val="-2089358584"/>
      </c:barChart>
      <c:catAx>
        <c:axId val="-208936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35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35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36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59480"/>
        <c:axId val="-2089156168"/>
      </c:barChart>
      <c:catAx>
        <c:axId val="-2089159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156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15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15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321416"/>
        <c:axId val="-2089498776"/>
      </c:barChart>
      <c:catAx>
        <c:axId val="-2114321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498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49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32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5207208"/>
        <c:axId val="-2115133912"/>
      </c:barChart>
      <c:catAx>
        <c:axId val="-2115207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133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513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2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264376"/>
        <c:axId val="-2089261064"/>
      </c:barChart>
      <c:catAx>
        <c:axId val="-2089264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26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2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26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877096"/>
        <c:axId val="-2070880232"/>
      </c:barChart>
      <c:catAx>
        <c:axId val="-207087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880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880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87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2471.4000000000005</v>
      </c>
      <c r="T13" s="220">
        <f>IF($B$81=0,0,(SUMIF($N$6:$N$28,$U13,M$6:M$28)+SUMIF($N$91:$N$118,$U13,M$91:M$118))*$I$83*'Q2'!$B$81/$B$81)</f>
        <v>2471.4000000000005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20985.977506672112</v>
      </c>
      <c r="T23" s="177">
        <f>SUM(T7:T22)</f>
        <v>21453.977506672112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0.8564363217274612</v>
      </c>
      <c r="J30" s="229">
        <f>IF(I$32&lt;=1,I30,1-SUM(J6:J29))</f>
        <v>0.65631560701038394</v>
      </c>
      <c r="K30" s="21">
        <f t="shared" si="4"/>
        <v>0.52537235996264009</v>
      </c>
      <c r="L30" s="21">
        <f>IF(L124=L119,0,IF(K30="",0,(L119-L124)/(B119-B124)*K30))</f>
        <v>0.25023491601985259</v>
      </c>
      <c r="M30" s="173">
        <f t="shared" si="6"/>
        <v>0.65631560701038394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2.6252624280415358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0.26805318613427187</v>
      </c>
      <c r="M31" s="239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7406.9596206372225</v>
      </c>
      <c r="T31" s="232">
        <f>IF(T25&gt;T$23,T25-T$23,0)</f>
        <v>6938.9596206372225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1.2001207147170772</v>
      </c>
      <c r="J32" s="16"/>
      <c r="L32" s="21">
        <f>SUM(L6:L30)</f>
        <v>0.73194681386572813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23775.919620637222</v>
      </c>
      <c r="T32" s="232">
        <f t="shared" si="24"/>
        <v>23307.919620637222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0.70130983213321185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134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6938.9596206372225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12092.64</v>
      </c>
      <c r="J43" s="37">
        <f t="shared" si="32"/>
        <v>12092.64</v>
      </c>
      <c r="K43" s="39">
        <f t="shared" si="33"/>
        <v>0.53508771929824561</v>
      </c>
      <c r="L43" s="21">
        <f t="shared" si="34"/>
        <v>0.63140350877192974</v>
      </c>
      <c r="M43" s="23">
        <f t="shared" si="35"/>
        <v>0.63140350877192974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3023.16</v>
      </c>
      <c r="AB43" s="155">
        <f>'Q2'!AB43</f>
        <v>0.25</v>
      </c>
      <c r="AC43" s="146">
        <f t="shared" si="41"/>
        <v>3023.16</v>
      </c>
      <c r="AD43" s="155">
        <f>'Q2'!AD43</f>
        <v>0.25</v>
      </c>
      <c r="AE43" s="146">
        <f t="shared" si="42"/>
        <v>3023.16</v>
      </c>
      <c r="AF43" s="121">
        <f t="shared" si="29"/>
        <v>0.25</v>
      </c>
      <c r="AG43" s="146">
        <f t="shared" si="36"/>
        <v>3023.16</v>
      </c>
      <c r="AH43" s="122">
        <f t="shared" si="37"/>
        <v>1</v>
      </c>
      <c r="AI43" s="111">
        <f t="shared" si="37"/>
        <v>12092.64</v>
      </c>
      <c r="AJ43" s="147">
        <f t="shared" si="38"/>
        <v>6046.32</v>
      </c>
      <c r="AK43" s="146">
        <f t="shared" si="39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540</v>
      </c>
      <c r="J44" s="37">
        <f t="shared" si="32"/>
        <v>540</v>
      </c>
      <c r="K44" s="39">
        <f t="shared" si="33"/>
        <v>2.819548872180451E-2</v>
      </c>
      <c r="L44" s="21">
        <f t="shared" si="34"/>
        <v>2.819548872180451E-2</v>
      </c>
      <c r="M44" s="23">
        <f t="shared" si="35"/>
        <v>2.819548872180451E-2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135</v>
      </c>
      <c r="AB44" s="155">
        <f>'Q2'!AB44</f>
        <v>0.25</v>
      </c>
      <c r="AC44" s="146">
        <f t="shared" si="41"/>
        <v>135</v>
      </c>
      <c r="AD44" s="155">
        <f>'Q2'!AD44</f>
        <v>0.25</v>
      </c>
      <c r="AE44" s="146">
        <f t="shared" si="42"/>
        <v>135</v>
      </c>
      <c r="AF44" s="121">
        <f t="shared" si="29"/>
        <v>0.25</v>
      </c>
      <c r="AG44" s="146">
        <f t="shared" si="36"/>
        <v>135</v>
      </c>
      <c r="AH44" s="122">
        <f t="shared" si="37"/>
        <v>1</v>
      </c>
      <c r="AI44" s="111">
        <f t="shared" si="37"/>
        <v>540</v>
      </c>
      <c r="AJ44" s="147">
        <f t="shared" si="38"/>
        <v>270</v>
      </c>
      <c r="AK44" s="146">
        <f t="shared" si="39"/>
        <v>270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20114.04</v>
      </c>
      <c r="J65" s="38">
        <f>SUM(J37:J64)</f>
        <v>20114.04</v>
      </c>
      <c r="K65" s="39">
        <f>SUM(K37:K64)</f>
        <v>1</v>
      </c>
      <c r="L65" s="21">
        <f>SUM(L37:L64)</f>
        <v>1.025795739348371</v>
      </c>
      <c r="M65" s="23">
        <f>SUM(M37:M64)</f>
        <v>1.0502318295739348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135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0.39065082138773188</v>
      </c>
      <c r="L70" s="21">
        <f t="shared" ref="L70:L74" si="45">(L124*G$37*F$9/F$7)/B$130</f>
        <v>0.54691114994282453</v>
      </c>
      <c r="M70" s="23">
        <f>J70/B$76</f>
        <v>0.54691114994282464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0.40671122250069619</v>
      </c>
      <c r="L71" s="21">
        <f t="shared" si="45"/>
        <v>0.47888458940554607</v>
      </c>
      <c r="M71" s="23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9639.5976562950218</v>
      </c>
      <c r="J74" s="50">
        <f t="shared" si="44"/>
        <v>7387.1439435989087</v>
      </c>
      <c r="K74" s="39">
        <f>B74/B$76</f>
        <v>0.18712549975618942</v>
      </c>
      <c r="L74" s="21">
        <f t="shared" si="45"/>
        <v>0.14706103046225755</v>
      </c>
      <c r="M74" s="23">
        <f>J74/B$76</f>
        <v>0.38571135879275836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20114.039999999997</v>
      </c>
      <c r="J76" s="50">
        <f t="shared" si="44"/>
        <v>20114.039999999997</v>
      </c>
      <c r="K76" s="39">
        <f>SUM(K70:K75)</f>
        <v>1.7388212946888948</v>
      </c>
      <c r="L76" s="21">
        <f>SUM(L70:L75)</f>
        <v>1.172856769810628</v>
      </c>
      <c r="M76" s="23">
        <f>SUM(M70:M75)</f>
        <v>1.4125417512864045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9191.4133333333339</v>
      </c>
      <c r="J77" s="99">
        <f t="shared" si="44"/>
        <v>6938.9596206372225</v>
      </c>
      <c r="K77" s="39"/>
      <c r="L77" s="21">
        <f>-(L131*G$37*F$9/F$7)/B$130</f>
        <v>-0.47991924255082147</v>
      </c>
      <c r="M77" s="23">
        <f>-J77/B$76</f>
        <v>-0.36230992171246984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0.7151515151515152</v>
      </c>
      <c r="I97" s="21">
        <f t="shared" si="54"/>
        <v>1.0743784637952321</v>
      </c>
      <c r="J97" s="23">
        <f t="shared" si="55"/>
        <v>1.0743784637952321</v>
      </c>
      <c r="K97" s="21">
        <f t="shared" si="56"/>
        <v>1.5023088688662143</v>
      </c>
      <c r="L97" s="21">
        <f t="shared" si="57"/>
        <v>1.0743784637952321</v>
      </c>
      <c r="M97" s="226">
        <f t="shared" si="49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0.60606060606060608</v>
      </c>
      <c r="I98" s="21">
        <f t="shared" si="54"/>
        <v>4.7976651124107338E-2</v>
      </c>
      <c r="J98" s="23">
        <f t="shared" si="55"/>
        <v>4.7976651124107338E-2</v>
      </c>
      <c r="K98" s="21">
        <f t="shared" si="56"/>
        <v>7.9161474354777106E-2</v>
      </c>
      <c r="L98" s="21">
        <f t="shared" si="57"/>
        <v>4.7976651124107338E-2</v>
      </c>
      <c r="M98" s="226">
        <f t="shared" si="49"/>
        <v>4.7976651124107338E-2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1.7870449625487776</v>
      </c>
      <c r="J119" s="23">
        <f>SUM(J91:J118)</f>
        <v>1.7870449625487776</v>
      </c>
      <c r="K119" s="21">
        <f>SUM(K91:K118)</f>
        <v>2.8075936237827617</v>
      </c>
      <c r="L119" s="21">
        <f>SUM(L91:L118)</f>
        <v>1.7454651982412177</v>
      </c>
      <c r="M119" s="56">
        <f t="shared" si="49"/>
        <v>1.7870449625487776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66"/>
        <v>0.93060864082131645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0.81485655741990126</v>
      </c>
      <c r="M125" s="238">
        <f t="shared" si="66"/>
        <v>0.81661709413111461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0.8564363217274612</v>
      </c>
      <c r="J128" s="226">
        <f>(J30)</f>
        <v>0.65631560701038394</v>
      </c>
      <c r="K128" s="28">
        <f>(B128)</f>
        <v>0.52537235996264009</v>
      </c>
      <c r="L128" s="28">
        <f>IF(L124=L119,0,(L119-L124)/(B119-B124)*K128)</f>
        <v>0.25023491601985259</v>
      </c>
      <c r="M128" s="238">
        <f t="shared" si="66"/>
        <v>0.65631560701038394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1.7870449625487776</v>
      </c>
      <c r="J130" s="226">
        <f>(J119)</f>
        <v>1.7870449625487776</v>
      </c>
      <c r="K130" s="28">
        <f>(B130)</f>
        <v>2.8075936237827617</v>
      </c>
      <c r="L130" s="28">
        <f>(L119)</f>
        <v>1.7454651982412177</v>
      </c>
      <c r="M130" s="238">
        <f t="shared" si="66"/>
        <v>1.7870449625487776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0.81661709413111461</v>
      </c>
      <c r="J131" s="235">
        <f>IF(SUMPRODUCT($B124:$B125,$H124:$H125)&gt;(J119-J128),SUMPRODUCT($B124:$B125,$H124:$H125)+J128-J119,0)</f>
        <v>0.61649637941403745</v>
      </c>
      <c r="K131" s="28"/>
      <c r="L131" s="28">
        <f>IF(I131&lt;SUM(L126:L127),0,I131-(SUM(L126:L127)))</f>
        <v>0.81661709413111461</v>
      </c>
      <c r="M131" s="235">
        <f>IF(I131&lt;SUM(M126:M127),0,I131-(SUM(M126:M127)))</f>
        <v>0.81661709413111461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9" t="s">
        <v>85</v>
      </c>
      <c r="AA1" s="260"/>
      <c r="AB1" s="259" t="s">
        <v>86</v>
      </c>
      <c r="AC1" s="260"/>
      <c r="AD1" s="259" t="s">
        <v>87</v>
      </c>
      <c r="AE1" s="260"/>
      <c r="AF1" s="259" t="s">
        <v>88</v>
      </c>
      <c r="AG1" s="260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7" t="s">
        <v>89</v>
      </c>
      <c r="AA2" s="261"/>
      <c r="AB2" s="257" t="s">
        <v>90</v>
      </c>
      <c r="AC2" s="261"/>
      <c r="AD2" s="257" t="s">
        <v>91</v>
      </c>
      <c r="AE2" s="261"/>
      <c r="AF2" s="257" t="s">
        <v>92</v>
      </c>
      <c r="AG2" s="261"/>
      <c r="AH2" s="116"/>
      <c r="AI2" s="109"/>
      <c r="AJ2" s="195" t="s">
        <v>93</v>
      </c>
      <c r="AK2" s="196" t="s">
        <v>94</v>
      </c>
      <c r="CM2" s="6"/>
    </row>
    <row r="3" spans="1:91">
      <c r="A3" s="269" t="s">
        <v>136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5963.7000000000007</v>
      </c>
      <c r="T13" s="220">
        <f>IF($B$81=0,0,(SUMIF($N$6:$N$28,$U13,M$6:M$28)+SUMIF($N$91:$N$118,$U13,M$91:M$118))*$I$83*'Q2'!$B$81/$B$81)</f>
        <v>5963.7000000000007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5771.0637848357219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29867.477506672112</v>
      </c>
      <c r="T23" s="177">
        <f>SUM(T7:T22)</f>
        <v>30178.541291507834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1.7380489013737538E-2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1.7380489013737538E-2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6.9521956054950151E-2</v>
      </c>
      <c r="Z27" s="115">
        <v>0.25</v>
      </c>
      <c r="AA27" s="120">
        <f t="shared" si="16"/>
        <v>1.7380489013737538E-2</v>
      </c>
      <c r="AB27" s="115">
        <v>0.25</v>
      </c>
      <c r="AC27" s="120">
        <f t="shared" si="7"/>
        <v>1.7380489013737538E-2</v>
      </c>
      <c r="AD27" s="115">
        <v>0.25</v>
      </c>
      <c r="AE27" s="120">
        <f t="shared" si="8"/>
        <v>1.7380489013737538E-2</v>
      </c>
      <c r="AF27" s="121">
        <f t="shared" si="10"/>
        <v>0.25</v>
      </c>
      <c r="AG27" s="120">
        <f t="shared" si="11"/>
        <v>1.7380489013737538E-2</v>
      </c>
      <c r="AH27" s="122">
        <f t="shared" si="12"/>
        <v>1</v>
      </c>
      <c r="AI27" s="181">
        <f t="shared" si="13"/>
        <v>1.7380489013737538E-2</v>
      </c>
      <c r="AJ27" s="119">
        <f t="shared" si="14"/>
        <v>1.7380489013737538E-2</v>
      </c>
      <c r="AK27" s="118">
        <f t="shared" si="15"/>
        <v>1.7380489013737538E-2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0.30483659374732447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0.30483659374732447</v>
      </c>
      <c r="N29" s="227"/>
      <c r="P29" s="21"/>
      <c r="V29" s="55"/>
      <c r="W29" s="109"/>
      <c r="X29" s="117"/>
      <c r="Y29" s="181">
        <f t="shared" si="9"/>
        <v>1.2193463749892979</v>
      </c>
      <c r="Z29" s="115">
        <v>0.25</v>
      </c>
      <c r="AA29" s="120">
        <f t="shared" si="16"/>
        <v>0.30483659374732447</v>
      </c>
      <c r="AB29" s="115">
        <v>0.25</v>
      </c>
      <c r="AC29" s="120">
        <f t="shared" si="7"/>
        <v>0.30483659374732447</v>
      </c>
      <c r="AD29" s="115">
        <v>0.25</v>
      </c>
      <c r="AE29" s="120">
        <f t="shared" si="8"/>
        <v>0.30483659374732447</v>
      </c>
      <c r="AF29" s="121">
        <f t="shared" si="10"/>
        <v>0.25</v>
      </c>
      <c r="AG29" s="120">
        <f t="shared" si="11"/>
        <v>0.30483659374732447</v>
      </c>
      <c r="AH29" s="122">
        <f t="shared" si="12"/>
        <v>1</v>
      </c>
      <c r="AI29" s="181">
        <f t="shared" si="13"/>
        <v>0.30483659374732447</v>
      </c>
      <c r="AJ29" s="119">
        <f t="shared" si="14"/>
        <v>0.30483659374732447</v>
      </c>
      <c r="AK29" s="118">
        <f t="shared" si="15"/>
        <v>0.30483659374732447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1.7009586499870952</v>
      </c>
      <c r="J30" s="229">
        <f>IF(I$32&lt;=1,I30,1-SUM(J6:J29))</f>
        <v>0.55873529819131895</v>
      </c>
      <c r="K30" s="21">
        <f t="shared" si="4"/>
        <v>0.55751374053549196</v>
      </c>
      <c r="L30" s="21">
        <f>IF(L124=L119,0,IF(K30="",0,(L119-L124)/(B119-B124)*K30))</f>
        <v>0.27484179863897817</v>
      </c>
      <c r="M30" s="173">
        <f t="shared" si="6"/>
        <v>0.55873529819131895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5"/>
      <c r="W30" s="109"/>
      <c r="X30" s="117"/>
      <c r="Y30" s="181">
        <f>M30*4</f>
        <v>2.2349411927652758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0.24502515205188358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2.0446430429767113</v>
      </c>
      <c r="J32" s="16"/>
      <c r="L32" s="21">
        <f>SUM(L6:L30)</f>
        <v>0.75497484794811642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14894.419620637222</v>
      </c>
      <c r="T32" s="232">
        <f t="shared" si="50"/>
        <v>14583.3558358015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0.28485694582025856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69" t="s">
        <v>137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5771.0637848357219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0.19446905866140052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5771.0637848357219</v>
      </c>
      <c r="AH41" s="122">
        <f t="shared" si="61"/>
        <v>1</v>
      </c>
      <c r="AI41" s="111">
        <f t="shared" si="61"/>
        <v>5771.0637848357219</v>
      </c>
      <c r="AJ41" s="147">
        <f t="shared" si="62"/>
        <v>0</v>
      </c>
      <c r="AK41" s="146">
        <f t="shared" si="63"/>
        <v>5771.0637848357219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1</v>
      </c>
      <c r="F43" s="25">
        <v>1.18</v>
      </c>
      <c r="G43" s="21">
        <f t="shared" si="59"/>
        <v>1.65</v>
      </c>
      <c r="H43" s="23">
        <f t="shared" si="51"/>
        <v>1.18</v>
      </c>
      <c r="I43" s="38">
        <f t="shared" si="52"/>
        <v>12092.64</v>
      </c>
      <c r="J43" s="37">
        <f t="shared" si="53"/>
        <v>12092.64</v>
      </c>
      <c r="K43" s="39">
        <f t="shared" si="54"/>
        <v>0.34532955923978975</v>
      </c>
      <c r="L43" s="21">
        <f t="shared" si="55"/>
        <v>0.40748887990295191</v>
      </c>
      <c r="M43" s="23">
        <f t="shared" si="56"/>
        <v>0.40748887990295185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3023.16</v>
      </c>
      <c r="AB43" s="115">
        <v>0.25</v>
      </c>
      <c r="AC43" s="146">
        <f t="shared" si="65"/>
        <v>3023.16</v>
      </c>
      <c r="AD43" s="115">
        <v>0.25</v>
      </c>
      <c r="AE43" s="146">
        <f t="shared" si="66"/>
        <v>3023.16</v>
      </c>
      <c r="AF43" s="121">
        <f t="shared" si="57"/>
        <v>0.25</v>
      </c>
      <c r="AG43" s="146">
        <f t="shared" si="60"/>
        <v>3023.16</v>
      </c>
      <c r="AH43" s="122">
        <f t="shared" si="61"/>
        <v>1</v>
      </c>
      <c r="AI43" s="111">
        <f t="shared" si="61"/>
        <v>12092.64</v>
      </c>
      <c r="AJ43" s="147">
        <f t="shared" si="62"/>
        <v>6046.32</v>
      </c>
      <c r="AK43" s="146">
        <f t="shared" si="63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</v>
      </c>
      <c r="G44" s="21">
        <f t="shared" si="59"/>
        <v>1.65</v>
      </c>
      <c r="H44" s="23">
        <f t="shared" si="51"/>
        <v>1</v>
      </c>
      <c r="I44" s="38">
        <f t="shared" si="52"/>
        <v>1668</v>
      </c>
      <c r="J44" s="37">
        <f t="shared" si="53"/>
        <v>1668.0000000000002</v>
      </c>
      <c r="K44" s="39">
        <f t="shared" si="54"/>
        <v>5.6207035988677718E-2</v>
      </c>
      <c r="L44" s="21">
        <f t="shared" si="55"/>
        <v>5.6207035988677718E-2</v>
      </c>
      <c r="M44" s="23">
        <f t="shared" si="56"/>
        <v>5.6207035988677725E-2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417.00000000000006</v>
      </c>
      <c r="AB44" s="115">
        <v>0.25</v>
      </c>
      <c r="AC44" s="146">
        <f t="shared" si="65"/>
        <v>417.00000000000006</v>
      </c>
      <c r="AD44" s="115">
        <v>0.25</v>
      </c>
      <c r="AE44" s="146">
        <f t="shared" si="66"/>
        <v>417.00000000000006</v>
      </c>
      <c r="AF44" s="121">
        <f t="shared" si="57"/>
        <v>0.25</v>
      </c>
      <c r="AG44" s="146">
        <f t="shared" si="60"/>
        <v>417.00000000000006</v>
      </c>
      <c r="AH44" s="122">
        <f t="shared" si="61"/>
        <v>1</v>
      </c>
      <c r="AI44" s="111">
        <f t="shared" si="61"/>
        <v>1668.0000000000002</v>
      </c>
      <c r="AJ44" s="147">
        <f t="shared" si="62"/>
        <v>834.00000000000011</v>
      </c>
      <c r="AK44" s="146">
        <f t="shared" si="63"/>
        <v>834.00000000000011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29619.54</v>
      </c>
      <c r="J65" s="38">
        <f>SUM(J37:J64)</f>
        <v>28838.603784835723</v>
      </c>
      <c r="K65" s="39">
        <f>SUM(K37:K64)</f>
        <v>1</v>
      </c>
      <c r="L65" s="21">
        <f>SUM(L37:L64)</f>
        <v>0.96130004043671646</v>
      </c>
      <c r="M65" s="23">
        <f>SUM(M37:M64)</f>
        <v>0.97178203884740932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69" t="s">
        <v>138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9191.4133333333339</v>
      </c>
      <c r="J71" s="50">
        <f t="shared" si="75"/>
        <v>9191.4133333333339</v>
      </c>
      <c r="K71" s="39">
        <f t="shared" ref="K71:K72" si="78">B71/B$76</f>
        <v>0.2624792200206677</v>
      </c>
      <c r="L71" s="21">
        <f t="shared" si="76"/>
        <v>0.30972547962438784</v>
      </c>
      <c r="M71" s="23">
        <f t="shared" ref="M71:M72" si="79">J71/B$76</f>
        <v>0.30972547962438784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2883.9168960727302</v>
      </c>
      <c r="K72" s="39">
        <f t="shared" si="78"/>
        <v>0.46744844318641326</v>
      </c>
      <c r="L72" s="21">
        <f t="shared" si="76"/>
        <v>0.19437287080542895</v>
      </c>
      <c r="M72" s="23">
        <f t="shared" si="79"/>
        <v>9.7180108372851126E-2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19145.097656295024</v>
      </c>
      <c r="J74" s="50">
        <f t="shared" si="75"/>
        <v>6288.8312117246805</v>
      </c>
      <c r="K74" s="39">
        <f>B74/B$76</f>
        <v>0.12815338994473646</v>
      </c>
      <c r="L74" s="21">
        <f t="shared" si="76"/>
        <v>0.10424164337982782</v>
      </c>
      <c r="M74" s="23">
        <f>J74/B$76</f>
        <v>0.21191640422309882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-4.9984350241264514E-12</v>
      </c>
      <c r="K75" s="39">
        <f>B75/B$76</f>
        <v>0</v>
      </c>
      <c r="L75" s="21">
        <f t="shared" si="76"/>
        <v>0</v>
      </c>
      <c r="M75" s="23">
        <f>J75/B$76</f>
        <v>-1.6843358350608071E-16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29619.539999999997</v>
      </c>
      <c r="J76" s="50">
        <f t="shared" si="75"/>
        <v>28838.603784835719</v>
      </c>
      <c r="K76" s="39">
        <f>SUM(K70:K75)</f>
        <v>1.1495200790049596</v>
      </c>
      <c r="L76" s="21">
        <f>SUM(L70:L75)</f>
        <v>0.96130004043671613</v>
      </c>
      <c r="M76" s="23">
        <f>SUM(M70:M75)</f>
        <v>0.97178203884740921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0</v>
      </c>
      <c r="K77" s="39"/>
      <c r="L77" s="21">
        <f>-(L131*G$37*F$9/F$7)/B$130</f>
        <v>-0.11535260881895895</v>
      </c>
      <c r="M77" s="23">
        <f>-J77/B$76</f>
        <v>0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0.51273391448154426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0.51273391448154426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0.7151515151515152</v>
      </c>
      <c r="I97" s="21">
        <f t="shared" si="88"/>
        <v>1.0743784637952321</v>
      </c>
      <c r="J97" s="23">
        <f t="shared" si="89"/>
        <v>1.0743784637952321</v>
      </c>
      <c r="K97" s="21">
        <f t="shared" si="90"/>
        <v>1.5023088688662143</v>
      </c>
      <c r="L97" s="21">
        <f t="shared" si="91"/>
        <v>1.0743784637952321</v>
      </c>
      <c r="M97" s="225">
        <f t="shared" si="92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0.60606060606060608</v>
      </c>
      <c r="I98" s="21">
        <f t="shared" si="88"/>
        <v>0.14819454458335379</v>
      </c>
      <c r="J98" s="23">
        <f t="shared" si="89"/>
        <v>0.14819454458335379</v>
      </c>
      <c r="K98" s="21">
        <f t="shared" si="90"/>
        <v>0.24452099856253373</v>
      </c>
      <c r="L98" s="21">
        <f t="shared" si="91"/>
        <v>0.14819454458335379</v>
      </c>
      <c r="M98" s="225">
        <f t="shared" si="92"/>
        <v>0.14819454458335379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2.6315672908084116</v>
      </c>
      <c r="J119" s="23">
        <f>SUM(J91:J118)</f>
        <v>2.5621845049841201</v>
      </c>
      <c r="K119" s="21">
        <f>SUM(K91:K118)</f>
        <v>4.35036280176364</v>
      </c>
      <c r="L119" s="21">
        <f>SUM(L91:L118)</f>
        <v>2.5345478407574387</v>
      </c>
      <c r="M119" s="56">
        <f t="shared" si="80"/>
        <v>2.5621845049841201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238">
        <f t="shared" si="93"/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0.2562234718403702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0.5124803071660291</v>
      </c>
      <c r="M126" s="238">
        <f t="shared" si="93"/>
        <v>0.2562234718403702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1.7009586499870952</v>
      </c>
      <c r="J128" s="226">
        <f>(J30)</f>
        <v>0.55873529819131895</v>
      </c>
      <c r="K128" s="28">
        <f>(B128)</f>
        <v>0.55751374053549196</v>
      </c>
      <c r="L128" s="28">
        <f>IF(L124=L119,0,(L119-L124)/(B119-B124)*K128)</f>
        <v>0.27484179863897817</v>
      </c>
      <c r="M128" s="238">
        <f t="shared" si="93"/>
        <v>0.55873529819131895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-4.4408920985006262E-16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-4.4408920985006262E-16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2.6315672908084116</v>
      </c>
      <c r="J130" s="226">
        <f>(J119)</f>
        <v>2.5621845049841201</v>
      </c>
      <c r="K130" s="28">
        <f>(B130)</f>
        <v>4.35036280176364</v>
      </c>
      <c r="L130" s="28">
        <f>(L119)</f>
        <v>2.5345478407574387</v>
      </c>
      <c r="M130" s="238">
        <f t="shared" si="93"/>
        <v>2.5621845049841201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0.30413678696508573</v>
      </c>
      <c r="M131" s="235">
        <f>IF(I131&lt;SUM(M126:M127),0,I131-(SUM(M126:M127)))</f>
        <v>0.56039362229074463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139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8760.3000000000011</v>
      </c>
      <c r="T13" s="220">
        <f>IF($B$81=0,0,(SUMIF($N$6:$N$28,$U13,M$6:M$28)+SUMIF($N$91:$N$118,$U13,M$91:M$118))*$I$83*'Q2'!$B$81/$B$81)</f>
        <v>8760.3000000000011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7231.7890804763256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3596.6400000000003</v>
      </c>
      <c r="T20" s="220">
        <f>IF($B$81=0,0,(SUMIF($N$6:$N$28,$U20,M$6:M$28)+SUMIF($N$91:$N$118,$U20,M$91:M$118))*$I$83*'Q2'!$B$81/$B$81)</f>
        <v>3596.6400000000003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38229.677506672117</v>
      </c>
      <c r="T23" s="177">
        <f>SUM(T7:T22)</f>
        <v>38441.466587148439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2.2513531013442126E-2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2.2513531013442126E-2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9.0054124053768503E-2</v>
      </c>
      <c r="Z27" s="155">
        <f>'Q2'!Z27</f>
        <v>0.25</v>
      </c>
      <c r="AA27" s="120">
        <f t="shared" si="16"/>
        <v>2.2513531013442126E-2</v>
      </c>
      <c r="AB27" s="155">
        <f>'Q2'!AB27</f>
        <v>0.25</v>
      </c>
      <c r="AC27" s="120">
        <f t="shared" si="7"/>
        <v>2.2513531013442126E-2</v>
      </c>
      <c r="AD27" s="155">
        <f>'Q2'!AD27</f>
        <v>0.25</v>
      </c>
      <c r="AE27" s="120">
        <f t="shared" si="8"/>
        <v>2.2513531013442126E-2</v>
      </c>
      <c r="AF27" s="121">
        <f t="shared" si="10"/>
        <v>0.25</v>
      </c>
      <c r="AG27" s="120">
        <f t="shared" si="11"/>
        <v>2.2513531013442126E-2</v>
      </c>
      <c r="AH27" s="122">
        <f t="shared" si="12"/>
        <v>1</v>
      </c>
      <c r="AI27" s="181">
        <f t="shared" si="13"/>
        <v>2.2513531013442126E-2</v>
      </c>
      <c r="AJ27" s="119">
        <f t="shared" si="14"/>
        <v>2.2513531013442126E-2</v>
      </c>
      <c r="AK27" s="118">
        <f t="shared" si="15"/>
        <v>2.2513531013442126E-2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0.41928886019917583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0.41928886019917583</v>
      </c>
      <c r="N29" s="227"/>
      <c r="P29" s="21"/>
      <c r="V29" s="55"/>
      <c r="W29" s="109"/>
      <c r="X29" s="117"/>
      <c r="Y29" s="181">
        <f t="shared" si="9"/>
        <v>1.6771554407967033</v>
      </c>
      <c r="Z29" s="155">
        <f>'Q2'!Z29</f>
        <v>0.25</v>
      </c>
      <c r="AA29" s="120">
        <f t="shared" si="16"/>
        <v>0.41928886019917583</v>
      </c>
      <c r="AB29" s="155">
        <f>'Q2'!AB29</f>
        <v>0.25</v>
      </c>
      <c r="AC29" s="120">
        <f t="shared" si="7"/>
        <v>0.41928886019917583</v>
      </c>
      <c r="AD29" s="155">
        <f>'Q2'!AD29</f>
        <v>0.25</v>
      </c>
      <c r="AE29" s="120">
        <f t="shared" si="8"/>
        <v>0.41928886019917583</v>
      </c>
      <c r="AF29" s="121">
        <f t="shared" si="10"/>
        <v>0.25</v>
      </c>
      <c r="AG29" s="120">
        <f t="shared" si="11"/>
        <v>0.41928886019917583</v>
      </c>
      <c r="AH29" s="122">
        <f t="shared" si="12"/>
        <v>1</v>
      </c>
      <c r="AI29" s="181">
        <f t="shared" si="13"/>
        <v>0.41928886019917583</v>
      </c>
      <c r="AJ29" s="119">
        <f t="shared" si="14"/>
        <v>0.41928886019917583</v>
      </c>
      <c r="AK29" s="118">
        <f t="shared" si="15"/>
        <v>0.41928886019917583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2.4716235892106728</v>
      </c>
      <c r="J30" s="229">
        <f>IF(I$32&lt;=1,I30,1-SUM(J6:J29))</f>
        <v>0.43914998973976305</v>
      </c>
      <c r="K30" s="21">
        <f t="shared" si="4"/>
        <v>0.57900237422166878</v>
      </c>
      <c r="L30" s="21">
        <f>IF(L124=L119,0,IF(K30="",0,(L119-L124)/(B119-B124)*K30))</f>
        <v>0.28550893727597682</v>
      </c>
      <c r="M30" s="173">
        <f t="shared" si="6"/>
        <v>0.43914998973976305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1.7565999589590522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0.1150628901272136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2.8153079822002889</v>
      </c>
      <c r="J32" s="16"/>
      <c r="L32" s="21">
        <f>SUM(L6:L30)</f>
        <v>0.8849371098727864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6532.21962063721</v>
      </c>
      <c r="T32" s="232">
        <f t="shared" si="24"/>
        <v>6320.4305401608872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0.1508469234161873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140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7231.7890804763256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0.18103006609783531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7231.7890804763256</v>
      </c>
      <c r="AH41" s="122">
        <f t="shared" si="37"/>
        <v>1</v>
      </c>
      <c r="AI41" s="111">
        <f t="shared" si="37"/>
        <v>7231.7890804763256</v>
      </c>
      <c r="AJ41" s="147">
        <f t="shared" si="38"/>
        <v>0</v>
      </c>
      <c r="AK41" s="146">
        <f t="shared" si="39"/>
        <v>7231.7890804763256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3596.6400000000003</v>
      </c>
      <c r="J43" s="37">
        <f t="shared" si="32"/>
        <v>3596.6400000000003</v>
      </c>
      <c r="K43" s="39">
        <f t="shared" si="33"/>
        <v>7.6299188945629329E-2</v>
      </c>
      <c r="L43" s="21">
        <f t="shared" si="34"/>
        <v>9.0033042955842607E-2</v>
      </c>
      <c r="M43" s="23">
        <f t="shared" si="35"/>
        <v>9.0033042955842607E-2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899.16000000000008</v>
      </c>
      <c r="AB43" s="155">
        <f>'Q2'!AB43</f>
        <v>0.25</v>
      </c>
      <c r="AC43" s="146">
        <f t="shared" si="41"/>
        <v>899.16000000000008</v>
      </c>
      <c r="AD43" s="155">
        <f>'Q2'!AD43</f>
        <v>0.25</v>
      </c>
      <c r="AE43" s="146">
        <f t="shared" si="42"/>
        <v>899.16000000000008</v>
      </c>
      <c r="AF43" s="121">
        <f t="shared" si="29"/>
        <v>0.25</v>
      </c>
      <c r="AG43" s="146">
        <f t="shared" si="36"/>
        <v>899.16000000000008</v>
      </c>
      <c r="AH43" s="122">
        <f t="shared" si="37"/>
        <v>1</v>
      </c>
      <c r="AI43" s="111">
        <f t="shared" si="37"/>
        <v>3596.6400000000003</v>
      </c>
      <c r="AJ43" s="147">
        <f t="shared" si="38"/>
        <v>1798.3200000000002</v>
      </c>
      <c r="AK43" s="146">
        <f t="shared" si="39"/>
        <v>1798.3200000000002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2400</v>
      </c>
      <c r="J44" s="37">
        <f t="shared" si="32"/>
        <v>2399.9999999999995</v>
      </c>
      <c r="K44" s="39">
        <f t="shared" si="33"/>
        <v>6.0078101531991591E-2</v>
      </c>
      <c r="L44" s="21">
        <f t="shared" si="34"/>
        <v>6.0078101531991591E-2</v>
      </c>
      <c r="M44" s="23">
        <f t="shared" si="35"/>
        <v>6.0078101531991578E-2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599.99999999999989</v>
      </c>
      <c r="AB44" s="155">
        <f>'Q2'!AB44</f>
        <v>0.25</v>
      </c>
      <c r="AC44" s="146">
        <f t="shared" si="41"/>
        <v>599.99999999999989</v>
      </c>
      <c r="AD44" s="155">
        <f>'Q2'!AD44</f>
        <v>0.25</v>
      </c>
      <c r="AE44" s="146">
        <f t="shared" si="42"/>
        <v>599.99999999999989</v>
      </c>
      <c r="AF44" s="121">
        <f t="shared" si="29"/>
        <v>0.25</v>
      </c>
      <c r="AG44" s="146">
        <f t="shared" si="36"/>
        <v>599.99999999999989</v>
      </c>
      <c r="AH44" s="122">
        <f t="shared" si="37"/>
        <v>1</v>
      </c>
      <c r="AI44" s="111">
        <f t="shared" si="37"/>
        <v>2399.9999999999995</v>
      </c>
      <c r="AJ44" s="147">
        <f t="shared" si="38"/>
        <v>1199.9999999999998</v>
      </c>
      <c r="AK44" s="146">
        <f t="shared" si="39"/>
        <v>1199.9999999999998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38293.74</v>
      </c>
      <c r="J65" s="38">
        <f>SUM(J37:J64)</f>
        <v>37101.529080476321</v>
      </c>
      <c r="K65" s="39">
        <f>SUM(K37:K64)</f>
        <v>1</v>
      </c>
      <c r="L65" s="21">
        <f>SUM(L37:L64)</f>
        <v>0.92344397717032134</v>
      </c>
      <c r="M65" s="23">
        <f>SUM(M37:M64)</f>
        <v>0.92874559628708131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141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12492.831648059358</v>
      </c>
      <c r="K72" s="39">
        <f t="shared" si="47"/>
        <v>0.34725142685491139</v>
      </c>
      <c r="L72" s="21">
        <f t="shared" si="45"/>
        <v>0.3507145689690046</v>
      </c>
      <c r="M72" s="23">
        <f t="shared" si="48"/>
        <v>0.31272733673924497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27819.297656295024</v>
      </c>
      <c r="J74" s="50">
        <f t="shared" si="44"/>
        <v>4942.8417553786549</v>
      </c>
      <c r="K74" s="39">
        <f>B74/B$76</f>
        <v>9.8870149079307149E-2</v>
      </c>
      <c r="L74" s="21">
        <f t="shared" si="45"/>
        <v>8.0443044001899749E-2</v>
      </c>
      <c r="M74" s="23">
        <f>J74/B$76</f>
        <v>0.12373189534841932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38293.74</v>
      </c>
      <c r="J76" s="50">
        <f t="shared" si="44"/>
        <v>37101.529080476328</v>
      </c>
      <c r="K76" s="39">
        <f>SUM(K70:K75)</f>
        <v>1</v>
      </c>
      <c r="L76" s="21">
        <f>SUM(L70:L75)</f>
        <v>0.92344397717032134</v>
      </c>
      <c r="M76" s="23">
        <f>SUM(M70:M75)</f>
        <v>0.92874559628708131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0.64251300317989202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0.64251300317989202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0.7151515151515152</v>
      </c>
      <c r="I97" s="21">
        <f t="shared" si="58"/>
        <v>0.31954581944261007</v>
      </c>
      <c r="J97" s="23">
        <f t="shared" si="59"/>
        <v>0.31954581944261007</v>
      </c>
      <c r="K97" s="21">
        <f t="shared" si="60"/>
        <v>0.44682254413585304</v>
      </c>
      <c r="L97" s="21">
        <f t="shared" si="61"/>
        <v>0.31954581944261007</v>
      </c>
      <c r="M97" s="225">
        <f t="shared" si="62"/>
        <v>0.31954581944261007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0.60606060606060608</v>
      </c>
      <c r="I98" s="21">
        <f t="shared" si="58"/>
        <v>0.21322956055158815</v>
      </c>
      <c r="J98" s="23">
        <f t="shared" si="59"/>
        <v>0.21322956055158815</v>
      </c>
      <c r="K98" s="21">
        <f t="shared" si="60"/>
        <v>0.35182877491012043</v>
      </c>
      <c r="L98" s="21">
        <f t="shared" si="61"/>
        <v>0.21322956055158815</v>
      </c>
      <c r="M98" s="225">
        <f t="shared" si="62"/>
        <v>0.21322956055158815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3.4022322300319892</v>
      </c>
      <c r="J119" s="23">
        <f>SUM(J91:J118)</f>
        <v>3.2963094756758067</v>
      </c>
      <c r="K119" s="21">
        <f>SUM(K91:K118)</f>
        <v>5.8561899583789554</v>
      </c>
      <c r="L119" s="21">
        <f>SUM(L91:L118)</f>
        <v>3.2774929371093102</v>
      </c>
      <c r="M119" s="56">
        <f t="shared" si="49"/>
        <v>3.2963094756758067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1.1099337509836125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1.2447582648809021</v>
      </c>
      <c r="M126" s="56">
        <f t="shared" si="65"/>
        <v>1.1099337509836125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2.4716235892106728</v>
      </c>
      <c r="J128" s="226">
        <f>(J30)</f>
        <v>0.43914998973976305</v>
      </c>
      <c r="K128" s="21">
        <f>(B128)</f>
        <v>0.57900237422166878</v>
      </c>
      <c r="L128" s="21">
        <f>IF(L124=L119,0,(L119-L124)/(B119-B124)*K128)</f>
        <v>0.28550893727597682</v>
      </c>
      <c r="M128" s="56">
        <f t="shared" si="63"/>
        <v>0.43914998973976305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3.4022322300319892</v>
      </c>
      <c r="J130" s="226">
        <f>(J119)</f>
        <v>3.2963094756758067</v>
      </c>
      <c r="K130" s="21">
        <f>(B130)</f>
        <v>5.8561899583789554</v>
      </c>
      <c r="L130" s="21">
        <f>(L119)</f>
        <v>3.2774929371093102</v>
      </c>
      <c r="M130" s="56">
        <f t="shared" si="63"/>
        <v>3.2963094756758067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12697.8</v>
      </c>
      <c r="T13" s="220">
        <f>IF($B$81=0,0,(SUMIF($N$6:$N$28,$U13,M$6:M$28)+SUMIF($N$91:$N$118,$U13,M$91:M$118))*$I$83*'Q2'!$B$81/$B$81)</f>
        <v>12697.8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9479.1704745976112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58488.137506672101</v>
      </c>
      <c r="T23" s="177">
        <f>SUM(T7:T22)</f>
        <v>58463.307981269711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6.7148134109710142E-2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6.7148134109710142E-2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0.26859253643884057</v>
      </c>
      <c r="Z27" s="155">
        <f>'Q2'!Z27</f>
        <v>0.25</v>
      </c>
      <c r="AA27" s="120">
        <f t="shared" si="16"/>
        <v>6.7148134109710142E-2</v>
      </c>
      <c r="AB27" s="155">
        <f>'Q2'!AB27</f>
        <v>0.25</v>
      </c>
      <c r="AC27" s="120">
        <f t="shared" si="7"/>
        <v>6.7148134109710142E-2</v>
      </c>
      <c r="AD27" s="155">
        <f>'Q2'!AD27</f>
        <v>0.25</v>
      </c>
      <c r="AE27" s="120">
        <f t="shared" si="8"/>
        <v>6.7148134109710142E-2</v>
      </c>
      <c r="AF27" s="121">
        <f t="shared" si="10"/>
        <v>0.25</v>
      </c>
      <c r="AG27" s="120">
        <f t="shared" si="11"/>
        <v>6.7148134109710142E-2</v>
      </c>
      <c r="AH27" s="122">
        <f t="shared" si="12"/>
        <v>1</v>
      </c>
      <c r="AI27" s="181">
        <f t="shared" si="13"/>
        <v>6.7148134109710142E-2</v>
      </c>
      <c r="AJ27" s="119">
        <f t="shared" si="14"/>
        <v>6.7148134109710142E-2</v>
      </c>
      <c r="AK27" s="118">
        <f t="shared" si="15"/>
        <v>6.7148134109710142E-2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0.53519488403273607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0.53519488403273607</v>
      </c>
      <c r="N29" s="227"/>
      <c r="P29" s="21"/>
      <c r="V29" s="55"/>
      <c r="W29" s="109"/>
      <c r="X29" s="117"/>
      <c r="Y29" s="181">
        <f t="shared" si="9"/>
        <v>2.1407795361309443</v>
      </c>
      <c r="Z29" s="155">
        <f>'Q2'!Z29</f>
        <v>0.25</v>
      </c>
      <c r="AA29" s="120">
        <f t="shared" si="16"/>
        <v>0.53519488403273607</v>
      </c>
      <c r="AB29" s="155">
        <f>'Q2'!AB29</f>
        <v>0.25</v>
      </c>
      <c r="AC29" s="120">
        <f t="shared" si="7"/>
        <v>0.53519488403273607</v>
      </c>
      <c r="AD29" s="155">
        <f>'Q2'!AD29</f>
        <v>0.25</v>
      </c>
      <c r="AE29" s="120">
        <f t="shared" si="8"/>
        <v>0.53519488403273607</v>
      </c>
      <c r="AF29" s="121">
        <f t="shared" si="10"/>
        <v>0.25</v>
      </c>
      <c r="AG29" s="120">
        <f t="shared" si="11"/>
        <v>0.53519488403273607</v>
      </c>
      <c r="AH29" s="122">
        <f t="shared" si="12"/>
        <v>1</v>
      </c>
      <c r="AI29" s="181">
        <f t="shared" si="13"/>
        <v>0.53519488403273607</v>
      </c>
      <c r="AJ29" s="119">
        <f t="shared" si="14"/>
        <v>0.53519488403273607</v>
      </c>
      <c r="AK29" s="118">
        <f t="shared" si="15"/>
        <v>0.53519488403273607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4.3156381595998203</v>
      </c>
      <c r="J30" s="229">
        <f>IF(I$32&lt;=1,I30,1-SUM(J6:J29))</f>
        <v>0.27860936280993476</v>
      </c>
      <c r="K30" s="21">
        <f t="shared" si="4"/>
        <v>0.62186232777085926</v>
      </c>
      <c r="L30" s="21">
        <f>IF(L124=L119,0,IF(K30="",0,(L119-L124)/(B119-B124)*K30))</f>
        <v>0.32658673082589107</v>
      </c>
      <c r="M30" s="173">
        <f t="shared" si="6"/>
        <v>0.27860936280993476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1.114437451239739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-4.3107133808752973E-2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4.6593225525894368</v>
      </c>
      <c r="J32" s="16"/>
      <c r="L32" s="21">
        <f>SUM(L6:L30)</f>
        <v>1.043107133808753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-1.3062671192333645E-2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9479.1704745976112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0.15452481863911077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9479.1704745976112</v>
      </c>
      <c r="AH41" s="122">
        <f t="shared" si="35"/>
        <v>1</v>
      </c>
      <c r="AI41" s="111">
        <f t="shared" si="35"/>
        <v>9479.1704745976112</v>
      </c>
      <c r="AJ41" s="147">
        <f t="shared" si="36"/>
        <v>0</v>
      </c>
      <c r="AK41" s="146">
        <f t="shared" si="37"/>
        <v>9479.1704745976112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1</v>
      </c>
      <c r="F43" s="74">
        <f>'Q3'!F43</f>
        <v>1.18</v>
      </c>
      <c r="G43" s="21">
        <f t="shared" si="32"/>
        <v>1.65</v>
      </c>
      <c r="H43" s="23">
        <f t="shared" si="26"/>
        <v>1.18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</v>
      </c>
      <c r="G44" s="21">
        <f t="shared" si="32"/>
        <v>1.65</v>
      </c>
      <c r="H44" s="23">
        <f t="shared" si="26"/>
        <v>1</v>
      </c>
      <c r="I44" s="38">
        <f t="shared" si="27"/>
        <v>3840</v>
      </c>
      <c r="J44" s="37">
        <f t="shared" si="33"/>
        <v>3839.9999999999995</v>
      </c>
      <c r="K44" s="39">
        <f t="shared" si="28"/>
        <v>6.2597809076682318E-2</v>
      </c>
      <c r="L44" s="21">
        <f t="shared" si="29"/>
        <v>6.2597809076682318E-2</v>
      </c>
      <c r="M44" s="23">
        <f t="shared" si="30"/>
        <v>6.2597809076682304E-2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959.99999999999989</v>
      </c>
      <c r="AB44" s="155">
        <f>'Q2'!AB44</f>
        <v>0.25</v>
      </c>
      <c r="AC44" s="146">
        <f t="shared" si="39"/>
        <v>959.99999999999989</v>
      </c>
      <c r="AD44" s="155">
        <f>'Q2'!AD44</f>
        <v>0.25</v>
      </c>
      <c r="AE44" s="146">
        <f t="shared" si="40"/>
        <v>959.99999999999989</v>
      </c>
      <c r="AF44" s="121">
        <f t="shared" si="31"/>
        <v>0.25</v>
      </c>
      <c r="AG44" s="146">
        <f t="shared" si="34"/>
        <v>959.99999999999989</v>
      </c>
      <c r="AH44" s="122">
        <f t="shared" si="35"/>
        <v>1</v>
      </c>
      <c r="AI44" s="111">
        <f t="shared" si="35"/>
        <v>3839.9999999999995</v>
      </c>
      <c r="AJ44" s="147">
        <f t="shared" si="36"/>
        <v>1919.9999999999998</v>
      </c>
      <c r="AK44" s="146">
        <f t="shared" si="37"/>
        <v>1919.9999999999998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59049.000000000007</v>
      </c>
      <c r="J65" s="38">
        <f>SUM(J37:J64)</f>
        <v>57123.370474597607</v>
      </c>
      <c r="K65" s="39">
        <f>SUM(K37:K64)</f>
        <v>1.0000000000000002</v>
      </c>
      <c r="L65" s="21">
        <f>SUM(L37:L64)</f>
        <v>0.93160211267605642</v>
      </c>
      <c r="M65" s="23">
        <f>SUM(M37:M64)</f>
        <v>0.9311973538503785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48574.557656295015</v>
      </c>
      <c r="J74" s="50">
        <f>J128*I$83</f>
        <v>3135.8807334880244</v>
      </c>
      <c r="K74" s="39">
        <f>B74/B$76</f>
        <v>6.915156967285789E-2</v>
      </c>
      <c r="L74" s="21">
        <f>(L128*G$37*F$9/F$7)/B$130</f>
        <v>5.9922548292357013E-2</v>
      </c>
      <c r="M74" s="23">
        <f>J74/B$76</f>
        <v>5.1119599854721316E-2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14393.794064071264</v>
      </c>
      <c r="K75" s="39">
        <f>B75/B$76</f>
        <v>0.40660681151273192</v>
      </c>
      <c r="L75" s="21">
        <f>(L129*G$37*F$9/F$7)/B$130</f>
        <v>0.22624242828174443</v>
      </c>
      <c r="M75" s="23">
        <f>J75/B$76</f>
        <v>0.23464061789370214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59048.999999999993</v>
      </c>
      <c r="J76" s="50">
        <f>J130*I$83</f>
        <v>57123.370474597607</v>
      </c>
      <c r="K76" s="39">
        <f>SUM(K70:K75)</f>
        <v>0.64688749782646493</v>
      </c>
      <c r="L76" s="21">
        <f>SUM(L70:L75)</f>
        <v>0.51492936011128476</v>
      </c>
      <c r="M76" s="23">
        <f>SUM(M70:M75)</f>
        <v>0.51452460128560684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0.8421830644550159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0.8421830644550159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0.7151515151515152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0.60606060606060608</v>
      </c>
      <c r="I98" s="21">
        <f t="shared" si="59"/>
        <v>0.34116729688254105</v>
      </c>
      <c r="J98" s="23">
        <f t="shared" si="60"/>
        <v>0.34116729688254105</v>
      </c>
      <c r="K98" s="21">
        <f t="shared" si="61"/>
        <v>0.56292603985619272</v>
      </c>
      <c r="L98" s="21">
        <f t="shared" si="62"/>
        <v>0.34116729688254105</v>
      </c>
      <c r="M98" s="225">
        <f t="shared" si="63"/>
        <v>0.34116729688254105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5.2462468004211367</v>
      </c>
      <c r="J119" s="23">
        <f>SUM(J91:J118)</f>
        <v>5.075162993135006</v>
      </c>
      <c r="K119" s="21">
        <f>SUM(K91:K118)</f>
        <v>8.992743486702679</v>
      </c>
      <c r="L119" s="21">
        <f>SUM(L91:L118)</f>
        <v>5.0773689884642792</v>
      </c>
      <c r="M119" s="56">
        <f t="shared" si="50"/>
        <v>5.075162993135006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4.3156381595998203</v>
      </c>
      <c r="J128" s="226">
        <f>(J30)</f>
        <v>0.27860936280993476</v>
      </c>
      <c r="K128" s="21">
        <f>(B128)</f>
        <v>0.62186232777085926</v>
      </c>
      <c r="L128" s="21">
        <f>IF(L124=L119,0,(L119-L124)/(B119-B124)*K128)</f>
        <v>0.32658673082589107</v>
      </c>
      <c r="M128" s="56">
        <f t="shared" si="90"/>
        <v>0.27860936280993476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1.2788259928966559</v>
      </c>
      <c r="K129" s="28">
        <f>(B129)</f>
        <v>3.6565107558800642</v>
      </c>
      <c r="L129" s="59">
        <f>IF(SUM(L124:L128)&gt;L130,0,L130-SUM(L124:L128))</f>
        <v>1.2330546202099728</v>
      </c>
      <c r="M129" s="56">
        <f t="shared" si="90"/>
        <v>1.2788259928966559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5.2462468004211367</v>
      </c>
      <c r="J130" s="226">
        <f>(J119)</f>
        <v>5.075162993135006</v>
      </c>
      <c r="K130" s="21">
        <f>(B130)</f>
        <v>8.992743486702679</v>
      </c>
      <c r="L130" s="21">
        <f>(L119)</f>
        <v>5.0773689884642792</v>
      </c>
      <c r="M130" s="56">
        <f t="shared" si="90"/>
        <v>5.075162993135006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'Q1'!A3</f>
        <v>Sources of Food : Q1 HHs</v>
      </c>
      <c r="C3" s="265"/>
      <c r="D3" s="265"/>
      <c r="E3" s="265"/>
      <c r="F3" s="243"/>
      <c r="G3" s="262" t="str">
        <f>'Q2'!A3</f>
        <v>Sources of Food : Q2 HHs</v>
      </c>
      <c r="H3" s="262"/>
      <c r="I3" s="262"/>
      <c r="J3" s="262"/>
      <c r="K3" s="244"/>
      <c r="L3" s="262" t="str">
        <f>'Q3'!A3</f>
        <v>Sources of Food : Q3 HHs</v>
      </c>
      <c r="M3" s="262"/>
      <c r="N3" s="262"/>
      <c r="O3" s="262"/>
      <c r="P3" s="262"/>
      <c r="Q3" s="245"/>
      <c r="R3" s="262" t="str">
        <f>'Q4'!A3</f>
        <v>Sources of Food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F50" workbookViewId="0">
      <selection activeCell="I95" sqref="I9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7" t="str">
        <f>'Q2'!A1</f>
        <v>ZA UP: 59899</v>
      </c>
      <c r="L2" s="267"/>
      <c r="M2" s="267"/>
      <c r="N2" s="267"/>
      <c r="O2" s="267"/>
      <c r="P2" s="267"/>
      <c r="Q2" s="267"/>
      <c r="R2" s="86"/>
      <c r="S2" s="86"/>
      <c r="T2" s="86"/>
      <c r="U2" s="86"/>
      <c r="V2" s="86"/>
    </row>
    <row r="3" spans="1:22" s="91" customFormat="1" ht="17">
      <c r="A3" s="89"/>
      <c r="B3" s="88"/>
      <c r="C3" s="268" t="str">
        <f>'Q1'!A34</f>
        <v>Income : Q1 HHs</v>
      </c>
      <c r="D3" s="268"/>
      <c r="E3" s="268"/>
      <c r="F3" s="89"/>
      <c r="G3" s="266" t="str">
        <f>'Q2'!A34</f>
        <v>Income : Q2 HHs</v>
      </c>
      <c r="H3" s="266"/>
      <c r="I3" s="266"/>
      <c r="J3" s="266"/>
      <c r="K3" s="88"/>
      <c r="L3" s="266" t="str">
        <f>'Q3'!A34</f>
        <v>Income : Q3 HHs</v>
      </c>
      <c r="M3" s="266"/>
      <c r="N3" s="266"/>
      <c r="O3" s="266"/>
      <c r="P3" s="266"/>
      <c r="Q3" s="90"/>
      <c r="R3" s="266" t="str">
        <f>'Q4'!A34</f>
        <v>Income : Q4 HHs</v>
      </c>
      <c r="S3" s="266"/>
      <c r="T3" s="266"/>
      <c r="U3" s="266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2471.4000000000005</v>
      </c>
      <c r="G78" s="108">
        <f>'Q2'!T13</f>
        <v>5963.7000000000007</v>
      </c>
      <c r="H78" s="108">
        <f>'Q3'!T13</f>
        <v>8760.3000000000011</v>
      </c>
      <c r="I78" s="108">
        <f>'Q4'!T13</f>
        <v>12697.8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5771.0637848357219</v>
      </c>
      <c r="H81" s="108">
        <f>'Q3'!T16</f>
        <v>7231.7890804763256</v>
      </c>
      <c r="I81" s="108">
        <f>'Q4'!T16</f>
        <v>9479.1704745976112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12092.64</v>
      </c>
      <c r="G85" s="108">
        <f>'Q2'!T20</f>
        <v>12092.64</v>
      </c>
      <c r="H85" s="108">
        <f>'Q3'!T20</f>
        <v>3596.6400000000003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21453.977506672112</v>
      </c>
      <c r="G88" s="108">
        <f>'Q2'!T23</f>
        <v>30178.541291507834</v>
      </c>
      <c r="H88" s="108">
        <f>'Q3'!T23</f>
        <v>38441.466587148439</v>
      </c>
      <c r="I88" s="108">
        <f>'Q4'!T23</f>
        <v>58463.307981269711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6938.9596206372225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23307.919620637222</v>
      </c>
      <c r="G100" s="237">
        <f t="shared" si="0"/>
        <v>14583.3558358015</v>
      </c>
      <c r="H100" s="237">
        <f t="shared" si="0"/>
        <v>6320.4305401608872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'Q1'!A67</f>
        <v>Expenditure : Q1 HHs</v>
      </c>
      <c r="C3" s="264"/>
      <c r="D3" s="264"/>
      <c r="E3" s="264"/>
      <c r="F3" s="248"/>
      <c r="G3" s="262" t="str">
        <f>'Q2'!A67</f>
        <v>Expenditure : Q2 HHs</v>
      </c>
      <c r="H3" s="262"/>
      <c r="I3" s="262"/>
      <c r="J3" s="262"/>
      <c r="K3" s="244"/>
      <c r="L3" s="262" t="str">
        <f>'Q3'!A67</f>
        <v>Expenditure : Q3 HHs</v>
      </c>
      <c r="M3" s="262"/>
      <c r="N3" s="262"/>
      <c r="O3" s="262"/>
      <c r="P3" s="262"/>
      <c r="Q3" s="245"/>
      <c r="R3" s="262" t="str">
        <f>'Q4'!A67</f>
        <v>Expenditure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2016-08-11T09:21:30Z</dcterms:modified>
  <cp:category/>
</cp:coreProperties>
</file>