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<sst xmlns="http://schemas.openxmlformats.org/spreadsheetml/2006/main" count="790" uniqueCount="145">
  <si>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</si>
  <si>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</si>
  <si>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</si>
  <si>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</si>
  <si>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</si>
  <si>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</si>
  <si>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</si>
  <si>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</si>
  <si>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</si>
  <si>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</si>
  <si>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</si>
  <si>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</si>
  <si>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</si>
  <si>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</si>
  <si>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</si>
  <si>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</si>
  <si>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</si>
  <si>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</si>
  <si>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</si>
  <si>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</si>
  <si>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</si>
  <si>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</si>
  <si>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</si>
  <si>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</si>
  <si>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</si>
  <si>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</si>
  <si>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</si>
  <si>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</si>
  <si>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</si>
  <si>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</si>
  <si>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</si>
  <si>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</si>
  <si>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</si>
  <si>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</si>
  <si>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</si>
  <si>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</si>
  <si>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</si>
  <si>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</si>
  <si>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</si>
  <si>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</si>
  <si>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</si>
  <si>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</si>
  <si>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</si>
  <si>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</si>
  <si>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</si>
  <si>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</si>
  <si>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</si>
  <si>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</si>
  <si>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</si>
  <si>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</si>
  <si>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</si>
  <si>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</si>
  <si>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</si>
  <si>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</si>
  <si>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</si>
  <si>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</si>
  <si>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</si>
  <si>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</si>
  <si>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</si>
  <si>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</si>
  <si>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</si>
  <si>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</si>
  <si>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</si>
  <si>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</si>
  <si>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</si>
  <si>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</si>
  <si>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</si>
  <si>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</si>
  <si>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</si>
  <si>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</si>
  <si>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</si>
  <si>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</si>
  <si>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</si>
  <si>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</si>
  <si>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</si>
  <si>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</si>
  <si>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</si>
  <si>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</si>
  <si>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</si>
  <si>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</si>
  <si>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</si>
  <si>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</si>
  <si>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</si>
  <si>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</si>
  <si>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</si>
  <si>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</si>
  <si>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</si>
  <si>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</si>
  <si>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</si>
  <si>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</si>
  <si>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</si>
  <si>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</si>
  <si>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</si>
  <si>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</si>
  <si>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</si>
  <si>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</si>
  <si>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</si>
  <si>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</si>
  <si>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</si>
  <si>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</si>
  <si>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</si>
  <si>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</si>
  <si>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</si>
  <si>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</si>
  <si>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</si>
  <si>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</si>
  <si>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</si>
  <si>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</si>
  <si>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</si>
  <si>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</si>
  <si>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</si>
  <si>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</si>
  <si>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</si>
  <si>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</si>
  <si>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</si>
  <si>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</si>
  <si>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</si>
  <si>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</si>
  <si>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</si>
  <si>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</si>
  <si>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</si>
  <si>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</si>
  <si>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</si>
  <si>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</si>
  <si>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</si>
  <si>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</si>
  <si>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</si>
  <si>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</si>
  <si>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</si>
  <si>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</si>
  <si>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</si>
  <si>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</si>
  <si>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</si>
  <si>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Q4 HHs</t>
  </si>
  <si>
    <t>Income : Q4 HHs</t>
  </si>
  <si>
    <t>Expenditure : Q4 HHs</t>
  </si>
  <si>
    <t>Sources of Food : Q3 HHs</t>
  </si>
  <si>
    <t>Income : Q3 HHs</t>
  </si>
  <si>
    <t>Expenditure : Q3 HHs</t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</si>
  <si>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</si>
  <si>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</si>
  <si>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</si>
  <si>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Sources of Food : Q1 HHs</t>
  </si>
  <si>
    <t>Income : Q1 HHs</t>
  </si>
  <si>
    <t>Expenditure : Q1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</si>
</sst>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3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520408"/>
        <c:axId val="-2061529928"/>
      </c:barChart>
      <c:catAx>
        <c:axId val="-206152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2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2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2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920024"/>
        <c:axId val="2093880696"/>
      </c:barChart>
      <c:catAx>
        <c:axId val="209392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88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88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92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701432"/>
        <c:axId val="2093704424"/>
      </c:barChart>
      <c:catAx>
        <c:axId val="209370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704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0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70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680440"/>
        <c:axId val="-2063677080"/>
      </c:barChart>
      <c:catAx>
        <c:axId val="-206368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7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67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8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555352"/>
        <c:axId val="-20635587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55352"/>
        <c:axId val="-2063558744"/>
      </c:lineChart>
      <c:catAx>
        <c:axId val="-206355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5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55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5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15"/>
          <c:order val="2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10"/>
          <c:order val="5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6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74088"/>
        <c:axId val="-2119270792"/>
      </c:barChart>
      <c:lineChart>
        <c:grouping val="standard"/>
        <c:varyColors val="0"/>
        <c:ser>
          <c:idx val="13"/>
          <c:order val="7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8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9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74088"/>
        <c:axId val="-2119270792"/>
      </c:lineChart>
      <c:catAx>
        <c:axId val="-211927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7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7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74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125425975096136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346088"/>
        <c:axId val="-21193491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6088"/>
        <c:axId val="-2119349160"/>
      </c:lineChart>
      <c:catAx>
        <c:axId val="-2119346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34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34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34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303416"/>
        <c:axId val="2093711048"/>
      </c:barChart>
      <c:catAx>
        <c:axId val="-21143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1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1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30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616808"/>
        <c:axId val="2093608360"/>
      </c:barChart>
      <c:catAx>
        <c:axId val="209361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60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60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61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533656"/>
        <c:axId val="2093537176"/>
      </c:barChart>
      <c:catAx>
        <c:axId val="209353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53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53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53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428312"/>
        <c:axId val="2093424504"/>
      </c:barChart>
      <c:catAx>
        <c:axId val="209342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2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42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2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835704"/>
        <c:axId val="-2061840424"/>
      </c:barChart>
      <c:catAx>
        <c:axId val="-206183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4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4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3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229016"/>
        <c:axId val="20932323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29016"/>
        <c:axId val="20932323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29016"/>
        <c:axId val="2093232376"/>
      </c:scatterChart>
      <c:catAx>
        <c:axId val="2093229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232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3232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229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106024"/>
        <c:axId val="20931046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06024"/>
        <c:axId val="2093104648"/>
      </c:lineChart>
      <c:catAx>
        <c:axId val="209310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104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3104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3106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53416"/>
        <c:axId val="-2096250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46536"/>
        <c:axId val="-2096243544"/>
      </c:scatterChart>
      <c:valAx>
        <c:axId val="-20962534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50136"/>
        <c:crosses val="autoZero"/>
        <c:crossBetween val="midCat"/>
      </c:valAx>
      <c:valAx>
        <c:axId val="-209625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53416"/>
        <c:crosses val="autoZero"/>
        <c:crossBetween val="midCat"/>
      </c:valAx>
      <c:valAx>
        <c:axId val="-20962465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6243544"/>
        <c:crosses val="autoZero"/>
        <c:crossBetween val="midCat"/>
      </c:valAx>
      <c:valAx>
        <c:axId val="-20962435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465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75512"/>
        <c:axId val="-211948728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75512"/>
        <c:axId val="-2119487288"/>
      </c:lineChart>
      <c:catAx>
        <c:axId val="-211947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487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487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4755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265448"/>
        <c:axId val="-2114272600"/>
      </c:barChart>
      <c:catAx>
        <c:axId val="-211426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27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7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26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542520"/>
        <c:axId val="-2114544872"/>
      </c:barChart>
      <c:catAx>
        <c:axId val="-21145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54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54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45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857816"/>
        <c:axId val="-2114854504"/>
      </c:barChart>
      <c:catAx>
        <c:axId val="-211485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854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485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85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33544"/>
        <c:axId val="-2063311160"/>
      </c:barChart>
      <c:catAx>
        <c:axId val="-2067133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311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331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3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431016"/>
        <c:axId val="-2062826280"/>
      </c:barChart>
      <c:catAx>
        <c:axId val="213843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826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82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3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708040"/>
        <c:axId val="-2062704152"/>
      </c:barChart>
      <c:catAx>
        <c:axId val="-206270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04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7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0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730824"/>
        <c:axId val="-2063727720"/>
      </c:barChart>
      <c:catAx>
        <c:axId val="-20637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72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72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73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2530.8000000000006</v>
      </c>
      <c r="T13" s="220">
        <f>IF($B$81=0,0,(SUMIF($N$6:$N$28,$U13,M$6:M$28)+SUMIF($N$91:$N$118,$U13,M$91:M$118))*$I$83*'Q2'!$B$81/$B$81)</f>
        <v>2530.8000000000006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8952.7375066721161</v>
      </c>
      <c r="T23" s="177">
        <f>SUM(T7:T22)</f>
        <v>9420.7375066721161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</v>
      </c>
      <c r="J30" s="229">
        <f>IF(I$32&lt;=1,I30,1-SUM(J6:J29))</f>
        <v>0</v>
      </c>
      <c r="K30" s="21">
        <f t="shared" si="4"/>
        <v>0.52537235996264009</v>
      </c>
      <c r="L30" s="21">
        <f>IF(L124=L119,0,IF(K30="",0,(L119-L124)/(B119-B124)*K30))</f>
        <v>0</v>
      </c>
      <c r="M30" s="173">
        <f t="shared" si="6"/>
        <v>0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10248.786287303885</v>
      </c>
      <c r="T30" s="232">
        <f t="shared" si="24"/>
        <v>9780.7862873038848</v>
      </c>
      <c r="V30" s="55"/>
      <c r="W30" s="109"/>
      <c r="X30" s="117"/>
      <c r="Y30" s="181">
        <f>M30*4</f>
        <v>0</v>
      </c>
      <c r="Z30" s="121">
        <f>IF($Y30=0,0,AA30/($Y$30))</f>
        <v>0</v>
      </c>
      <c r="AA30" s="185" t="e">
        <f>IF(AA79*4/$I$83+SUM(AA6:AA29)&lt;1,AA79*4/$I$83,1-SUM(AA6:AA29))</f>
        <v>#DIV/0!</v>
      </c>
      <c r="AB30" s="121">
        <f>IF($Y30=0,0,AC30/($Y$30))</f>
        <v>0</v>
      </c>
      <c r="AC30" s="185" t="e">
        <f>IF(AC79*4/$I$83+SUM(AC6:AC29)&lt;1,AC79*4/$I$83,1-SUM(AC6:AC29))</f>
        <v>#DIV/0!</v>
      </c>
      <c r="AD30" s="121">
        <f>IF($Y30=0,0,AE30/($Y$30))</f>
        <v>0</v>
      </c>
      <c r="AE30" s="185" t="e">
        <f>IF(AE79*4/$I$83+SUM(AE6:AE29)&lt;1,AE79*4/$I$83,1-SUM(AE6:AE29))</f>
        <v>#DIV/0!</v>
      </c>
      <c r="AF30" s="121">
        <f>IF($Y30=0,0,AG30/($Y$30))</f>
        <v>0</v>
      </c>
      <c r="AG30" s="185" t="e">
        <f>IF(AG79*4/$I$83+SUM(AG6:AG29)&lt;1,AG79*4/$I$83,1-SUM(AG6:AG29))</f>
        <v>#DIV/0!</v>
      </c>
      <c r="AH30" s="122">
        <f t="shared" si="12"/>
        <v>0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0.65631560701038394</v>
      </c>
      <c r="K31" s="21" t="str">
        <f t="shared" si="4"/>
        <v/>
      </c>
      <c r="L31" s="21">
        <f>(1-SUM(L6:L30))</f>
        <v>0.51828810215412446</v>
      </c>
      <c r="M31" s="239">
        <f t="shared" si="6"/>
        <v>0.65631560701038394</v>
      </c>
      <c r="N31" s="166">
        <f>M31*I83</f>
        <v>7387.1439435989087</v>
      </c>
      <c r="P31" s="21"/>
      <c r="Q31" s="236" t="s">
        <v>122</v>
      </c>
      <c r="R31" s="232">
        <f t="shared" si="24"/>
        <v>0</v>
      </c>
      <c r="S31" s="232">
        <f t="shared" si="24"/>
        <v>19440.199620637221</v>
      </c>
      <c r="T31" s="232">
        <f>IF(T25&gt;T$23,T25-T$23,0)</f>
        <v>18972.199620637221</v>
      </c>
      <c r="V31" s="55"/>
      <c r="W31" s="128" t="s">
        <v>72</v>
      </c>
      <c r="X31" s="129"/>
      <c r="Y31" s="120">
        <f>M31*4</f>
        <v>2.6252624280415358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0.34368439298961606</v>
      </c>
      <c r="J32" s="16"/>
      <c r="L32" s="21">
        <f>SUM(L6:L30)</f>
        <v>0.48171189784587554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35809.15962063722</v>
      </c>
      <c r="T32" s="232">
        <f t="shared" si="24"/>
        <v>35341.15962063722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-4.1916998821182796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11585.05567703831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0.53508771929824561</v>
      </c>
      <c r="L43" s="21">
        <f t="shared" si="34"/>
        <v>0</v>
      </c>
      <c r="M43" s="23">
        <f t="shared" si="35"/>
        <v>0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599.40000000000009</v>
      </c>
      <c r="J44" s="37">
        <f t="shared" si="32"/>
        <v>599.40000000000009</v>
      </c>
      <c r="K44" s="39">
        <f t="shared" si="33"/>
        <v>2.819548872180451E-2</v>
      </c>
      <c r="L44" s="21">
        <f t="shared" si="34"/>
        <v>3.1296992481203011E-2</v>
      </c>
      <c r="M44" s="23">
        <f t="shared" si="35"/>
        <v>3.1296992481203011E-2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149.85000000000002</v>
      </c>
      <c r="AB44" s="155">
        <f>'Q2'!AB44</f>
        <v>0.25</v>
      </c>
      <c r="AC44" s="146">
        <f t="shared" si="41"/>
        <v>149.85000000000002</v>
      </c>
      <c r="AD44" s="155">
        <f>'Q2'!AD44</f>
        <v>0.25</v>
      </c>
      <c r="AE44" s="146">
        <f t="shared" si="42"/>
        <v>149.85000000000002</v>
      </c>
      <c r="AF44" s="121">
        <f t="shared" si="29"/>
        <v>0.25</v>
      </c>
      <c r="AG44" s="146">
        <f t="shared" si="36"/>
        <v>149.85000000000002</v>
      </c>
      <c r="AH44" s="122">
        <f t="shared" si="37"/>
        <v>1</v>
      </c>
      <c r="AI44" s="111">
        <f t="shared" si="37"/>
        <v>599.40000000000009</v>
      </c>
      <c r="AJ44" s="147">
        <f t="shared" si="38"/>
        <v>299.70000000000005</v>
      </c>
      <c r="AK44" s="146">
        <f t="shared" si="39"/>
        <v>299.70000000000005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8080.7999999999993</v>
      </c>
      <c r="J65" s="38">
        <f>SUM(J37:J64)</f>
        <v>8080.7999999999993</v>
      </c>
      <c r="K65" s="39">
        <f>SUM(K37:K64)</f>
        <v>1</v>
      </c>
      <c r="L65" s="21">
        <f>SUM(L37:L64)</f>
        <v>0.39749373433583957</v>
      </c>
      <c r="M65" s="23">
        <f>SUM(M37:M64)</f>
        <v>0.42192982456140349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8080.8000000000011</v>
      </c>
      <c r="J70" s="50">
        <f t="shared" ref="J70:J77" si="44">J124*I$83</f>
        <v>8080.8000000000011</v>
      </c>
      <c r="K70" s="39">
        <f>B70/B$76</f>
        <v>0.39065082138773188</v>
      </c>
      <c r="L70" s="21">
        <f t="shared" ref="L70:L74" si="45">(L124*G$37*F$9/F$7)/B$130</f>
        <v>0.39749373433583962</v>
      </c>
      <c r="M70" s="23">
        <f>J70/B$76</f>
        <v>0.42192982456140354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2020.2000000000003</v>
      </c>
      <c r="AB70" s="155">
        <f>'Q2'!AB70</f>
        <v>0.25</v>
      </c>
      <c r="AC70" s="146">
        <f>$J70*AB70</f>
        <v>2020.2000000000003</v>
      </c>
      <c r="AD70" s="155">
        <f>'Q2'!AD70</f>
        <v>0.25</v>
      </c>
      <c r="AE70" s="146">
        <f>$J70*AD70</f>
        <v>2020.2000000000003</v>
      </c>
      <c r="AF70" s="155">
        <f>'Q2'!AF70</f>
        <v>0.25</v>
      </c>
      <c r="AG70" s="146">
        <f>$J70*AF70</f>
        <v>2020.2000000000003</v>
      </c>
      <c r="AH70" s="154">
        <f>SUM(Z70,AB70,AD70,AF70)</f>
        <v>1</v>
      </c>
      <c r="AI70" s="146">
        <f>SUM(AA70,AC70,AE70,AG70)</f>
        <v>8080.8000000000011</v>
      </c>
      <c r="AJ70" s="147">
        <f>(AA70+AC70)</f>
        <v>4040.4000000000005</v>
      </c>
      <c r="AK70" s="146">
        <f>(AE70+AG70)</f>
        <v>4040.4000000000005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0</v>
      </c>
      <c r="J71" s="50">
        <f t="shared" si="44"/>
        <v>0</v>
      </c>
      <c r="K71" s="39">
        <f t="shared" ref="K71:K72" si="47">B71/B$76</f>
        <v>0.40671122250069619</v>
      </c>
      <c r="L71" s="21">
        <f t="shared" si="45"/>
        <v>0</v>
      </c>
      <c r="M71" s="23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0</v>
      </c>
      <c r="J74" s="50">
        <f t="shared" si="44"/>
        <v>0</v>
      </c>
      <c r="K74" s="39">
        <f>B74/B$76</f>
        <v>0.18712549975618942</v>
      </c>
      <c r="L74" s="21">
        <f t="shared" si="45"/>
        <v>0</v>
      </c>
      <c r="M74" s="23">
        <f>J74/B$76</f>
        <v>0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8080.8000000000011</v>
      </c>
      <c r="J76" s="50">
        <f t="shared" si="44"/>
        <v>8080.8000000000011</v>
      </c>
      <c r="K76" s="39">
        <f>SUM(K70:K75)</f>
        <v>1.7388212946888948</v>
      </c>
      <c r="L76" s="21">
        <f>SUM(L70:L75)</f>
        <v>0.39749373433583962</v>
      </c>
      <c r="M76" s="23">
        <f>SUM(M70:M75)</f>
        <v>0.42192982456140354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11585.05567703831</v>
      </c>
      <c r="J77" s="99">
        <f t="shared" si="44"/>
        <v>11585.05567703831</v>
      </c>
      <c r="K77" s="39"/>
      <c r="L77" s="21">
        <f>-(L131*G$37*F$9/F$7)/B$130</f>
        <v>-0.60490056793224256</v>
      </c>
      <c r="M77" s="23">
        <f>-J77/B$76</f>
        <v>-0.60490056793224256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</v>
      </c>
      <c r="I97" s="21">
        <f t="shared" si="54"/>
        <v>0</v>
      </c>
      <c r="J97" s="23">
        <f t="shared" si="55"/>
        <v>0</v>
      </c>
      <c r="K97" s="21">
        <f t="shared" si="56"/>
        <v>1.5023088688662143</v>
      </c>
      <c r="L97" s="21">
        <f t="shared" si="57"/>
        <v>0</v>
      </c>
      <c r="M97" s="226">
        <f t="shared" si="49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0.67272727272727284</v>
      </c>
      <c r="I98" s="21">
        <f t="shared" si="54"/>
        <v>5.3254082747759154E-2</v>
      </c>
      <c r="J98" s="23">
        <f t="shared" si="55"/>
        <v>5.3254082747759154E-2</v>
      </c>
      <c r="K98" s="21">
        <f t="shared" si="56"/>
        <v>7.9161474354777106E-2</v>
      </c>
      <c r="L98" s="21">
        <f t="shared" si="57"/>
        <v>5.3254082747759154E-2</v>
      </c>
      <c r="M98" s="226">
        <f t="shared" si="49"/>
        <v>5.3254082747759154E-2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0.7179439303771975</v>
      </c>
      <c r="J119" s="23">
        <f>SUM(J91:J118)</f>
        <v>0.7179439303771975</v>
      </c>
      <c r="K119" s="21">
        <f>SUM(K91:K118)</f>
        <v>2.8075936237827617</v>
      </c>
      <c r="L119" s="21">
        <f>SUM(L91:L118)</f>
        <v>0.67636416606963778</v>
      </c>
      <c r="M119" s="56">
        <f t="shared" si="49"/>
        <v>0.7179439303771975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0.7179439303771975</v>
      </c>
      <c r="J124" s="235">
        <f>IF(SUMPRODUCT($B$124:$B124,$H$124:$H124)&lt;J$119,($B124*$H124),J$119)</f>
        <v>0.7179439303771975</v>
      </c>
      <c r="K124" s="28">
        <f>(B124)</f>
        <v>1.0967887552536943</v>
      </c>
      <c r="L124" s="28">
        <f>IF(SUMPRODUCT($B$124:$B124,$H$124:$H124)&lt;L$119,($B124*$H124),L$119)</f>
        <v>0.67636416606963778</v>
      </c>
      <c r="M124" s="238">
        <f t="shared" si="66"/>
        <v>0.7179439303771975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</v>
      </c>
      <c r="J128" s="226">
        <f>(J30)</f>
        <v>0</v>
      </c>
      <c r="K128" s="28">
        <f>(B128)</f>
        <v>0.52537235996264009</v>
      </c>
      <c r="L128" s="28">
        <f>IF(L124=L119,0,(L119-L124)/(B119-B124)*K128)</f>
        <v>0</v>
      </c>
      <c r="M128" s="238">
        <f t="shared" si="66"/>
        <v>0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0.7179439303771975</v>
      </c>
      <c r="J130" s="226">
        <f>(J119)</f>
        <v>0.7179439303771975</v>
      </c>
      <c r="K130" s="28">
        <f>(B130)</f>
        <v>2.8075936237827617</v>
      </c>
      <c r="L130" s="28">
        <f>(L119)</f>
        <v>0.67636416606963778</v>
      </c>
      <c r="M130" s="238">
        <f t="shared" si="66"/>
        <v>0.7179439303771975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1.0292818045752337</v>
      </c>
      <c r="J131" s="235">
        <f>IF(SUMPRODUCT($B124:$B125,$H124:$H125)&gt;(J119-J128),SUMPRODUCT($B124:$B125,$H124:$H125)+J128-J119,0)</f>
        <v>1.0292818045752337</v>
      </c>
      <c r="K131" s="28"/>
      <c r="L131" s="28">
        <f>IF(I131&lt;SUM(L126:L127),0,I131-(SUM(L126:L127)))</f>
        <v>1.0292818045752337</v>
      </c>
      <c r="M131" s="235">
        <f>IF(I131&lt;SUM(M126:M127),0,I131-(SUM(M126:M127)))</f>
        <v>1.0292818045752337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139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6147.1800000000012</v>
      </c>
      <c r="T13" s="220">
        <f>IF($B$81=0,0,(SUMIF($N$6:$N$28,$U13,M$6:M$28)+SUMIF($N$91:$N$118,$U13,M$91:M$118))*$I$83*'Q2'!$B$81/$B$81)</f>
        <v>6147.1800000000012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6552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17958.317506672116</v>
      </c>
      <c r="T23" s="177">
        <f>SUM(T7:T22)</f>
        <v>19050.317506672112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15">
        <v>0.25</v>
      </c>
      <c r="AA27" s="120">
        <f t="shared" si="16"/>
        <v>0</v>
      </c>
      <c r="AB27" s="115">
        <v>0.25</v>
      </c>
      <c r="AC27" s="120">
        <f t="shared" si="7"/>
        <v>0</v>
      </c>
      <c r="AD27" s="115"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15">
        <v>0.25</v>
      </c>
      <c r="AA29" s="120">
        <f t="shared" si="16"/>
        <v>0.22463677394199705</v>
      </c>
      <c r="AB29" s="115">
        <v>0.25</v>
      </c>
      <c r="AC29" s="120">
        <f t="shared" si="7"/>
        <v>0.22463677394199705</v>
      </c>
      <c r="AD29" s="115"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0.64288158609603208</v>
      </c>
      <c r="J30" s="229">
        <f>IF(I$32&lt;=1,I30,1-SUM(J6:J29))</f>
        <v>0.64288158609603208</v>
      </c>
      <c r="K30" s="21">
        <f t="shared" si="4"/>
        <v>0.55751374053549196</v>
      </c>
      <c r="L30" s="21">
        <f>IF(L124=L119,0,IF(K30="",0,(L119-L124)/(B119-B124)*K30))</f>
        <v>9.3535796921425426E-2</v>
      </c>
      <c r="M30" s="173">
        <f t="shared" si="6"/>
        <v>0.64288158609603208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1243.2062873038849</v>
      </c>
      <c r="T30" s="232">
        <f t="shared" si="50"/>
        <v>151.20628730388853</v>
      </c>
      <c r="V30" s="55"/>
      <c r="W30" s="109"/>
      <c r="X30" s="117"/>
      <c r="Y30" s="181">
        <f>M30*4</f>
        <v>2.5715263443841283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1.3434020914351863E-2</v>
      </c>
      <c r="K31" s="21" t="str">
        <f t="shared" si="4"/>
        <v/>
      </c>
      <c r="L31" s="21">
        <f>(1-SUM(L6:L30))</f>
        <v>0.42633115376943631</v>
      </c>
      <c r="M31" s="176">
        <f t="shared" si="6"/>
        <v>1.3434020914351863E-2</v>
      </c>
      <c r="N31" s="166">
        <f>M31*I83</f>
        <v>151.20628730388447</v>
      </c>
      <c r="P31" s="21"/>
      <c r="Q31" s="236" t="s">
        <v>122</v>
      </c>
      <c r="R31" s="232">
        <f t="shared" si="50"/>
        <v>0</v>
      </c>
      <c r="S31" s="232">
        <f t="shared" si="50"/>
        <v>10434.619620637219</v>
      </c>
      <c r="T31" s="232">
        <f>IF(T25&gt;T$23,T25-T$23,0)</f>
        <v>9342.6196206372224</v>
      </c>
      <c r="V31" s="55"/>
      <c r="W31" s="128" t="s">
        <v>72</v>
      </c>
      <c r="X31" s="129"/>
      <c r="Y31" s="120">
        <f>M31*4</f>
        <v>5.3736083657407452E-2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0.98656597908564814</v>
      </c>
      <c r="J32" s="16"/>
      <c r="L32" s="21">
        <f>SUM(L6:L30)</f>
        <v>0.57366884623056369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26803.579620637218</v>
      </c>
      <c r="T32" s="232">
        <f t="shared" si="50"/>
        <v>25711.579620637222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1.3288465848163067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140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9191.4133333333357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31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31">
        <v>0.5</v>
      </c>
      <c r="F38" s="231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31">
        <v>0.8</v>
      </c>
      <c r="F39" s="231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31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31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6552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0.22078447230084916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6552</v>
      </c>
      <c r="AH41" s="122">
        <f t="shared" si="61"/>
        <v>1</v>
      </c>
      <c r="AI41" s="111">
        <f t="shared" si="61"/>
        <v>6552</v>
      </c>
      <c r="AJ41" s="147">
        <f t="shared" si="62"/>
        <v>0</v>
      </c>
      <c r="AK41" s="146">
        <f t="shared" si="63"/>
        <v>6552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31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0</v>
      </c>
      <c r="F43" s="231">
        <v>1.18</v>
      </c>
      <c r="G43" s="21">
        <f t="shared" si="59"/>
        <v>1.65</v>
      </c>
      <c r="H43" s="23">
        <f t="shared" si="51"/>
        <v>0</v>
      </c>
      <c r="I43" s="38">
        <f t="shared" si="52"/>
        <v>0</v>
      </c>
      <c r="J43" s="37">
        <f t="shared" si="53"/>
        <v>0</v>
      </c>
      <c r="K43" s="39">
        <f t="shared" si="54"/>
        <v>0.34532955923978975</v>
      </c>
      <c r="L43" s="21">
        <f t="shared" si="55"/>
        <v>0</v>
      </c>
      <c r="M43" s="23">
        <f t="shared" si="56"/>
        <v>0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0</v>
      </c>
      <c r="AB43" s="115">
        <v>0.25</v>
      </c>
      <c r="AC43" s="146">
        <f t="shared" si="65"/>
        <v>0</v>
      </c>
      <c r="AD43" s="115">
        <v>0.25</v>
      </c>
      <c r="AE43" s="146">
        <f t="shared" si="66"/>
        <v>0</v>
      </c>
      <c r="AF43" s="121">
        <f t="shared" si="57"/>
        <v>0.25</v>
      </c>
      <c r="AG43" s="146">
        <f t="shared" si="60"/>
        <v>0</v>
      </c>
      <c r="AH43" s="122">
        <f t="shared" si="61"/>
        <v>1</v>
      </c>
      <c r="AI43" s="111">
        <f t="shared" si="61"/>
        <v>0</v>
      </c>
      <c r="AJ43" s="147">
        <f t="shared" si="62"/>
        <v>0</v>
      </c>
      <c r="AK43" s="146">
        <f t="shared" si="63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31">
        <v>1.1100000000000001</v>
      </c>
      <c r="G44" s="21">
        <f t="shared" si="59"/>
        <v>1.65</v>
      </c>
      <c r="H44" s="23">
        <f t="shared" si="51"/>
        <v>1.1100000000000001</v>
      </c>
      <c r="I44" s="38">
        <f t="shared" si="52"/>
        <v>1851.4800000000002</v>
      </c>
      <c r="J44" s="37">
        <f t="shared" si="53"/>
        <v>1851.4800000000002</v>
      </c>
      <c r="K44" s="39">
        <f t="shared" si="54"/>
        <v>5.6207035988677718E-2</v>
      </c>
      <c r="L44" s="21">
        <f t="shared" si="55"/>
        <v>6.2389809947432276E-2</v>
      </c>
      <c r="M44" s="23">
        <f t="shared" si="56"/>
        <v>6.2389809947432276E-2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462.87000000000006</v>
      </c>
      <c r="AB44" s="115">
        <v>0.25</v>
      </c>
      <c r="AC44" s="146">
        <f t="shared" si="65"/>
        <v>462.87000000000006</v>
      </c>
      <c r="AD44" s="115">
        <v>0.25</v>
      </c>
      <c r="AE44" s="146">
        <f t="shared" si="66"/>
        <v>462.87000000000006</v>
      </c>
      <c r="AF44" s="121">
        <f t="shared" si="57"/>
        <v>0.25</v>
      </c>
      <c r="AG44" s="146">
        <f t="shared" si="60"/>
        <v>462.87000000000006</v>
      </c>
      <c r="AH44" s="122">
        <f t="shared" si="61"/>
        <v>1</v>
      </c>
      <c r="AI44" s="111">
        <f t="shared" si="61"/>
        <v>1851.4800000000002</v>
      </c>
      <c r="AJ44" s="147">
        <f t="shared" si="62"/>
        <v>925.74000000000012</v>
      </c>
      <c r="AK44" s="146">
        <f t="shared" si="63"/>
        <v>925.74000000000012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31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31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17710.38</v>
      </c>
      <c r="J65" s="38">
        <f>SUM(J37:J64)</f>
        <v>17710.379999999997</v>
      </c>
      <c r="K65" s="39">
        <f>SUM(K37:K64)</f>
        <v>1</v>
      </c>
      <c r="L65" s="21">
        <f>SUM(L37:L64)</f>
        <v>0.55999393449251922</v>
      </c>
      <c r="M65" s="23">
        <f>SUM(M37:M64)</f>
        <v>0.59679134654266075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141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7235.9376562950247</v>
      </c>
      <c r="J71" s="50">
        <f t="shared" si="75"/>
        <v>7235.9376562950247</v>
      </c>
      <c r="K71" s="39">
        <f t="shared" ref="K71:K72" si="78">B71/B$76</f>
        <v>0.2624792200206677</v>
      </c>
      <c r="L71" s="21">
        <f t="shared" si="76"/>
        <v>0.20703388786544763</v>
      </c>
      <c r="M71" s="23">
        <f t="shared" ref="M71:M72" si="79">J71/B$76</f>
        <v>0.24383129991558919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0</v>
      </c>
      <c r="K72" s="39">
        <f t="shared" si="78"/>
        <v>0.46744844318641326</v>
      </c>
      <c r="L72" s="21">
        <f t="shared" si="76"/>
        <v>0</v>
      </c>
      <c r="M72" s="23">
        <f t="shared" si="79"/>
        <v>0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7235.9376562950247</v>
      </c>
      <c r="J74" s="50">
        <f t="shared" si="75"/>
        <v>7235.9376562950247</v>
      </c>
      <c r="K74" s="39">
        <f>B74/B$76</f>
        <v>0.12815338994473646</v>
      </c>
      <c r="L74" s="21">
        <f t="shared" si="76"/>
        <v>3.5476136578260743E-2</v>
      </c>
      <c r="M74" s="23">
        <f>J74/B$76</f>
        <v>0.24383129991558919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0</v>
      </c>
      <c r="K75" s="39">
        <f>B75/B$76</f>
        <v>0</v>
      </c>
      <c r="L75" s="21">
        <f t="shared" si="76"/>
        <v>0</v>
      </c>
      <c r="M75" s="23">
        <f>J75/B$76</f>
        <v>0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17710.38</v>
      </c>
      <c r="J76" s="50">
        <f t="shared" si="75"/>
        <v>17710.38</v>
      </c>
      <c r="K76" s="39">
        <f>SUM(K70:K75)</f>
        <v>1.1495200790049596</v>
      </c>
      <c r="L76" s="21">
        <f>SUM(L70:L75)</f>
        <v>0.59547007107077987</v>
      </c>
      <c r="M76" s="23">
        <f>SUM(M70:M75)</f>
        <v>0.84062264645824991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9191.4133333333357</v>
      </c>
      <c r="K77" s="39"/>
      <c r="L77" s="21">
        <f>-(L131*G$37*F$9/F$7)/B$130</f>
        <v>-0.30972547962438796</v>
      </c>
      <c r="M77" s="23">
        <f>-J77/B$76</f>
        <v>-0.3097254796243879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0.58211670030583573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0.58211670030583573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</v>
      </c>
      <c r="I97" s="21">
        <f t="shared" si="88"/>
        <v>0</v>
      </c>
      <c r="J97" s="23">
        <f t="shared" si="89"/>
        <v>0</v>
      </c>
      <c r="K97" s="21">
        <f t="shared" si="90"/>
        <v>1.5023088688662143</v>
      </c>
      <c r="L97" s="21">
        <f t="shared" si="91"/>
        <v>0</v>
      </c>
      <c r="M97" s="225">
        <f t="shared" si="9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0.67272727272727284</v>
      </c>
      <c r="I98" s="21">
        <f t="shared" si="88"/>
        <v>0.16449594448752272</v>
      </c>
      <c r="J98" s="23">
        <f t="shared" si="89"/>
        <v>0.16449594448752272</v>
      </c>
      <c r="K98" s="21">
        <f t="shared" si="90"/>
        <v>0.24452099856253373</v>
      </c>
      <c r="L98" s="21">
        <f t="shared" si="91"/>
        <v>0.16449594448752272</v>
      </c>
      <c r="M98" s="225">
        <f t="shared" si="92"/>
        <v>0.16449594448752272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1.5734902269173485</v>
      </c>
      <c r="J119" s="23">
        <f>SUM(J91:J118)</f>
        <v>1.5734902269173485</v>
      </c>
      <c r="K119" s="21">
        <f>SUM(K91:K118)</f>
        <v>4.35036280176364</v>
      </c>
      <c r="L119" s="21">
        <f>SUM(L91:L118)</f>
        <v>1.4764707768663758</v>
      </c>
      <c r="M119" s="56">
        <f t="shared" si="80"/>
        <v>1.5734902269173485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0.64288158609603208</v>
      </c>
      <c r="J125" s="235">
        <f>IF(SUMPRODUCT($B$124:$B125,$H$124:$H125)&lt;J$119,($B125*$H125),IF(SUMPRODUCT($B$124:$B124,$H$124:$H124)&lt;J$119,J$119-SUMPRODUCT($B$124:$B124,$H$124:$H124),0))</f>
        <v>0.64288158609603208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0.5458621360450594</v>
      </c>
      <c r="M125" s="238">
        <f t="shared" si="93"/>
        <v>0.64288158609603208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0.64288158609603208</v>
      </c>
      <c r="J128" s="226">
        <f>(J30)</f>
        <v>0.64288158609603208</v>
      </c>
      <c r="K128" s="28">
        <f>(B128)</f>
        <v>0.55751374053549196</v>
      </c>
      <c r="L128" s="28">
        <f>IF(L124=L119,0,(L119-L124)/(B119-B124)*K128)</f>
        <v>9.3535796921425426E-2</v>
      </c>
      <c r="M128" s="238">
        <f t="shared" si="93"/>
        <v>0.64288158609603208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1.5734902269173485</v>
      </c>
      <c r="J130" s="226">
        <f>(J119)</f>
        <v>1.5734902269173485</v>
      </c>
      <c r="K130" s="28">
        <f>(B130)</f>
        <v>4.35036280176364</v>
      </c>
      <c r="L130" s="28">
        <f>(L119)</f>
        <v>1.4764707768663758</v>
      </c>
      <c r="M130" s="238">
        <f t="shared" si="93"/>
        <v>1.5734902269173485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0.81661709413111483</v>
      </c>
      <c r="K131" s="28"/>
      <c r="L131" s="28">
        <f>IF(I131&lt;SUM(L126:L127),0,I131-(SUM(L126:L127)))</f>
        <v>0.81661709413111483</v>
      </c>
      <c r="M131" s="235">
        <f>IF(I131&lt;SUM(M126:M127),0,I131-(SUM(M126:M127)))</f>
        <v>0.81661709413111483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0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136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9024.3000000000011</v>
      </c>
      <c r="T13" s="220">
        <f>IF($B$81=0,0,(SUMIF($N$6:$N$28,$U13,M$6:M$28)+SUMIF($N$91:$N$118,$U13,M$91:M$118))*$I$83*'Q2'!$B$81/$B$81)</f>
        <v>9024.3000000000011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7295.0429868591054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34897.037506672117</v>
      </c>
      <c r="T23" s="177">
        <f>SUM(T7:T22)</f>
        <v>35172.080493531219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2.1319053794898419E-2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2.1319053794898419E-2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8.5276215179593676E-2</v>
      </c>
      <c r="Z27" s="155">
        <f>'Q2'!Z27</f>
        <v>0.25</v>
      </c>
      <c r="AA27" s="120">
        <f t="shared" si="16"/>
        <v>2.1319053794898419E-2</v>
      </c>
      <c r="AB27" s="155">
        <f>'Q2'!AB27</f>
        <v>0.25</v>
      </c>
      <c r="AC27" s="120">
        <f t="shared" si="7"/>
        <v>2.1319053794898419E-2</v>
      </c>
      <c r="AD27" s="155">
        <f>'Q2'!AD27</f>
        <v>0.25</v>
      </c>
      <c r="AE27" s="120">
        <f t="shared" si="8"/>
        <v>2.1319053794898419E-2</v>
      </c>
      <c r="AF27" s="121">
        <f t="shared" si="10"/>
        <v>0.25</v>
      </c>
      <c r="AG27" s="120">
        <f t="shared" si="11"/>
        <v>2.1319053794898419E-2</v>
      </c>
      <c r="AH27" s="122">
        <f t="shared" si="12"/>
        <v>1</v>
      </c>
      <c r="AI27" s="181">
        <f t="shared" si="13"/>
        <v>2.1319053794898419E-2</v>
      </c>
      <c r="AJ27" s="119">
        <f t="shared" si="14"/>
        <v>2.1319053794898419E-2</v>
      </c>
      <c r="AK27" s="118">
        <f t="shared" si="15"/>
        <v>2.1319053794898419E-2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0.40896140501511863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0.40896140501511863</v>
      </c>
      <c r="N29" s="227"/>
      <c r="P29" s="21"/>
      <c r="V29" s="55"/>
      <c r="W29" s="109"/>
      <c r="X29" s="117"/>
      <c r="Y29" s="181">
        <f t="shared" si="9"/>
        <v>1.6358456200604745</v>
      </c>
      <c r="Z29" s="155">
        <f>'Q2'!Z29</f>
        <v>0.25</v>
      </c>
      <c r="AA29" s="120">
        <f t="shared" si="16"/>
        <v>0.40896140501511863</v>
      </c>
      <c r="AB29" s="155">
        <f>'Q2'!AB29</f>
        <v>0.25</v>
      </c>
      <c r="AC29" s="120">
        <f t="shared" si="7"/>
        <v>0.40896140501511863</v>
      </c>
      <c r="AD29" s="155">
        <f>'Q2'!AD29</f>
        <v>0.25</v>
      </c>
      <c r="AE29" s="120">
        <f t="shared" si="8"/>
        <v>0.40896140501511863</v>
      </c>
      <c r="AF29" s="121">
        <f t="shared" si="10"/>
        <v>0.25</v>
      </c>
      <c r="AG29" s="120">
        <f t="shared" si="11"/>
        <v>0.40896140501511863</v>
      </c>
      <c r="AH29" s="122">
        <f t="shared" si="12"/>
        <v>1</v>
      </c>
      <c r="AI29" s="181">
        <f t="shared" si="13"/>
        <v>0.40896140501511863</v>
      </c>
      <c r="AJ29" s="119">
        <f t="shared" si="14"/>
        <v>0.40896140501511863</v>
      </c>
      <c r="AK29" s="118">
        <f t="shared" si="15"/>
        <v>0.40896140501511863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2.1755330214287376</v>
      </c>
      <c r="J30" s="229">
        <f>IF(I$32&lt;=1,I30,1-SUM(J6:J29))</f>
        <v>0.45067192214236385</v>
      </c>
      <c r="K30" s="21">
        <f t="shared" si="4"/>
        <v>0.57900237422166878</v>
      </c>
      <c r="L30" s="21">
        <f>IF(L124=L119,0,IF(K30="",0,(L119-L124)/(B119-B124)*K30))</f>
        <v>0.2494881997055009</v>
      </c>
      <c r="M30" s="173">
        <f t="shared" si="6"/>
        <v>0.45067192214236385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1.8026876885694554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0.15108362769768946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2.5192174144183537</v>
      </c>
      <c r="J32" s="16"/>
      <c r="L32" s="21">
        <f>SUM(L6:L30)</f>
        <v>0.84891637230231054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9864.8596206372094</v>
      </c>
      <c r="T32" s="232">
        <f t="shared" si="24"/>
        <v>9589.8166337781076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0.19589956328996203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137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7295.0429868591054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0.18261347218531854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7295.0429868591054</v>
      </c>
      <c r="AH41" s="122">
        <f t="shared" si="37"/>
        <v>1</v>
      </c>
      <c r="AI41" s="111">
        <f t="shared" si="37"/>
        <v>7295.0429868591054</v>
      </c>
      <c r="AJ41" s="147">
        <f t="shared" si="38"/>
        <v>0</v>
      </c>
      <c r="AK41" s="146">
        <f t="shared" si="39"/>
        <v>7295.0429868591054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7.6299188945629329E-2</v>
      </c>
      <c r="L43" s="21">
        <f t="shared" si="34"/>
        <v>0</v>
      </c>
      <c r="M43" s="23">
        <f t="shared" si="35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2664.0000000000005</v>
      </c>
      <c r="J44" s="37">
        <f t="shared" si="32"/>
        <v>2664</v>
      </c>
      <c r="K44" s="39">
        <f t="shared" si="33"/>
        <v>6.0078101531991591E-2</v>
      </c>
      <c r="L44" s="21">
        <f t="shared" si="34"/>
        <v>6.6686692700510669E-2</v>
      </c>
      <c r="M44" s="23">
        <f t="shared" si="35"/>
        <v>6.6686692700510669E-2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666</v>
      </c>
      <c r="AB44" s="155">
        <f>'Q2'!AB44</f>
        <v>0.25</v>
      </c>
      <c r="AC44" s="146">
        <f t="shared" si="41"/>
        <v>666</v>
      </c>
      <c r="AD44" s="155">
        <f>'Q2'!AD44</f>
        <v>0.25</v>
      </c>
      <c r="AE44" s="146">
        <f t="shared" si="42"/>
        <v>666</v>
      </c>
      <c r="AF44" s="121">
        <f t="shared" si="29"/>
        <v>0.25</v>
      </c>
      <c r="AG44" s="146">
        <f t="shared" si="36"/>
        <v>666</v>
      </c>
      <c r="AH44" s="122">
        <f t="shared" si="37"/>
        <v>1</v>
      </c>
      <c r="AI44" s="111">
        <f t="shared" si="37"/>
        <v>2664</v>
      </c>
      <c r="AJ44" s="147">
        <f t="shared" si="38"/>
        <v>1332</v>
      </c>
      <c r="AK44" s="146">
        <f t="shared" si="39"/>
        <v>1332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34961.1</v>
      </c>
      <c r="J65" s="38">
        <f>SUM(J37:J64)</f>
        <v>33832.142986859108</v>
      </c>
      <c r="K65" s="39">
        <f>SUM(K37:K64)</f>
        <v>1</v>
      </c>
      <c r="L65" s="21">
        <f>SUM(L37:L64)</f>
        <v>0.84001952538299784</v>
      </c>
      <c r="M65" s="23">
        <f>SUM(M37:M64)</f>
        <v>0.84690455058724101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138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9093.7607316872181</v>
      </c>
      <c r="K72" s="39">
        <f t="shared" si="47"/>
        <v>0.34725142685491139</v>
      </c>
      <c r="L72" s="21">
        <f t="shared" si="45"/>
        <v>0.27743907365571896</v>
      </c>
      <c r="M72" s="23">
        <f t="shared" si="48"/>
        <v>0.22763995022747618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24486.657656295025</v>
      </c>
      <c r="J74" s="50">
        <f t="shared" si="44"/>
        <v>5072.5265781335738</v>
      </c>
      <c r="K74" s="39">
        <f>B74/B$76</f>
        <v>9.8870149079307149E-2</v>
      </c>
      <c r="L74" s="21">
        <f t="shared" si="45"/>
        <v>7.029408752786194E-2</v>
      </c>
      <c r="M74" s="23">
        <f>J74/B$76</f>
        <v>0.12697823616034778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34961.1</v>
      </c>
      <c r="J76" s="50">
        <f t="shared" si="44"/>
        <v>33832.142986859108</v>
      </c>
      <c r="K76" s="39">
        <f>SUM(K70:K75)</f>
        <v>1</v>
      </c>
      <c r="L76" s="21">
        <f>SUM(L70:L75)</f>
        <v>0.84001952538299784</v>
      </c>
      <c r="M76" s="23">
        <f>SUM(M70:M75)</f>
        <v>0.84690455058724101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0.64813283762204676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0.64813283762204676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</v>
      </c>
      <c r="I97" s="21">
        <f t="shared" si="58"/>
        <v>0</v>
      </c>
      <c r="J97" s="23">
        <f t="shared" si="59"/>
        <v>0</v>
      </c>
      <c r="K97" s="21">
        <f t="shared" si="60"/>
        <v>0.44682254413585304</v>
      </c>
      <c r="L97" s="21">
        <f t="shared" si="61"/>
        <v>0</v>
      </c>
      <c r="M97" s="225">
        <f t="shared" si="6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0.67272727272727284</v>
      </c>
      <c r="I98" s="21">
        <f t="shared" si="58"/>
        <v>0.23668481221226287</v>
      </c>
      <c r="J98" s="23">
        <f t="shared" si="59"/>
        <v>0.23668481221226287</v>
      </c>
      <c r="K98" s="21">
        <f t="shared" si="60"/>
        <v>0.35182877491012043</v>
      </c>
      <c r="L98" s="21">
        <f t="shared" si="61"/>
        <v>0.23668481221226287</v>
      </c>
      <c r="M98" s="225">
        <f t="shared" si="62"/>
        <v>0.23668481221226287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3.1061416622500539</v>
      </c>
      <c r="J119" s="23">
        <f>SUM(J91:J118)</f>
        <v>3.0058387423360262</v>
      </c>
      <c r="K119" s="21">
        <f>SUM(K91:K118)</f>
        <v>5.8561899583789554</v>
      </c>
      <c r="L119" s="21">
        <f>SUM(L91:L118)</f>
        <v>2.981402369327375</v>
      </c>
      <c r="M119" s="56">
        <f t="shared" si="49"/>
        <v>3.0058387423360262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0.80794108524123098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0.98468843466944289</v>
      </c>
      <c r="M126" s="56">
        <f t="shared" si="65"/>
        <v>0.80794108524123098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2.1755330214287376</v>
      </c>
      <c r="J128" s="226">
        <f>(J30)</f>
        <v>0.45067192214236385</v>
      </c>
      <c r="K128" s="21">
        <f>(B128)</f>
        <v>0.57900237422166878</v>
      </c>
      <c r="L128" s="21">
        <f>IF(L124=L119,0,(L119-L124)/(B119-B124)*K128)</f>
        <v>0.2494881997055009</v>
      </c>
      <c r="M128" s="56">
        <f t="shared" si="63"/>
        <v>0.45067192214236385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3.1061416622500539</v>
      </c>
      <c r="J130" s="226">
        <f>(J119)</f>
        <v>3.0058387423360262</v>
      </c>
      <c r="K130" s="21">
        <f>(B130)</f>
        <v>5.8561899583789554</v>
      </c>
      <c r="L130" s="21">
        <f>(L119)</f>
        <v>2.981402369327375</v>
      </c>
      <c r="M130" s="56">
        <f t="shared" si="63"/>
        <v>3.0058387423360262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8.6760088898838461E-3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13120.200000000003</v>
      </c>
      <c r="T13" s="220">
        <f>IF($B$81=0,0,(SUMIF($N$6:$N$28,$U13,M$6:M$28)+SUMIF($N$91:$N$118,$U13,M$91:M$118))*$I$83*'Q2'!$B$81/$B$81)</f>
        <v>13120.200000000003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9477.7431265203286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58910.53750667211</v>
      </c>
      <c r="T23" s="177">
        <f>SUM(T7:T22)</f>
        <v>58884.280633192437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6.7197906799030871E-2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6.7197906799030871E-2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0.26879162719612348</v>
      </c>
      <c r="Z27" s="155">
        <f>'Q2'!Z27</f>
        <v>0.25</v>
      </c>
      <c r="AA27" s="120">
        <f t="shared" si="16"/>
        <v>6.7197906799030871E-2</v>
      </c>
      <c r="AB27" s="155">
        <f>'Q2'!AB27</f>
        <v>0.25</v>
      </c>
      <c r="AC27" s="120">
        <f t="shared" si="7"/>
        <v>6.7197906799030871E-2</v>
      </c>
      <c r="AD27" s="155">
        <f>'Q2'!AD27</f>
        <v>0.25</v>
      </c>
      <c r="AE27" s="120">
        <f t="shared" si="8"/>
        <v>6.7197906799030871E-2</v>
      </c>
      <c r="AF27" s="121">
        <f t="shared" si="10"/>
        <v>0.25</v>
      </c>
      <c r="AG27" s="120">
        <f t="shared" si="11"/>
        <v>6.7197906799030871E-2</v>
      </c>
      <c r="AH27" s="122">
        <f t="shared" si="12"/>
        <v>1</v>
      </c>
      <c r="AI27" s="181">
        <f t="shared" si="13"/>
        <v>6.7197906799030871E-2</v>
      </c>
      <c r="AJ27" s="119">
        <f t="shared" si="14"/>
        <v>6.7197906799030871E-2</v>
      </c>
      <c r="AK27" s="118">
        <f t="shared" si="15"/>
        <v>6.7197906799030871E-2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0.53542508123083432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0.53542508123083432</v>
      </c>
      <c r="N29" s="227"/>
      <c r="P29" s="21"/>
      <c r="V29" s="55"/>
      <c r="W29" s="109"/>
      <c r="X29" s="117"/>
      <c r="Y29" s="181">
        <f t="shared" si="9"/>
        <v>2.1417003249233373</v>
      </c>
      <c r="Z29" s="155">
        <f>'Q2'!Z29</f>
        <v>0.25</v>
      </c>
      <c r="AA29" s="120">
        <f t="shared" si="16"/>
        <v>0.53542508123083432</v>
      </c>
      <c r="AB29" s="155">
        <f>'Q2'!AB29</f>
        <v>0.25</v>
      </c>
      <c r="AC29" s="120">
        <f t="shared" si="7"/>
        <v>0.53542508123083432</v>
      </c>
      <c r="AD29" s="155">
        <f>'Q2'!AD29</f>
        <v>0.25</v>
      </c>
      <c r="AE29" s="120">
        <f t="shared" si="8"/>
        <v>0.53542508123083432</v>
      </c>
      <c r="AF29" s="121">
        <f t="shared" si="10"/>
        <v>0.25</v>
      </c>
      <c r="AG29" s="120">
        <f t="shared" si="11"/>
        <v>0.53542508123083432</v>
      </c>
      <c r="AH29" s="122">
        <f t="shared" si="12"/>
        <v>1</v>
      </c>
      <c r="AI29" s="181">
        <f t="shared" si="13"/>
        <v>0.53542508123083432</v>
      </c>
      <c r="AJ29" s="119">
        <f t="shared" si="14"/>
        <v>0.53542508123083432</v>
      </c>
      <c r="AK29" s="118">
        <f t="shared" si="15"/>
        <v>0.53542508123083432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4.3531665622568996</v>
      </c>
      <c r="J30" s="229">
        <f>IF(I$32&lt;=1,I30,1-SUM(J6:J29))</f>
        <v>0.27832939292251579</v>
      </c>
      <c r="K30" s="21">
        <f t="shared" si="4"/>
        <v>0.62186232777085926</v>
      </c>
      <c r="L30" s="21">
        <f>IF(L124=L119,0,IF(K30="",0,(L119-L124)/(B119-B124)*K30))</f>
        <v>0.32954235818541761</v>
      </c>
      <c r="M30" s="173">
        <f t="shared" si="6"/>
        <v>0.27832939292251579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1.1133175716900632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-4.6062761168279343E-2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4.6968509552465161</v>
      </c>
      <c r="J32" s="16"/>
      <c r="L32" s="21">
        <f>SUM(L6:L30)</f>
        <v>1.0460627611682793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-1.3813590845786631E-2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9477.7431265203286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0.1545015507061869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9477.7431265203286</v>
      </c>
      <c r="AH41" s="122">
        <f t="shared" si="35"/>
        <v>1</v>
      </c>
      <c r="AI41" s="111">
        <f t="shared" si="35"/>
        <v>9477.7431265203286</v>
      </c>
      <c r="AJ41" s="147">
        <f t="shared" si="36"/>
        <v>0</v>
      </c>
      <c r="AK41" s="146">
        <f t="shared" si="37"/>
        <v>9477.7431265203286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0</v>
      </c>
      <c r="F43" s="74">
        <f>'Q3'!F43</f>
        <v>1.18</v>
      </c>
      <c r="G43" s="21">
        <f t="shared" si="32"/>
        <v>1.65</v>
      </c>
      <c r="H43" s="23">
        <f t="shared" si="26"/>
        <v>0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1.1100000000000001</v>
      </c>
      <c r="G44" s="21">
        <f t="shared" si="32"/>
        <v>1.65</v>
      </c>
      <c r="H44" s="23">
        <f t="shared" si="26"/>
        <v>1.1100000000000001</v>
      </c>
      <c r="I44" s="38">
        <f t="shared" si="27"/>
        <v>4262.4000000000005</v>
      </c>
      <c r="J44" s="37">
        <f t="shared" si="33"/>
        <v>4262.4000000000005</v>
      </c>
      <c r="K44" s="39">
        <f t="shared" si="28"/>
        <v>6.2597809076682318E-2</v>
      </c>
      <c r="L44" s="21">
        <f t="shared" si="29"/>
        <v>6.948356807511738E-2</v>
      </c>
      <c r="M44" s="23">
        <f t="shared" si="30"/>
        <v>6.948356807511738E-2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1065.6000000000001</v>
      </c>
      <c r="AB44" s="155">
        <f>'Q2'!AB44</f>
        <v>0.25</v>
      </c>
      <c r="AC44" s="146">
        <f t="shared" si="39"/>
        <v>1065.6000000000001</v>
      </c>
      <c r="AD44" s="155">
        <f>'Q2'!AD44</f>
        <v>0.25</v>
      </c>
      <c r="AE44" s="146">
        <f t="shared" si="40"/>
        <v>1065.6000000000001</v>
      </c>
      <c r="AF44" s="121">
        <f t="shared" si="31"/>
        <v>0.25</v>
      </c>
      <c r="AG44" s="146">
        <f t="shared" si="34"/>
        <v>1065.6000000000001</v>
      </c>
      <c r="AH44" s="122">
        <f t="shared" si="35"/>
        <v>1</v>
      </c>
      <c r="AI44" s="111">
        <f t="shared" si="35"/>
        <v>4262.4000000000005</v>
      </c>
      <c r="AJ44" s="147">
        <f t="shared" si="36"/>
        <v>2131.2000000000003</v>
      </c>
      <c r="AK44" s="146">
        <f t="shared" si="37"/>
        <v>2131.2000000000003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59471.400000000009</v>
      </c>
      <c r="J65" s="38">
        <f>SUM(J37:J64)</f>
        <v>57544.343126520325</v>
      </c>
      <c r="K65" s="39">
        <f>SUM(K37:K64)</f>
        <v>1.0000000000000002</v>
      </c>
      <c r="L65" s="21">
        <f>SUM(L37:L64)</f>
        <v>0.93848787167449144</v>
      </c>
      <c r="M65" s="23">
        <f>SUM(M37:M64)</f>
        <v>0.93805984491588956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48996.95765629501</v>
      </c>
      <c r="J74" s="50">
        <f>J128*I$83</f>
        <v>3132.729539403736</v>
      </c>
      <c r="K74" s="39">
        <f>B74/B$76</f>
        <v>6.915156967285789E-2</v>
      </c>
      <c r="L74" s="21">
        <f>(L128*G$37*F$9/F$7)/B$130</f>
        <v>6.0464850555334931E-2</v>
      </c>
      <c r="M74" s="23">
        <f>J74/B$76</f>
        <v>5.1068230624082812E-2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14817.917910078268</v>
      </c>
      <c r="K75" s="39">
        <f>B75/B$76</f>
        <v>0.40660681151273192</v>
      </c>
      <c r="L75" s="21">
        <f>(L129*G$37*F$9/F$7)/B$130</f>
        <v>0.23258588501720148</v>
      </c>
      <c r="M75" s="23">
        <f>J75/B$76</f>
        <v>0.24155447818985179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59471.399999999987</v>
      </c>
      <c r="J76" s="50">
        <f>J130*I$83</f>
        <v>57544.343126520318</v>
      </c>
      <c r="K76" s="39">
        <f>SUM(K70:K75)</f>
        <v>0.64688749782646493</v>
      </c>
      <c r="L76" s="21">
        <f>SUM(L70:L75)</f>
        <v>0.52181511910971978</v>
      </c>
      <c r="M76" s="23">
        <f>SUM(M70:M75)</f>
        <v>0.52138709235111802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0.84205625078698543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0.84205625078698543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0.67272727272727284</v>
      </c>
      <c r="I98" s="21">
        <f t="shared" si="59"/>
        <v>0.37869569953962062</v>
      </c>
      <c r="J98" s="23">
        <f t="shared" si="60"/>
        <v>0.37869569953962062</v>
      </c>
      <c r="K98" s="21">
        <f t="shared" si="61"/>
        <v>0.56292603985619272</v>
      </c>
      <c r="L98" s="21">
        <f t="shared" si="62"/>
        <v>0.37869569953962062</v>
      </c>
      <c r="M98" s="225">
        <f t="shared" si="63"/>
        <v>0.37869569953962062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5.2837752030782159</v>
      </c>
      <c r="J119" s="23">
        <f>SUM(J91:J118)</f>
        <v>5.1125645821240546</v>
      </c>
      <c r="K119" s="21">
        <f>SUM(K91:K118)</f>
        <v>8.992743486702679</v>
      </c>
      <c r="L119" s="21">
        <f>SUM(L91:L118)</f>
        <v>5.1148973911213584</v>
      </c>
      <c r="M119" s="56">
        <f t="shared" si="50"/>
        <v>5.1125645821240546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4.3531665622568996</v>
      </c>
      <c r="J128" s="226">
        <f>(J30)</f>
        <v>0.27832939292251579</v>
      </c>
      <c r="K128" s="21">
        <f>(B128)</f>
        <v>0.62186232777085926</v>
      </c>
      <c r="L128" s="21">
        <f>IF(L124=L119,0,(L119-L124)/(B119-B124)*K128)</f>
        <v>0.32954235818541761</v>
      </c>
      <c r="M128" s="56">
        <f t="shared" si="90"/>
        <v>0.27832939292251579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1.3165075517731237</v>
      </c>
      <c r="K129" s="28">
        <f>(B129)</f>
        <v>3.6565107558800642</v>
      </c>
      <c r="L129" s="59">
        <f>IF(SUM(L124:L128)&gt;L130,0,L130-SUM(L124:L128))</f>
        <v>1.2676273955075255</v>
      </c>
      <c r="M129" s="56">
        <f t="shared" si="90"/>
        <v>1.3165075517731237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5.2837752030782159</v>
      </c>
      <c r="J130" s="226">
        <f>(J119)</f>
        <v>5.1125645821240546</v>
      </c>
      <c r="K130" s="21">
        <f>(B130)</f>
        <v>8.992743486702679</v>
      </c>
      <c r="L130" s="21">
        <f>(L119)</f>
        <v>5.1148973911213584</v>
      </c>
      <c r="M130" s="56">
        <f t="shared" si="90"/>
        <v>5.1125645821240546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67" workbookViewId="0">
      <selection activeCell="S86" sqref="S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2530.8000000000006</v>
      </c>
      <c r="G78" s="108">
        <f>'Q2'!T13</f>
        <v>6147.1800000000012</v>
      </c>
      <c r="H78" s="108">
        <f>'Q3'!T13</f>
        <v>9024.3000000000011</v>
      </c>
      <c r="I78" s="108">
        <f>'Q4'!T13</f>
        <v>13120.200000000003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6552</v>
      </c>
      <c r="H81" s="108">
        <f>'Q3'!T16</f>
        <v>7295.0429868591054</v>
      </c>
      <c r="I81" s="108">
        <f>'Q4'!T16</f>
        <v>9477.7431265203286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0</v>
      </c>
      <c r="G85" s="108">
        <f>'Q2'!T20</f>
        <v>0</v>
      </c>
      <c r="H85" s="108">
        <f>'Q3'!T20</f>
        <v>0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9420.7375066721161</v>
      </c>
      <c r="G88" s="108">
        <f>'Q2'!T23</f>
        <v>19050.317506672112</v>
      </c>
      <c r="H88" s="108">
        <f>'Q3'!T23</f>
        <v>35172.080493531219</v>
      </c>
      <c r="I88" s="108">
        <f>'Q4'!T23</f>
        <v>58884.280633192437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9780.7862873038848</v>
      </c>
      <c r="G98" s="237">
        <f t="shared" si="0"/>
        <v>151.20628730388853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18972.199620637221</v>
      </c>
      <c r="G99" s="237">
        <f t="shared" si="0"/>
        <v>9342.6196206372224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35341.15962063722</v>
      </c>
      <c r="G100" s="237">
        <f t="shared" si="0"/>
        <v>25711.579620637222</v>
      </c>
      <c r="H100" s="237">
        <f t="shared" si="0"/>
        <v>9589.8166337781076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2016-08-11T17:56:19Z</dcterms:modified>
  <cp:category/>
</cp:coreProperties>
</file>