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40" windowHeight="16760" activeTab="3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<sst xmlns="http://schemas.openxmlformats.org/spreadsheetml/2006/main" count="790" uniqueCount="145">
  <si>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</si>
  <si>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</si>
  <si>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</si>
  <si>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</si>
  <si>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</si>
  <si>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</si>
  <si>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</si>
  <si>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</si>
  <si>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</si>
  <si>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</si>
  <si>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</si>
  <si>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</si>
  <si>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</si>
  <si>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</si>
  <si>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</si>
  <si>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</si>
  <si>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</si>
  <si>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</si>
  <si>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</si>
  <si>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</si>
  <si>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</si>
  <si>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</si>
  <si>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</si>
  <si>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</si>
  <si>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</si>
  <si>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% of baseline income</t>
  </si>
  <si>
    <t>Comm.</t>
  </si>
  <si>
    <t>Staple</t>
  </si>
  <si>
    <t>Cash</t>
  </si>
  <si>
    <t>Price</t>
  </si>
  <si>
    <t>total: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</si>
  <si>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</si>
  <si>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</si>
  <si>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</si>
  <si>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</si>
  <si>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</si>
  <si>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</si>
  <si>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</si>
  <si>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</si>
  <si>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</si>
  <si>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</si>
  <si>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</si>
  <si>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</si>
  <si>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</si>
  <si>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</si>
  <si>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</si>
  <si>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</si>
  <si>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</si>
  <si>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</si>
  <si>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</si>
  <si>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</si>
  <si>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</si>
  <si>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</si>
  <si>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</si>
  <si>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</si>
  <si>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</si>
  <si>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</si>
  <si>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</si>
  <si>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</si>
  <si>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</si>
  <si>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</si>
  <si>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</si>
  <si>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</si>
  <si>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</si>
  <si>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</si>
  <si>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</si>
  <si>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</si>
  <si>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</si>
  <si>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</si>
  <si>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</si>
  <si>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</si>
  <si>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</si>
  <si>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</si>
  <si>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</si>
  <si>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</si>
  <si>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</si>
  <si>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</si>
  <si>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</si>
  <si>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</si>
  <si>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</si>
  <si>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</si>
  <si>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</si>
  <si>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</si>
  <si>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</si>
  <si>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</si>
  <si>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</si>
  <si>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</si>
  <si>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</si>
  <si>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</si>
  <si>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</si>
  <si>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</si>
  <si>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</si>
  <si>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</si>
  <si>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</si>
  <si>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</si>
  <si>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</si>
  <si>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</si>
  <si>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</si>
  <si>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</si>
  <si>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</si>
  <si>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</si>
  <si>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</si>
  <si>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</si>
  <si>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</si>
  <si>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</si>
  <si>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</si>
  <si>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</si>
  <si>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</si>
  <si>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</si>
  <si>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</si>
  <si>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</si>
  <si>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</si>
  <si>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</si>
  <si>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</si>
  <si>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</si>
  <si>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</si>
  <si>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</si>
  <si>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</si>
  <si>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</si>
  <si>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</si>
  <si>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</si>
  <si>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</si>
  <si>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</si>
  <si>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</si>
  <si>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</si>
  <si>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 xml:space="preserve"> Q1</t>
    </r>
  </si>
  <si>
    <r>
      <t xml:space="preserve">Baseline: </t>
    </r>
    <r>
      <rPr>
        <sz val="12"/>
        <rFont val="Arial"/>
        <family val="2"/>
      </rPr>
      <t>Q2</t>
    </r>
  </si>
  <si>
    <r>
      <t xml:space="preserve">Baseline: </t>
    </r>
    <r>
      <rPr>
        <sz val="12"/>
        <rFont val="Arial"/>
        <family val="2"/>
      </rPr>
      <t>Q3</t>
    </r>
  </si>
  <si>
    <t>Baseline: Q4</t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</si>
  <si>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</si>
  <si>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</si>
  <si>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</si>
  <si>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</si>
  <si>
    <t>Sources of Food : Q1 HHs</t>
  </si>
  <si>
    <t>Income : Q1 HHs</t>
  </si>
  <si>
    <t>Expenditure : Q1 HHs</t>
  </si>
  <si>
    <r>
      <t xml:space="preserve">Income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</si>
  <si>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Expenditure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</si>
  <si>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r>
      <t xml:space="preserve">Sources of Food : </t>
    </r>
    <r>
      <rPr>
        <b/>
        <sz val="12"/>
        <rFont val="Arial"/>
        <family val="2"/>
      </rPr>
      <t>Q2</t>
    </r>
    <r>
      <rPr>
        <b/>
        <sz val="12"/>
        <rFont val="Arial"/>
        <family val="2"/>
      </rPr>
      <t xml:space="preserve"> HHs</t>
    </r>
  </si>
  <si>
    <t>Income : Q3 HHs</t>
  </si>
  <si>
    <t>Expenditure : Q3 HHs</t>
  </si>
  <si>
    <t>Sources of Food : Q3 HHs</t>
  </si>
  <si>
    <t>Sources of Food : Q4 HHs</t>
  </si>
  <si>
    <t>Income : Q4 HHs</t>
  </si>
  <si>
    <t>Expenditure : Q4 HHs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</si>
</sst>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9" fontId="5" fillId="0" borderId="0" xfId="0" applyNumberFormat="1" applyFont="1" applyBorder="1" applyProtection="1">
      <alignment vertical="top"/>
    </xf>
  </cellXfs>
  <cellStyles count="11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0.0935357969214254</c:v>
                </c:pt>
                <c:pt idx="2" formatCode="0.0%">
                  <c:v>0.642881586096032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435864"/>
        <c:axId val="2131431448"/>
      </c:barChart>
      <c:catAx>
        <c:axId val="213143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431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431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43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0.182613472185319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161528"/>
        <c:axId val="-2064415080"/>
      </c:barChart>
      <c:catAx>
        <c:axId val="213216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415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41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16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0.154501550706187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939448"/>
        <c:axId val="2131930840"/>
      </c:barChart>
      <c:catAx>
        <c:axId val="213193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93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93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939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386072"/>
        <c:axId val="-2070383080"/>
      </c:barChart>
      <c:catAx>
        <c:axId val="-207038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383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38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386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without Grants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6552.0</c:v>
                </c:pt>
                <c:pt idx="6">
                  <c:v>7295.042986859105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262008"/>
        <c:axId val="-207025863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262008"/>
        <c:axId val="-2070258632"/>
      </c:lineChart>
      <c:catAx>
        <c:axId val="-207026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258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258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26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146507048126113"/>
          <c:y val="0.0203488372093023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145224"/>
        <c:axId val="-207014189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145224"/>
        <c:axId val="-2070141896"/>
      </c:lineChart>
      <c:catAx>
        <c:axId val="-207014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141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141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145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051096"/>
        <c:axId val="-207004775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Q1</c:v>
                </c:pt>
                <c:pt idx="1">
                  <c:v>Baseline: Q2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051096"/>
        <c:axId val="-2070047752"/>
      </c:lineChart>
      <c:catAx>
        <c:axId val="-2070051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047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047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051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0.207033887865448</c:v>
                </c:pt>
                <c:pt idx="2">
                  <c:v>0.243831299915589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0.0354761365782607</c:v>
                </c:pt>
                <c:pt idx="2">
                  <c:v>0.243831299915589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-0.309725479624388</c:v>
                </c:pt>
                <c:pt idx="2">
                  <c:v>-0.309725479624388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986040"/>
        <c:axId val="-2069982696"/>
      </c:barChart>
      <c:catAx>
        <c:axId val="-206998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98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98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986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0.277439073655719</c:v>
                </c:pt>
                <c:pt idx="2">
                  <c:v>0.227639950227476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0.0702940875278619</c:v>
                </c:pt>
                <c:pt idx="2">
                  <c:v>0.126978236160348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428040"/>
        <c:axId val="-2070424680"/>
      </c:barChart>
      <c:catAx>
        <c:axId val="-207042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424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424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42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0.232585885017201</c:v>
                </c:pt>
                <c:pt idx="2">
                  <c:v>0.241554478189852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0490680"/>
        <c:axId val="-2070487160"/>
      </c:barChart>
      <c:catAx>
        <c:axId val="-207049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48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48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0490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0.39749373433584</c:v>
                </c:pt>
                <c:pt idx="2">
                  <c:v>0.421929824561404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-0.604900567932242</c:v>
                </c:pt>
                <c:pt idx="2">
                  <c:v>-0.604900567932242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0527576"/>
        <c:axId val="-2090532088"/>
      </c:barChart>
      <c:catAx>
        <c:axId val="-209052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053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053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052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0.0213190537948984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0.408961405015119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0.249488199705501</c:v>
                </c:pt>
                <c:pt idx="2" formatCode="0.0%">
                  <c:v>0.450671922142364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241480"/>
        <c:axId val="-2100247080"/>
      </c:barChart>
      <c:catAx>
        <c:axId val="-210024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24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24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24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629400"/>
        <c:axId val="-20706260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629400"/>
        <c:axId val="-20706260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29400"/>
        <c:axId val="-2070626040"/>
      </c:scatterChart>
      <c:catAx>
        <c:axId val="-2070629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0626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0626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0629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0634168"/>
        <c:axId val="-20906308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634168"/>
        <c:axId val="-2090630808"/>
      </c:lineChart>
      <c:catAx>
        <c:axId val="-20906341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0630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0630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06341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785240"/>
        <c:axId val="-20707819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798472"/>
        <c:axId val="-2070795480"/>
      </c:scatterChart>
      <c:valAx>
        <c:axId val="-207078524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0781960"/>
        <c:crosses val="autoZero"/>
        <c:crossBetween val="midCat"/>
      </c:valAx>
      <c:valAx>
        <c:axId val="-2070781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0785240"/>
        <c:crosses val="autoZero"/>
        <c:crossBetween val="midCat"/>
      </c:valAx>
      <c:valAx>
        <c:axId val="-20707984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0795480"/>
        <c:crosses val="autoZero"/>
        <c:crossBetween val="midCat"/>
      </c:valAx>
      <c:valAx>
        <c:axId val="-20707954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07984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916280"/>
        <c:axId val="-20709103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916280"/>
        <c:axId val="-2070910328"/>
      </c:lineChart>
      <c:catAx>
        <c:axId val="-207091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09103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09103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09162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0.0671979067990309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0.535425081230834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0.329542358185418</c:v>
                </c:pt>
                <c:pt idx="2" formatCode="0.0%">
                  <c:v>0.278329392922516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0223112"/>
        <c:axId val="-2090043416"/>
      </c:barChart>
      <c:catAx>
        <c:axId val="-209022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004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004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022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0835576"/>
        <c:axId val="-2100264248"/>
      </c:barChart>
      <c:catAx>
        <c:axId val="-209083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26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26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083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9968680"/>
        <c:axId val="-2089981992"/>
      </c:barChart>
      <c:catAx>
        <c:axId val="-20899686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9819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9981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9968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0082936"/>
        <c:axId val="-2090079624"/>
      </c:barChart>
      <c:catAx>
        <c:axId val="-2090082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079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007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08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0.408961405015119</c:v>
                </c:pt>
                <c:pt idx="1">
                  <c:v>0.408961405015119</c:v>
                </c:pt>
                <c:pt idx="2">
                  <c:v>0.408961405015119</c:v>
                </c:pt>
                <c:pt idx="3">
                  <c:v>0.408961405015119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0188872"/>
        <c:axId val="-2090185560"/>
      </c:barChart>
      <c:catAx>
        <c:axId val="-2090188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1855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018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188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0.535425081230834</c:v>
                </c:pt>
                <c:pt idx="1">
                  <c:v>0.535425081230834</c:v>
                </c:pt>
                <c:pt idx="2">
                  <c:v>0.535425081230834</c:v>
                </c:pt>
                <c:pt idx="3">
                  <c:v>0.535425081230834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0298888"/>
        <c:axId val="-2090318824"/>
      </c:barChart>
      <c:catAx>
        <c:axId val="-2090298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318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0318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298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0.220784472300849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0427192"/>
        <c:axId val="-2090435272"/>
      </c:barChart>
      <c:catAx>
        <c:axId val="-209042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43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043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0427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59899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I54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255" t="str">
        <f>'Q2'!Z1</f>
        <v>Apr-Jun</v>
      </c>
      <c r="AA1" s="256"/>
      <c r="AB1" s="255" t="str">
        <f>'Q2'!AB1</f>
        <v>Jul-Sep</v>
      </c>
      <c r="AC1" s="256"/>
      <c r="AD1" s="255" t="str">
        <f>'Q2'!AD1</f>
        <v>Oct-Dec</v>
      </c>
      <c r="AE1" s="256"/>
      <c r="AF1" s="255" t="str">
        <f>'Q2'!AF1</f>
        <v>Jan-Mar</v>
      </c>
      <c r="AG1" s="256"/>
      <c r="AH1" s="116"/>
      <c r="AI1" s="109"/>
      <c r="AJ1" s="193" t="str">
        <f>LEFT(Z1,4) &amp; MID(AB1,5,3)</f>
        <v>Apr-Sep</v>
      </c>
      <c r="AK1" s="194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133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213">
        <f>IF([1]Summ!C1044="",0,[1]Summ!C1044)</f>
        <v>0</v>
      </c>
      <c r="C6" s="213">
        <f>IF([1]Summ!D1044="",0,[1]Summ!D1044)</f>
        <v>0</v>
      </c>
      <c r="D6" s="23">
        <f t="shared" ref="D6:D28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213">
        <f>IF([1]Summ!C1045="",0,[1]Summ!C1045)</f>
        <v>0</v>
      </c>
      <c r="C7" s="213">
        <f>IF([1]Summ!D1045="",0,[1]Summ!D1045)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213">
        <f>IF([1]Summ!C1046="",0,[1]Summ!C1046)</f>
        <v>0</v>
      </c>
      <c r="C8" s="213">
        <f>IF([1]Summ!D1046="",0,[1]Summ!D1046)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213">
        <f>IF([1]Summ!C1047="",0,[1]Summ!C1047)</f>
        <v>0</v>
      </c>
      <c r="C9" s="213">
        <f>IF([1]Summ!D1047="",0,[1]Summ!D1047)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213">
        <f>IF([1]Summ!C1048="",0,[1]Summ!C1048)</f>
        <v>0</v>
      </c>
      <c r="C10" s="213">
        <f>IF([1]Summ!D1048="",0,[1]Summ!D1048)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213">
        <f>IF([1]Summ!C1049="",0,[1]Summ!C1049)</f>
        <v>0</v>
      </c>
      <c r="C11" s="213">
        <f>IF([1]Summ!D1049="",0,[1]Summ!D1049)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213">
        <f>IF([1]Summ!C1050="",0,[1]Summ!C1050)</f>
        <v>0</v>
      </c>
      <c r="C12" s="213">
        <f>IF([1]Summ!D1050="",0,[1]Summ!D1050)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>
        <v>1</v>
      </c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213">
        <f>IF([1]Summ!C1051="",0,[1]Summ!C1051)</f>
        <v>0</v>
      </c>
      <c r="C13" s="213">
        <f>IF([1]Summ!D1051="",0,[1]Summ!D1051)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6044.2269142499463</v>
      </c>
      <c r="S13" s="220">
        <f>IF($B$81=0,0,(SUMIF($N$6:$N$28,$U13,L$6:L$28)+SUMIF($N$91:$N$118,$U13,L$91:L$118))*$I$83*'Q2'!$B$81/$B$81)</f>
        <v>2530.8000000000006</v>
      </c>
      <c r="T13" s="220">
        <f>IF($B$81=0,0,(SUMIF($N$6:$N$28,$U13,M$6:M$28)+SUMIF($N$91:$N$118,$U13,M$91:M$118))*$I$83*'Q2'!$B$81/$B$81)</f>
        <v>2530.8000000000006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213">
        <f>IF([1]Summ!C1052="",0,[1]Summ!C1052)</f>
        <v>0</v>
      </c>
      <c r="C14" s="213">
        <f>IF([1]Summ!D1052="",0,[1]Summ!D1052)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213">
        <f>IF([1]Summ!C1053="",0,[1]Summ!C1053)</f>
        <v>0</v>
      </c>
      <c r="C15" s="213">
        <f>IF([1]Summ!D1053="",0,[1]Summ!D1053)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 t="shared" ref="J15:J25" si="17"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108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213">
        <f>IF([1]Summ!C1054="",0,[1]Summ!C1054)</f>
        <v>0</v>
      </c>
      <c r="C16" s="213">
        <f>IF([1]Summ!D1054="",0,[1]Summ!D1054)</f>
        <v>0</v>
      </c>
      <c r="D16" s="23">
        <f t="shared" ref="D16:D25" si="18">(B16+C16)</f>
        <v>0</v>
      </c>
      <c r="E16" s="74">
        <f>'Q2'!E16</f>
        <v>1</v>
      </c>
      <c r="F16" s="21"/>
      <c r="H16" s="23">
        <f t="shared" ref="H16:H25" si="19">(E16*F$7/F$9)</f>
        <v>1</v>
      </c>
      <c r="I16" s="21">
        <f t="shared" ref="I16:I25" si="20">(D16*H16)</f>
        <v>0</v>
      </c>
      <c r="J16" s="23">
        <f t="shared" si="17"/>
        <v>0</v>
      </c>
      <c r="K16" s="21">
        <f t="shared" ref="K16:K25" si="21">B16</f>
        <v>0</v>
      </c>
      <c r="L16" s="21">
        <f t="shared" ref="L16:L25" si="22">IF(K16="","",K16*H16)</f>
        <v>0</v>
      </c>
      <c r="M16" s="224">
        <f t="shared" ref="M16:M25" si="23">J16</f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3518.2813381454916</v>
      </c>
      <c r="S16" s="220">
        <f>IF($B$81=0,0,(SUMIF($N$6:$N$28,$U16,L$6:L$28)+SUMIF($N$91:$N$118,$U16,L$91:L$118))*$I$83*'Q2'!$B$81/$B$81)</f>
        <v>2340</v>
      </c>
      <c r="T16" s="220">
        <f>IF($B$81=0,0,(SUMIF($N$6:$N$28,$U16,M$6:M$28)+SUMIF($N$91:$N$118,$U16,M$91:M$118))*$I$83*'Q2'!$B$81/$B$81)</f>
        <v>2808</v>
      </c>
      <c r="U16" s="221">
        <v>10</v>
      </c>
      <c r="V16" s="55"/>
      <c r="W16" s="109"/>
      <c r="X16" s="117"/>
      <c r="Y16" s="181"/>
      <c r="Z16" s="155"/>
      <c r="AA16" s="120"/>
      <c r="AB16" s="155"/>
      <c r="AC16" s="120"/>
      <c r="AD16" s="155"/>
      <c r="AE16" s="120"/>
      <c r="AF16" s="121"/>
      <c r="AG16" s="120"/>
      <c r="AH16" s="122"/>
      <c r="AI16" s="181"/>
      <c r="AJ16" s="119"/>
      <c r="AK16" s="118"/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213">
        <f>IF([1]Summ!C1055="",0,[1]Summ!C1055)</f>
        <v>0</v>
      </c>
      <c r="C17" s="213">
        <f>IF([1]Summ!D1055="",0,[1]Summ!D1055)</f>
        <v>0</v>
      </c>
      <c r="D17" s="23">
        <f t="shared" si="18"/>
        <v>0</v>
      </c>
      <c r="E17" s="74">
        <f>'Q2'!E17</f>
        <v>1</v>
      </c>
      <c r="F17" s="21"/>
      <c r="H17" s="23">
        <f t="shared" si="19"/>
        <v>1</v>
      </c>
      <c r="I17" s="21">
        <f t="shared" si="20"/>
        <v>0</v>
      </c>
      <c r="J17" s="23">
        <f t="shared" si="17"/>
        <v>0</v>
      </c>
      <c r="K17" s="21">
        <f t="shared" si="21"/>
        <v>0</v>
      </c>
      <c r="L17" s="21">
        <f t="shared" si="22"/>
        <v>0</v>
      </c>
      <c r="M17" s="224">
        <f t="shared" si="23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0</v>
      </c>
      <c r="S17" s="220">
        <f>IF($B$81=0,0,(SUMIF($N$6:$N$28,$U17,L$6:L$28)+SUMIF($N$91:$N$118,$U17,L$91:L$118))*$I$83*'Q2'!$B$81/$B$81)</f>
        <v>0</v>
      </c>
      <c r="T17" s="220">
        <f>IF($B$81=0,0,(SUMIF($N$6:$N$28,$U17,M$6:M$28)+SUMIF($N$91:$N$118,$U17,M$91:M$118))*$I$83*'Q2'!$B$81/$B$81)</f>
        <v>0</v>
      </c>
      <c r="U17" s="221">
        <v>11</v>
      </c>
      <c r="V17" s="55"/>
      <c r="W17" s="109"/>
      <c r="X17" s="117"/>
      <c r="Y17" s="181"/>
      <c r="Z17" s="155"/>
      <c r="AA17" s="120"/>
      <c r="AB17" s="155"/>
      <c r="AC17" s="120"/>
      <c r="AD17" s="155"/>
      <c r="AE17" s="120"/>
      <c r="AF17" s="121"/>
      <c r="AG17" s="120"/>
      <c r="AH17" s="122"/>
      <c r="AI17" s="181"/>
      <c r="AJ17" s="119"/>
      <c r="AK17" s="118"/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213">
        <f>IF([1]Summ!C1056="",0,[1]Summ!C1056)</f>
        <v>0</v>
      </c>
      <c r="C18" s="213">
        <f>IF([1]Summ!D1056="",0,[1]Summ!D1056)</f>
        <v>0</v>
      </c>
      <c r="D18" s="23">
        <f t="shared" si="18"/>
        <v>0</v>
      </c>
      <c r="E18" s="74">
        <f>'Q2'!E18</f>
        <v>1</v>
      </c>
      <c r="F18" s="21"/>
      <c r="H18" s="23">
        <f t="shared" si="19"/>
        <v>1</v>
      </c>
      <c r="I18" s="21">
        <f t="shared" si="20"/>
        <v>0</v>
      </c>
      <c r="J18" s="23">
        <f t="shared" si="17"/>
        <v>0</v>
      </c>
      <c r="K18" s="21">
        <f t="shared" si="21"/>
        <v>0</v>
      </c>
      <c r="L18" s="21">
        <f t="shared" si="22"/>
        <v>0</v>
      </c>
      <c r="M18" s="224">
        <f t="shared" si="23"/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213">
        <f>IF([1]Summ!C1057="",0,[1]Summ!C1057)</f>
        <v>0</v>
      </c>
      <c r="C19" s="213">
        <f>IF([1]Summ!D1057="",0,[1]Summ!D1057)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4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213">
        <f>IF([1]Summ!C1058="",0,[1]Summ!C1058)</f>
        <v>0</v>
      </c>
      <c r="C20" s="213">
        <f>IF([1]Summ!D1058="",0,[1]Summ!D1058)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4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213">
        <f>IF([1]Summ!C1059="",0,[1]Summ!C1059)</f>
        <v>0</v>
      </c>
      <c r="C21" s="213">
        <f>IF([1]Summ!D1059="",0,[1]Summ!D1059)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4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3825.0033009581762</v>
      </c>
      <c r="S21" s="220">
        <f>IF($B$81=0,0,(SUMIF($N$6:$N$28,$U21,L$6:L$28)+SUMIF($N$91:$N$118,$U21,L$91:L$118))*$I$83*'Q2'!$B$81/$B$81)</f>
        <v>2742.0000000000005</v>
      </c>
      <c r="T21" s="220">
        <f>IF($B$81=0,0,(SUMIF($N$6:$N$28,$U21,M$6:M$28)+SUMIF($N$91:$N$118,$U21,M$91:M$118))*$I$83*'Q2'!$B$81/$B$81)</f>
        <v>2742.0000000000005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213">
        <f>IF([1]Summ!C1060="",0,[1]Summ!C1060)</f>
        <v>0</v>
      </c>
      <c r="C22" s="213">
        <f>IF([1]Summ!D1060="",0,[1]Summ!D1060)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4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213">
        <f>IF([1]Summ!C1061="",0,[1]Summ!C1061)</f>
        <v>0</v>
      </c>
      <c r="C23" s="213">
        <f>IF([1]Summ!D1061="",0,[1]Summ!D1061)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4">
        <f t="shared" si="23"/>
        <v>0</v>
      </c>
      <c r="N23" s="227"/>
      <c r="O23" s="2"/>
      <c r="P23" s="21"/>
      <c r="Q23" s="169" t="s">
        <v>80</v>
      </c>
      <c r="R23" s="177">
        <f>SUM(R7:R22)</f>
        <v>30016.778563707263</v>
      </c>
      <c r="S23" s="177">
        <f>SUM(S7:S22)</f>
        <v>8952.7375066721161</v>
      </c>
      <c r="T23" s="177">
        <f>SUM(T7:T22)</f>
        <v>9420.7375066721161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213">
        <f>IF([1]Summ!C1062="",0,[1]Summ!C1062)</f>
        <v>0</v>
      </c>
      <c r="C24" s="213">
        <f>IF([1]Summ!D1062="",0,[1]Summ!D1062)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4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9"/>
        <v>0</v>
      </c>
      <c r="Z24" s="155">
        <f>'Q2'!Z16</f>
        <v>0</v>
      </c>
      <c r="AA24" s="120">
        <f t="shared" si="16"/>
        <v>0</v>
      </c>
      <c r="AB24" s="155">
        <f>'Q2'!AB16</f>
        <v>0</v>
      </c>
      <c r="AC24" s="120">
        <f t="shared" si="7"/>
        <v>0</v>
      </c>
      <c r="AD24" s="155">
        <f>'Q2'!AD16</f>
        <v>0</v>
      </c>
      <c r="AE24" s="120">
        <f t="shared" si="8"/>
        <v>0</v>
      </c>
      <c r="AF24" s="121">
        <f t="shared" si="10"/>
        <v>1</v>
      </c>
      <c r="AG24" s="120">
        <f t="shared" si="11"/>
        <v>0</v>
      </c>
      <c r="AH24" s="122">
        <f t="shared" si="12"/>
        <v>1</v>
      </c>
      <c r="AI24" s="181">
        <f t="shared" si="13"/>
        <v>0</v>
      </c>
      <c r="AJ24" s="119">
        <f t="shared" si="14"/>
        <v>0</v>
      </c>
      <c r="AK24" s="118">
        <f t="shared" si="15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213">
        <f>IF([1]Summ!C1063="",0,[1]Summ!C1063)</f>
        <v>0</v>
      </c>
      <c r="C25" s="213">
        <f>IF([1]Summ!D1063="",0,[1]Summ!D1063)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4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9"/>
        <v>0</v>
      </c>
      <c r="Z25" s="155">
        <f>'Q2'!Z17</f>
        <v>0.29409999999999997</v>
      </c>
      <c r="AA25" s="120">
        <f t="shared" si="16"/>
        <v>0</v>
      </c>
      <c r="AB25" s="155">
        <f>'Q2'!AB17</f>
        <v>0.17649999999999999</v>
      </c>
      <c r="AC25" s="120">
        <f t="shared" si="7"/>
        <v>0</v>
      </c>
      <c r="AD25" s="155">
        <f>'Q2'!AD17</f>
        <v>0.23530000000000001</v>
      </c>
      <c r="AE25" s="120">
        <f t="shared" si="8"/>
        <v>0</v>
      </c>
      <c r="AF25" s="121">
        <f t="shared" si="10"/>
        <v>0.29410000000000003</v>
      </c>
      <c r="AG25" s="120">
        <f t="shared" si="11"/>
        <v>0</v>
      </c>
      <c r="AH25" s="122">
        <f t="shared" si="12"/>
        <v>1</v>
      </c>
      <c r="AI25" s="181">
        <f t="shared" si="13"/>
        <v>0</v>
      </c>
      <c r="AJ25" s="119">
        <f t="shared" si="14"/>
        <v>0</v>
      </c>
      <c r="AK25" s="118">
        <f t="shared" si="15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213">
        <f>IF([1]Summ!C1064="",0,[1]Summ!C1064)</f>
        <v>0.11904761904761904</v>
      </c>
      <c r="C26" s="213">
        <f>IF([1]Summ!D1064="",0,[1]Summ!D1064)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213">
        <f>IF([1]Summ!C1065="",0,[1]Summ!C1065)</f>
        <v>5.3025848069738479E-2</v>
      </c>
      <c r="C27" s="213">
        <f>IF([1]Summ!D1065="",0,[1]Summ!D1065)</f>
        <v>-5.3025848069738479E-2</v>
      </c>
      <c r="D27" s="23">
        <f t="shared" si="0"/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5.3025848069738479E-2</v>
      </c>
      <c r="L27" s="21">
        <f t="shared" si="5"/>
        <v>5.3025848069738479E-2</v>
      </c>
      <c r="M27" s="224">
        <f t="shared" si="6"/>
        <v>0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55">
        <f>'Q2'!Z27</f>
        <v>0.25</v>
      </c>
      <c r="AA27" s="120">
        <f t="shared" si="16"/>
        <v>0</v>
      </c>
      <c r="AB27" s="155">
        <f>'Q2'!AB27</f>
        <v>0.25</v>
      </c>
      <c r="AC27" s="120">
        <f t="shared" si="7"/>
        <v>0</v>
      </c>
      <c r="AD27" s="155">
        <f>'Q2'!AD27</f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213">
        <f>IF([1]Summ!C1066="",0,[1]Summ!C1066)</f>
        <v>0</v>
      </c>
      <c r="C28" s="213">
        <f>IF([1]Summ!D1066="",0,[1]Summ!D1066)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213">
        <f>IF([1]Summ!C1067="",0,[1]Summ!C1067)</f>
        <v>0.30963843072851804</v>
      </c>
      <c r="C29" s="213">
        <f>IF([1]Summ!D1067="",0,[1]Summ!D1067)</f>
        <v>-8.5001656786520982E-2</v>
      </c>
      <c r="D29" s="23">
        <f>(B29+C29)</f>
        <v>0.22463677394199705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0.30963843072851804</v>
      </c>
      <c r="L29" s="21">
        <f t="shared" si="5"/>
        <v>0.30963843072851804</v>
      </c>
      <c r="M29" s="222">
        <f t="shared" si="6"/>
        <v>0.22463677394199705</v>
      </c>
      <c r="N29" s="227"/>
      <c r="P29" s="21"/>
      <c r="V29" s="55"/>
      <c r="W29" s="109"/>
      <c r="X29" s="117"/>
      <c r="Y29" s="181">
        <f t="shared" si="9"/>
        <v>0.89854709576798819</v>
      </c>
      <c r="Z29" s="155">
        <f>'Q2'!Z29</f>
        <v>0.25</v>
      </c>
      <c r="AA29" s="120">
        <f t="shared" si="16"/>
        <v>0.22463677394199705</v>
      </c>
      <c r="AB29" s="155">
        <f>'Q2'!AB29</f>
        <v>0.25</v>
      </c>
      <c r="AC29" s="120">
        <f t="shared" si="7"/>
        <v>0.22463677394199705</v>
      </c>
      <c r="AD29" s="155">
        <f>'Q2'!AD29</f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213">
        <f>IF([1]Summ!C1068="",0,[1]Summ!C1068)</f>
        <v>0.52537235996264009</v>
      </c>
      <c r="C30" s="102"/>
      <c r="D30" s="23">
        <f>(D119-B124)</f>
        <v>1.7794114796365408</v>
      </c>
      <c r="E30" s="74">
        <f>'Q2'!E30</f>
        <v>1</v>
      </c>
      <c r="H30" s="95">
        <f>(E30*F$7/F$9)</f>
        <v>1</v>
      </c>
      <c r="I30" s="28">
        <f>IF(E30&gt;=1,I119-I124,MIN(I119-I124,B30*H30))</f>
        <v>0</v>
      </c>
      <c r="J30" s="229">
        <f>IF(I$32&lt;=1,I30,1-SUM(J6:J29))</f>
        <v>0</v>
      </c>
      <c r="K30" s="21">
        <f t="shared" si="4"/>
        <v>0.52537235996264009</v>
      </c>
      <c r="L30" s="21">
        <f>IF(L124=L119,0,IF(K30="",0,(L119-L124)/(B119-B124)*K30))</f>
        <v>0</v>
      </c>
      <c r="M30" s="173">
        <f t="shared" si="6"/>
        <v>0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10248.786287303885</v>
      </c>
      <c r="T30" s="232">
        <f t="shared" si="24"/>
        <v>9780.7862873038848</v>
      </c>
      <c r="V30" s="55"/>
      <c r="W30" s="109"/>
      <c r="X30" s="117"/>
      <c r="Y30" s="181">
        <f>M30*4</f>
        <v>0</v>
      </c>
      <c r="Z30" s="121">
        <f>IF($Y30=0,0,AA30/($Y$30))</f>
        <v>0</v>
      </c>
      <c r="AA30" s="185" t="e">
        <f>IF(AA79*4/$I$83+SUM(AA6:AA29)&lt;1,AA79*4/$I$83,1-SUM(AA6:AA29))</f>
        <v>#DIV/0!</v>
      </c>
      <c r="AB30" s="121">
        <f>IF($Y30=0,0,AC30/($Y$30))</f>
        <v>0</v>
      </c>
      <c r="AC30" s="185" t="e">
        <f>IF(AC79*4/$I$83+SUM(AC6:AC29)&lt;1,AC79*4/$I$83,1-SUM(AC6:AC29))</f>
        <v>#DIV/0!</v>
      </c>
      <c r="AD30" s="121">
        <f>IF($Y30=0,0,AE30/($Y$30))</f>
        <v>0</v>
      </c>
      <c r="AE30" s="185" t="e">
        <f>IF(AE79*4/$I$83+SUM(AE6:AE29)&lt;1,AE79*4/$I$83,1-SUM(AE6:AE29))</f>
        <v>#DIV/0!</v>
      </c>
      <c r="AF30" s="121">
        <f>IF($Y30=0,0,AG30/($Y$30))</f>
        <v>0</v>
      </c>
      <c r="AG30" s="185" t="e">
        <f>IF(AG79*4/$I$83+SUM(AG6:AG29)&lt;1,AG79*4/$I$83,1-SUM(AG6:AG29))</f>
        <v>#DIV/0!</v>
      </c>
      <c r="AH30" s="122">
        <f t="shared" si="12"/>
        <v>0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213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0.65631560701038394</v>
      </c>
      <c r="K31" s="21" t="str">
        <f t="shared" si="4"/>
        <v/>
      </c>
      <c r="L31" s="21">
        <f>(1-SUM(L6:L30))</f>
        <v>0.51828810215412446</v>
      </c>
      <c r="M31" s="239">
        <f t="shared" si="6"/>
        <v>0.65631560701038394</v>
      </c>
      <c r="N31" s="166">
        <f>M31*I83</f>
        <v>7387.1439435989087</v>
      </c>
      <c r="P31" s="21"/>
      <c r="Q31" s="236" t="s">
        <v>122</v>
      </c>
      <c r="R31" s="232">
        <f t="shared" si="24"/>
        <v>0</v>
      </c>
      <c r="S31" s="232">
        <f t="shared" si="24"/>
        <v>19440.199620637221</v>
      </c>
      <c r="T31" s="232">
        <f>IF(T25&gt;T$23,T25-T$23,0)</f>
        <v>18972.199620637221</v>
      </c>
      <c r="V31" s="55"/>
      <c r="W31" s="128" t="s">
        <v>72</v>
      </c>
      <c r="X31" s="129"/>
      <c r="Y31" s="120">
        <f>M31*4</f>
        <v>2.6252624280415358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17">
        <f>SUM(B6:B30)</f>
        <v>1.0070842578085157</v>
      </c>
      <c r="C32" s="76">
        <f>SUM(C6:C31)</f>
        <v>-0.13802750485625948</v>
      </c>
      <c r="D32" s="23">
        <f>SUM(D6:D30)</f>
        <v>2.1230958726261568</v>
      </c>
      <c r="E32" s="2"/>
      <c r="F32" s="2"/>
      <c r="H32" s="16"/>
      <c r="I32" s="21">
        <f>SUM(I6:I30)</f>
        <v>0.34368439298961606</v>
      </c>
      <c r="J32" s="16"/>
      <c r="L32" s="21">
        <f>SUM(L6:L30)</f>
        <v>0.48171189784587554</v>
      </c>
      <c r="M32" s="22"/>
      <c r="N32" s="55"/>
      <c r="O32" s="2"/>
      <c r="P32" s="21"/>
      <c r="Q32" s="232" t="s">
        <v>123</v>
      </c>
      <c r="R32" s="232">
        <f t="shared" si="24"/>
        <v>14745.118563602071</v>
      </c>
      <c r="S32" s="232">
        <f t="shared" si="24"/>
        <v>35809.15962063722</v>
      </c>
      <c r="T32" s="232">
        <f t="shared" si="24"/>
        <v>35341.15962063722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-4.1916998821182796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134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11585.05567703831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5" t="str">
        <f>IF('Q2'!A37=0,"",'Q2'!A37)</f>
        <v>Construction cash income -- see Data2</v>
      </c>
      <c r="B37" s="214">
        <f>IF([1]Summ!C1072="",0,[1]Summ!C1072)</f>
        <v>2040</v>
      </c>
      <c r="C37" s="214">
        <f>IF([1]Summ!D1072="",0,[1]Summ!D1072)</f>
        <v>0</v>
      </c>
      <c r="D37" s="37">
        <f t="shared" ref="D37:D64" si="25">B37+C37</f>
        <v>2040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1132.2</v>
      </c>
      <c r="J37" s="37">
        <f>J91*I$83</f>
        <v>1132.2</v>
      </c>
      <c r="K37" s="39">
        <f>(B37/B$65)</f>
        <v>0.10651629072681704</v>
      </c>
      <c r="L37" s="21">
        <f t="shared" ref="L37" si="28">(K37*H37)</f>
        <v>5.9116541353383463E-2</v>
      </c>
      <c r="M37" s="23">
        <f>J37/B$65</f>
        <v>5.9116541353383463E-2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5" t="str">
        <f>IF('Q2'!A38=0,"",'Q2'!A38)</f>
        <v>Domestic work cash income -- see Data2</v>
      </c>
      <c r="B38" s="214">
        <f>IF([1]Summ!C1073="",0,[1]Summ!C1073)</f>
        <v>1440</v>
      </c>
      <c r="C38" s="214">
        <f>IF([1]Summ!D1073="",0,[1]Summ!D1073)</f>
        <v>0</v>
      </c>
      <c r="D38" s="37">
        <f t="shared" si="25"/>
        <v>1440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799.2</v>
      </c>
      <c r="J38" s="37">
        <f t="shared" ref="J38:J64" si="32">J92*I$83</f>
        <v>799.20000000000016</v>
      </c>
      <c r="K38" s="39">
        <f t="shared" ref="K38:K64" si="33">(B38/B$65)</f>
        <v>7.5187969924812026E-2</v>
      </c>
      <c r="L38" s="21">
        <f t="shared" ref="L38:L64" si="34">(K38*H38)</f>
        <v>4.1729323308270679E-2</v>
      </c>
      <c r="M38" s="23">
        <f t="shared" ref="M38:M64" si="35">J38/B$65</f>
        <v>4.1729323308270685E-2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5" t="str">
        <f>IF('Q2'!A39=0,"",'Q2'!A39)</f>
        <v>Labour migration(formal employment): no. people per HH</v>
      </c>
      <c r="B39" s="214">
        <f>IF([1]Summ!C1074="",0,[1]Summ!C1074)</f>
        <v>0</v>
      </c>
      <c r="C39" s="214">
        <f>IF([1]Summ!D1074="",0,[1]Summ!D1074)</f>
        <v>0</v>
      </c>
      <c r="D39" s="37">
        <f t="shared" si="25"/>
        <v>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0</v>
      </c>
      <c r="J39" s="37">
        <f t="shared" si="32"/>
        <v>0</v>
      </c>
      <c r="K39" s="39">
        <f t="shared" si="33"/>
        <v>0</v>
      </c>
      <c r="L39" s="21">
        <f t="shared" si="34"/>
        <v>0</v>
      </c>
      <c r="M39" s="23">
        <f t="shared" si="35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/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0</v>
      </c>
      <c r="AH39" s="122">
        <f t="shared" si="37"/>
        <v>1</v>
      </c>
      <c r="AI39" s="111">
        <f t="shared" si="37"/>
        <v>0</v>
      </c>
      <c r="AJ39" s="147">
        <f t="shared" si="38"/>
        <v>0</v>
      </c>
      <c r="AK39" s="146">
        <f t="shared" si="39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5" t="str">
        <f>IF('Q2'!A40=0,"",'Q2'!A40)</f>
        <v>Formal Employment</v>
      </c>
      <c r="B40" s="214">
        <f>IF([1]Summ!C1075="",0,[1]Summ!C1075)</f>
        <v>0</v>
      </c>
      <c r="C40" s="214">
        <f>IF([1]Summ!D1075="",0,[1]Summ!D1075)</f>
        <v>0</v>
      </c>
      <c r="D40" s="37">
        <f t="shared" si="25"/>
        <v>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0</v>
      </c>
      <c r="J40" s="37">
        <f t="shared" si="32"/>
        <v>0</v>
      </c>
      <c r="K40" s="39">
        <f t="shared" si="33"/>
        <v>0</v>
      </c>
      <c r="L40" s="21">
        <f t="shared" si="34"/>
        <v>0</v>
      </c>
      <c r="M40" s="23">
        <f t="shared" si="35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0</v>
      </c>
      <c r="AH40" s="122">
        <f t="shared" si="37"/>
        <v>1</v>
      </c>
      <c r="AI40" s="111">
        <f t="shared" si="37"/>
        <v>0</v>
      </c>
      <c r="AJ40" s="147">
        <f t="shared" si="38"/>
        <v>0</v>
      </c>
      <c r="AK40" s="146">
        <f t="shared" si="39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5" t="str">
        <f>IF('Q2'!A41=0,"",'Q2'!A41)</f>
        <v>Self-employment -- see Data2</v>
      </c>
      <c r="B41" s="214">
        <f>IF([1]Summ!C1076="",0,[1]Summ!C1076)</f>
        <v>2340</v>
      </c>
      <c r="C41" s="214">
        <f>IF([1]Summ!D1076="",0,[1]Summ!D1076)</f>
        <v>468</v>
      </c>
      <c r="D41" s="37">
        <f t="shared" si="25"/>
        <v>2808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2808</v>
      </c>
      <c r="J41" s="37">
        <f t="shared" si="32"/>
        <v>2808</v>
      </c>
      <c r="K41" s="39">
        <f t="shared" si="33"/>
        <v>0.12218045112781954</v>
      </c>
      <c r="L41" s="21">
        <f t="shared" si="34"/>
        <v>0.12218045112781954</v>
      </c>
      <c r="M41" s="23">
        <f t="shared" si="35"/>
        <v>0.14661654135338345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2808</v>
      </c>
      <c r="AH41" s="122">
        <f t="shared" si="37"/>
        <v>1</v>
      </c>
      <c r="AI41" s="111">
        <f t="shared" si="37"/>
        <v>2808</v>
      </c>
      <c r="AJ41" s="147">
        <f t="shared" si="38"/>
        <v>0</v>
      </c>
      <c r="AK41" s="146">
        <f t="shared" si="39"/>
        <v>2808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5" t="str">
        <f>IF('Q2'!A42=0,"",'Q2'!A42)</f>
        <v>Small business -- see Data2</v>
      </c>
      <c r="B42" s="214">
        <f>IF([1]Summ!C1077="",0,[1]Summ!C1077)</f>
        <v>0</v>
      </c>
      <c r="C42" s="214">
        <f>IF([1]Summ!D1077="",0,[1]Summ!D1077)</f>
        <v>0</v>
      </c>
      <c r="D42" s="37">
        <f t="shared" si="25"/>
        <v>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0</v>
      </c>
      <c r="J42" s="37">
        <f t="shared" si="32"/>
        <v>0</v>
      </c>
      <c r="K42" s="39">
        <f t="shared" si="33"/>
        <v>0</v>
      </c>
      <c r="L42" s="21">
        <f t="shared" si="34"/>
        <v>0</v>
      </c>
      <c r="M42" s="23">
        <f t="shared" si="35"/>
        <v>0</v>
      </c>
      <c r="N42" s="2"/>
      <c r="O42" s="2"/>
      <c r="P42" s="174"/>
      <c r="Q42" s="40"/>
      <c r="R42" s="40"/>
      <c r="S42" s="252"/>
      <c r="T42" s="252"/>
      <c r="U42" s="55"/>
      <c r="V42" s="55"/>
      <c r="W42" s="114"/>
      <c r="X42" s="117">
        <v>1</v>
      </c>
      <c r="Y42" s="109"/>
      <c r="Z42" s="155">
        <f>'Q2'!Z42</f>
        <v>0.25</v>
      </c>
      <c r="AA42" s="146">
        <f t="shared" si="40"/>
        <v>0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0</v>
      </c>
      <c r="AF42" s="121">
        <f t="shared" si="29"/>
        <v>0.25</v>
      </c>
      <c r="AG42" s="146">
        <f t="shared" si="36"/>
        <v>0</v>
      </c>
      <c r="AH42" s="122">
        <f t="shared" si="37"/>
        <v>1</v>
      </c>
      <c r="AI42" s="111">
        <f t="shared" si="37"/>
        <v>0</v>
      </c>
      <c r="AJ42" s="147">
        <f t="shared" si="38"/>
        <v>0</v>
      </c>
      <c r="AK42" s="146">
        <f t="shared" si="39"/>
        <v>0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5" t="str">
        <f>IF('Q2'!A43=0,"",'Q2'!A43)</f>
        <v>Social development -- see Data2</v>
      </c>
      <c r="B43" s="214">
        <f>IF([1]Summ!C1078="",0,[1]Summ!C1078)</f>
        <v>10248</v>
      </c>
      <c r="C43" s="214">
        <f>IF([1]Summ!D1078="",0,[1]Summ!D1078)</f>
        <v>0</v>
      </c>
      <c r="D43" s="37">
        <f t="shared" si="25"/>
        <v>10248</v>
      </c>
      <c r="E43" s="74">
        <f>'Q2'!E43</f>
        <v>0</v>
      </c>
      <c r="F43" s="74">
        <f>'Q2'!F43</f>
        <v>1.18</v>
      </c>
      <c r="G43" s="74">
        <f>'Q2'!G43</f>
        <v>1.65</v>
      </c>
      <c r="H43" s="23">
        <f t="shared" si="30"/>
        <v>0</v>
      </c>
      <c r="I43" s="38">
        <f t="shared" si="31"/>
        <v>0</v>
      </c>
      <c r="J43" s="37">
        <f t="shared" si="32"/>
        <v>0</v>
      </c>
      <c r="K43" s="39">
        <f t="shared" si="33"/>
        <v>0.53508771929824561</v>
      </c>
      <c r="L43" s="21">
        <f t="shared" si="34"/>
        <v>0</v>
      </c>
      <c r="M43" s="23">
        <f t="shared" si="35"/>
        <v>0</v>
      </c>
      <c r="N43" s="2"/>
      <c r="O43" s="2"/>
      <c r="P43" s="174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0</v>
      </c>
      <c r="AB43" s="155">
        <f>'Q2'!AB43</f>
        <v>0.25</v>
      </c>
      <c r="AC43" s="146">
        <f t="shared" si="41"/>
        <v>0</v>
      </c>
      <c r="AD43" s="155">
        <f>'Q2'!AD43</f>
        <v>0.25</v>
      </c>
      <c r="AE43" s="146">
        <f t="shared" si="42"/>
        <v>0</v>
      </c>
      <c r="AF43" s="121">
        <f t="shared" si="29"/>
        <v>0.25</v>
      </c>
      <c r="AG43" s="146">
        <f t="shared" si="36"/>
        <v>0</v>
      </c>
      <c r="AH43" s="122">
        <f t="shared" si="37"/>
        <v>1</v>
      </c>
      <c r="AI43" s="111">
        <f t="shared" si="37"/>
        <v>0</v>
      </c>
      <c r="AJ43" s="147">
        <f t="shared" si="38"/>
        <v>0</v>
      </c>
      <c r="AK43" s="146">
        <f t="shared" si="39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5" t="str">
        <f>IF('Q2'!A44=0,"",'Q2'!A44)</f>
        <v>Helping friends</v>
      </c>
      <c r="B44" s="214">
        <f>IF([1]Summ!C1079="",0,[1]Summ!C1079)</f>
        <v>540</v>
      </c>
      <c r="C44" s="214">
        <f>IF([1]Summ!D1079="",0,[1]Summ!D1079)</f>
        <v>0</v>
      </c>
      <c r="D44" s="37">
        <f t="shared" si="25"/>
        <v>540</v>
      </c>
      <c r="E44" s="74">
        <f>'Q2'!E44</f>
        <v>1</v>
      </c>
      <c r="F44" s="74">
        <f>'Q2'!F44</f>
        <v>1.1100000000000001</v>
      </c>
      <c r="G44" s="74">
        <f>'Q2'!G44</f>
        <v>1.65</v>
      </c>
      <c r="H44" s="23">
        <f t="shared" si="30"/>
        <v>1.1100000000000001</v>
      </c>
      <c r="I44" s="38">
        <f t="shared" si="31"/>
        <v>599.40000000000009</v>
      </c>
      <c r="J44" s="37">
        <f t="shared" si="32"/>
        <v>599.40000000000009</v>
      </c>
      <c r="K44" s="39">
        <f t="shared" si="33"/>
        <v>2.819548872180451E-2</v>
      </c>
      <c r="L44" s="21">
        <f t="shared" si="34"/>
        <v>3.1296992481203011E-2</v>
      </c>
      <c r="M44" s="23">
        <f t="shared" si="35"/>
        <v>3.1296992481203011E-2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149.85000000000002</v>
      </c>
      <c r="AB44" s="155">
        <f>'Q2'!AB44</f>
        <v>0.25</v>
      </c>
      <c r="AC44" s="146">
        <f t="shared" si="41"/>
        <v>149.85000000000002</v>
      </c>
      <c r="AD44" s="155">
        <f>'Q2'!AD44</f>
        <v>0.25</v>
      </c>
      <c r="AE44" s="146">
        <f t="shared" si="42"/>
        <v>149.85000000000002</v>
      </c>
      <c r="AF44" s="121">
        <f t="shared" si="29"/>
        <v>0.25</v>
      </c>
      <c r="AG44" s="146">
        <f t="shared" si="36"/>
        <v>149.85000000000002</v>
      </c>
      <c r="AH44" s="122">
        <f t="shared" si="37"/>
        <v>1</v>
      </c>
      <c r="AI44" s="111">
        <f t="shared" si="37"/>
        <v>599.40000000000009</v>
      </c>
      <c r="AJ44" s="147">
        <f t="shared" si="38"/>
        <v>299.70000000000005</v>
      </c>
      <c r="AK44" s="146">
        <f t="shared" si="39"/>
        <v>299.70000000000005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5" t="str">
        <f>IF('Q2'!A45=0,"",'Q2'!A45)</f>
        <v>Gifts and support</v>
      </c>
      <c r="B45" s="214">
        <f>IF([1]Summ!C1080="",0,[1]Summ!C1080)</f>
        <v>744</v>
      </c>
      <c r="C45" s="214">
        <f>IF([1]Summ!D1080="",0,[1]Summ!D1080)</f>
        <v>0</v>
      </c>
      <c r="D45" s="37">
        <f t="shared" si="25"/>
        <v>744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744</v>
      </c>
      <c r="J45" s="37">
        <f t="shared" si="32"/>
        <v>744</v>
      </c>
      <c r="K45" s="39">
        <f t="shared" si="33"/>
        <v>3.8847117794486213E-2</v>
      </c>
      <c r="L45" s="21">
        <f t="shared" si="34"/>
        <v>3.8847117794486213E-2</v>
      </c>
      <c r="M45" s="23">
        <f t="shared" si="35"/>
        <v>3.8847117794486213E-2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186</v>
      </c>
      <c r="AB45" s="155">
        <f>'Q2'!AB45</f>
        <v>0.25</v>
      </c>
      <c r="AC45" s="146">
        <f t="shared" si="41"/>
        <v>186</v>
      </c>
      <c r="AD45" s="155">
        <f>'Q2'!AD45</f>
        <v>0.25</v>
      </c>
      <c r="AE45" s="146">
        <f t="shared" si="42"/>
        <v>186</v>
      </c>
      <c r="AF45" s="121">
        <f t="shared" si="29"/>
        <v>0.25</v>
      </c>
      <c r="AG45" s="146">
        <f t="shared" si="36"/>
        <v>186</v>
      </c>
      <c r="AH45" s="122">
        <f t="shared" si="37"/>
        <v>1</v>
      </c>
      <c r="AI45" s="111">
        <f t="shared" si="37"/>
        <v>744</v>
      </c>
      <c r="AJ45" s="147">
        <f t="shared" si="38"/>
        <v>372</v>
      </c>
      <c r="AK45" s="146">
        <f t="shared" si="39"/>
        <v>372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5" t="str">
        <f>IF('Q2'!A46=0,"",'Q2'!A46)</f>
        <v>Remittances: no. times per year</v>
      </c>
      <c r="B46" s="214">
        <f>IF([1]Summ!C1081="",0,[1]Summ!C1081)</f>
        <v>1800</v>
      </c>
      <c r="C46" s="214">
        <f>IF([1]Summ!D1081="",0,[1]Summ!D1081)</f>
        <v>0</v>
      </c>
      <c r="D46" s="37">
        <f t="shared" si="25"/>
        <v>1800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1998.0000000000002</v>
      </c>
      <c r="J46" s="37">
        <f t="shared" si="32"/>
        <v>1998.0000000000002</v>
      </c>
      <c r="K46" s="39">
        <f t="shared" si="33"/>
        <v>9.3984962406015032E-2</v>
      </c>
      <c r="L46" s="21">
        <f t="shared" si="34"/>
        <v>0.10432330827067669</v>
      </c>
      <c r="M46" s="23">
        <f t="shared" si="35"/>
        <v>0.10432330827067671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499.50000000000006</v>
      </c>
      <c r="AB46" s="155">
        <f>'Q2'!AB46</f>
        <v>0.25</v>
      </c>
      <c r="AC46" s="146">
        <f t="shared" si="41"/>
        <v>499.50000000000006</v>
      </c>
      <c r="AD46" s="155">
        <f>'Q2'!AD46</f>
        <v>0.25</v>
      </c>
      <c r="AE46" s="146">
        <f t="shared" si="42"/>
        <v>499.50000000000006</v>
      </c>
      <c r="AF46" s="121">
        <f t="shared" si="29"/>
        <v>0.25</v>
      </c>
      <c r="AG46" s="146">
        <f t="shared" si="36"/>
        <v>499.50000000000006</v>
      </c>
      <c r="AH46" s="122">
        <f t="shared" si="37"/>
        <v>1</v>
      </c>
      <c r="AI46" s="111">
        <f t="shared" si="37"/>
        <v>1998.0000000000002</v>
      </c>
      <c r="AJ46" s="147">
        <f t="shared" si="38"/>
        <v>999.00000000000011</v>
      </c>
      <c r="AK46" s="146">
        <f t="shared" si="39"/>
        <v>999.00000000000011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5" t="str">
        <f>IF('Q2'!A47=0,"",'Q2'!A47)</f>
        <v/>
      </c>
      <c r="B47" s="214">
        <f>IF([1]Summ!C1082="",0,[1]Summ!C1082)</f>
        <v>0</v>
      </c>
      <c r="C47" s="214">
        <f>IF([1]Summ!D1082="",0,[1]Summ!D1082)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5" t="str">
        <f>IF('Q2'!A48=0,"",'Q2'!A48)</f>
        <v/>
      </c>
      <c r="B48" s="214">
        <f>IF([1]Summ!C1083="",0,[1]Summ!C1083)</f>
        <v>0</v>
      </c>
      <c r="C48" s="214">
        <f>IF([1]Summ!D1083="",0,[1]Summ!D1083)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5" t="str">
        <f>IF('Q2'!A49=0,"",'Q2'!A49)</f>
        <v/>
      </c>
      <c r="B49" s="214">
        <f>IF([1]Summ!C1084="",0,[1]Summ!C1084)</f>
        <v>0</v>
      </c>
      <c r="C49" s="214">
        <f>IF([1]Summ!D1084="",0,[1]Summ!D1084)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5" t="str">
        <f>IF('Q2'!A50=0,"",'Q2'!A50)</f>
        <v/>
      </c>
      <c r="B50" s="214">
        <f>IF([1]Summ!C1085="",0,[1]Summ!C1085)</f>
        <v>0</v>
      </c>
      <c r="C50" s="214">
        <f>IF([1]Summ!D1085="",0,[1]Summ!D1085)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5" t="str">
        <f>IF('Q2'!A51=0,"",'Q2'!A51)</f>
        <v/>
      </c>
      <c r="B51" s="214">
        <f>IF([1]Summ!C1086="",0,[1]Summ!C1086)</f>
        <v>0</v>
      </c>
      <c r="C51" s="214">
        <f>IF([1]Summ!D1086="",0,[1]Summ!D1086)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5" t="str">
        <f>IF('Q2'!A52=0,"",'Q2'!A52)</f>
        <v/>
      </c>
      <c r="B52" s="214">
        <f>IF([1]Summ!C1087="",0,[1]Summ!C1087)</f>
        <v>0</v>
      </c>
      <c r="C52" s="214">
        <f>IF([1]Summ!D1087="",0,[1]Summ!D1087)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5" t="str">
        <f>IF('Q2'!A53=0,"",'Q2'!A53)</f>
        <v/>
      </c>
      <c r="B53" s="214">
        <f>IF([1]Summ!C1088="",0,[1]Summ!C1088)</f>
        <v>0</v>
      </c>
      <c r="C53" s="214">
        <f>IF([1]Summ!D1088="",0,[1]Summ!D1088)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5" t="str">
        <f>IF('Q2'!A54=0,"",'Q2'!A54)</f>
        <v/>
      </c>
      <c r="B54" s="214">
        <f>IF([1]Summ!C1089="",0,[1]Summ!C1089)</f>
        <v>0</v>
      </c>
      <c r="C54" s="214">
        <f>IF([1]Summ!D1089="",0,[1]Summ!D1089)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5" t="str">
        <f>IF('Q2'!A55=0,"",'Q2'!A55)</f>
        <v/>
      </c>
      <c r="B55" s="214">
        <f>IF([1]Summ!C1090="",0,[1]Summ!C1090)</f>
        <v>0</v>
      </c>
      <c r="C55" s="214">
        <f>IF([1]Summ!D1090="",0,[1]Summ!D1090)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5" t="str">
        <f>IF('Q2'!A56=0,"",'Q2'!A56)</f>
        <v/>
      </c>
      <c r="B56" s="214">
        <f>IF([1]Summ!C1091="",0,[1]Summ!C1091)</f>
        <v>0</v>
      </c>
      <c r="C56" s="214">
        <f>IF([1]Summ!D1091="",0,[1]Summ!D1091)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5" t="str">
        <f>IF('Q2'!A57=0,"",'Q2'!A57)</f>
        <v/>
      </c>
      <c r="B57" s="214">
        <f>IF([1]Summ!C1092="",0,[1]Summ!C1092)</f>
        <v>0</v>
      </c>
      <c r="C57" s="214">
        <f>IF([1]Summ!D1092="",0,[1]Summ!D1092)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5" t="str">
        <f>IF('Q2'!A58=0,"",'Q2'!A58)</f>
        <v/>
      </c>
      <c r="B58" s="214">
        <f>IF([1]Summ!C1093="",0,[1]Summ!C1093)</f>
        <v>0</v>
      </c>
      <c r="C58" s="214">
        <f>IF([1]Summ!D1093="",0,[1]Summ!D1093)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5" t="str">
        <f>IF('Q2'!A59=0,"",'Q2'!A59)</f>
        <v/>
      </c>
      <c r="B59" s="214">
        <f>IF([1]Summ!C1094="",0,[1]Summ!C1094)</f>
        <v>0</v>
      </c>
      <c r="C59" s="214">
        <f>IF([1]Summ!D1094="",0,[1]Summ!D1094)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5" t="str">
        <f>IF('Q2'!A60=0,"",'Q2'!A60)</f>
        <v/>
      </c>
      <c r="B60" s="214">
        <f>IF([1]Summ!C1095="",0,[1]Summ!C1095)</f>
        <v>0</v>
      </c>
      <c r="C60" s="214">
        <f>IF([1]Summ!D1095="",0,[1]Summ!D1095)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5" t="str">
        <f>IF('Q2'!A61=0,"",'Q2'!A61)</f>
        <v/>
      </c>
      <c r="B61" s="214">
        <f>IF([1]Summ!C1096="",0,[1]Summ!C1096)</f>
        <v>0</v>
      </c>
      <c r="C61" s="214">
        <f>IF([1]Summ!D1096="",0,[1]Summ!D1096)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174"/>
      <c r="S61" s="67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5" t="str">
        <f>IF('Q2'!A62=0,"",'Q2'!A62)</f>
        <v/>
      </c>
      <c r="B62" s="214">
        <f>IF([1]Summ!C1097="",0,[1]Summ!C1097)</f>
        <v>0</v>
      </c>
      <c r="C62" s="214">
        <f>IF([1]Summ!D1097="",0,[1]Summ!D1097)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18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5" t="str">
        <f>IF('Q2'!A63=0,"",'Q2'!A63)</f>
        <v/>
      </c>
      <c r="B63" s="214">
        <f>IF([1]Summ!C1098="",0,[1]Summ!C1098)</f>
        <v>0</v>
      </c>
      <c r="C63" s="214">
        <f>IF([1]Summ!D1098="",0,[1]Summ!D1098)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5" t="str">
        <f>IF('Q2'!A64=0,"",'Q2'!A64)</f>
        <v/>
      </c>
      <c r="B64" s="214">
        <f>IF([1]Summ!C1099="",0,[1]Summ!C1099)</f>
        <v>0</v>
      </c>
      <c r="C64" s="214">
        <f>IF([1]Summ!D1099="",0,[1]Summ!D1099)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19152</v>
      </c>
      <c r="C65" s="38">
        <f>SUM(C37:C64)</f>
        <v>468</v>
      </c>
      <c r="D65" s="41">
        <f>SUM(D37:D64)</f>
        <v>19620</v>
      </c>
      <c r="E65" s="31"/>
      <c r="F65" s="31"/>
      <c r="G65" s="31"/>
      <c r="H65" s="30"/>
      <c r="I65" s="38">
        <f>SUM(I37:I64)</f>
        <v>8080.7999999999993</v>
      </c>
      <c r="J65" s="38">
        <f>SUM(J37:J64)</f>
        <v>8080.7999999999993</v>
      </c>
      <c r="K65" s="39">
        <f>SUM(K37:K64)</f>
        <v>1</v>
      </c>
      <c r="L65" s="21">
        <f>SUM(L37:L64)</f>
        <v>0.39749373433583957</v>
      </c>
      <c r="M65" s="23">
        <f>SUM(M37:M64)</f>
        <v>0.42192982456140349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135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SUM([1]Summ!C1031)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8080.8000000000011</v>
      </c>
      <c r="J70" s="50">
        <f t="shared" ref="J70:J77" si="44">J124*I$83</f>
        <v>8080.8000000000011</v>
      </c>
      <c r="K70" s="39">
        <f>B70/B$76</f>
        <v>0.39065082138773188</v>
      </c>
      <c r="L70" s="21">
        <f t="shared" ref="L70:L74" si="45">(L124*G$37*F$9/F$7)/B$130</f>
        <v>0.39749373433583962</v>
      </c>
      <c r="M70" s="23">
        <f>J70/B$76</f>
        <v>0.42192982456140354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2020.2000000000003</v>
      </c>
      <c r="AB70" s="155">
        <f>'Q2'!AB70</f>
        <v>0.25</v>
      </c>
      <c r="AC70" s="146">
        <f>$J70*AB70</f>
        <v>2020.2000000000003</v>
      </c>
      <c r="AD70" s="155">
        <f>'Q2'!AD70</f>
        <v>0.25</v>
      </c>
      <c r="AE70" s="146">
        <f>$J70*AD70</f>
        <v>2020.2000000000003</v>
      </c>
      <c r="AF70" s="155">
        <f>'Q2'!AF70</f>
        <v>0.25</v>
      </c>
      <c r="AG70" s="146">
        <f>$J70*AF70</f>
        <v>2020.2000000000003</v>
      </c>
      <c r="AH70" s="154">
        <f>SUM(Z70,AB70,AD70,AF70)</f>
        <v>1</v>
      </c>
      <c r="AI70" s="146">
        <f>SUM(AA70,AC70,AE70,AG70)</f>
        <v>8080.8000000000011</v>
      </c>
      <c r="AJ70" s="147">
        <f>(AA70+AC70)</f>
        <v>4040.4000000000005</v>
      </c>
      <c r="AK70" s="146">
        <f>(AE70+AG70)</f>
        <v>4040.4000000000005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SUM([1]Summ!C1032)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0</v>
      </c>
      <c r="J71" s="50">
        <f t="shared" si="44"/>
        <v>0</v>
      </c>
      <c r="K71" s="39">
        <f t="shared" ref="K71:K72" si="47">B71/B$76</f>
        <v>0.40671122250069619</v>
      </c>
      <c r="L71" s="21">
        <f t="shared" si="45"/>
        <v>0</v>
      </c>
      <c r="M71" s="23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SUM([1]Summ!C1033)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0</v>
      </c>
      <c r="K72" s="39">
        <f t="shared" si="47"/>
        <v>0.72431077694235591</v>
      </c>
      <c r="L72" s="21">
        <f t="shared" si="45"/>
        <v>0</v>
      </c>
      <c r="M72" s="23">
        <f t="shared" si="48"/>
        <v>0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SUM([1]Summ!C1034)</f>
        <v>575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3.0022974101921469E-2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61.064999999999998</v>
      </c>
      <c r="AB73" s="155">
        <f>'Q2'!AB73</f>
        <v>0.09</v>
      </c>
      <c r="AC73" s="146">
        <f>$H$73*$B$73*AB73</f>
        <v>61.064999999999998</v>
      </c>
      <c r="AD73" s="155">
        <f>'Q2'!AD73</f>
        <v>0.23</v>
      </c>
      <c r="AE73" s="146">
        <f>$H$73*$B$73*AD73</f>
        <v>156.05500000000001</v>
      </c>
      <c r="AF73" s="155">
        <f>'Q2'!AF73</f>
        <v>0.59</v>
      </c>
      <c r="AG73" s="146">
        <f>$H$73*$B$73*AF73</f>
        <v>400.315</v>
      </c>
      <c r="AH73" s="154">
        <f>SUM(Z73,AB73,AD73,AF73)</f>
        <v>1</v>
      </c>
      <c r="AI73" s="146">
        <f>SUM(AA73,AC73,AE73,AG73)</f>
        <v>678.5</v>
      </c>
      <c r="AJ73" s="147">
        <f>(AA73+AC73)</f>
        <v>122.13</v>
      </c>
      <c r="AK73" s="146">
        <f>(AE73+AG73)</f>
        <v>556.37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3583.8275713305397</v>
      </c>
      <c r="C74" s="38"/>
      <c r="D74" s="37"/>
      <c r="E74" s="31"/>
      <c r="F74" s="31"/>
      <c r="G74" s="31"/>
      <c r="H74" s="30"/>
      <c r="I74" s="38">
        <f>I128*I$83</f>
        <v>0</v>
      </c>
      <c r="J74" s="50">
        <f t="shared" si="44"/>
        <v>0</v>
      </c>
      <c r="K74" s="39">
        <f>B74/B$76</f>
        <v>0.18712549975618942</v>
      </c>
      <c r="L74" s="21">
        <f t="shared" si="45"/>
        <v>0</v>
      </c>
      <c r="M74" s="23">
        <f>J74/B$76</f>
        <v>0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</v>
      </c>
      <c r="L75" s="21">
        <f>(L129*G$37*F$9/F$7)/B$130</f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19152</v>
      </c>
      <c r="C76" s="38"/>
      <c r="D76" s="37"/>
      <c r="E76" s="31"/>
      <c r="F76" s="31"/>
      <c r="G76" s="31"/>
      <c r="H76" s="30"/>
      <c r="I76" s="38">
        <f>I130*I$83</f>
        <v>8080.8000000000011</v>
      </c>
      <c r="J76" s="50">
        <f t="shared" si="44"/>
        <v>8080.8000000000011</v>
      </c>
      <c r="K76" s="39">
        <f>SUM(K70:K75)</f>
        <v>1.7388212946888948</v>
      </c>
      <c r="L76" s="21">
        <f>SUM(L70:L75)</f>
        <v>0.39749373433583962</v>
      </c>
      <c r="M76" s="23">
        <f>SUM(M70:M75)</f>
        <v>0.42192982456140354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11585.05567703831</v>
      </c>
      <c r="J77" s="99">
        <f t="shared" si="44"/>
        <v>11585.05567703831</v>
      </c>
      <c r="K77" s="39"/>
      <c r="L77" s="21">
        <f>-(L131*G$37*F$9/F$7)/B$130</f>
        <v>-0.60490056793224256</v>
      </c>
      <c r="M77" s="23">
        <f>-J77/B$76</f>
        <v>-0.60490056793224256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[1]Summ!C1037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[1]Summ!C1038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[1]Summ!C1039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[1]Summ!C1040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55"/>
      <c r="Z86" s="55"/>
      <c r="AA86" s="40"/>
      <c r="AB86" s="55"/>
      <c r="AC86" s="40"/>
      <c r="AD86" s="55"/>
      <c r="AE86" s="40"/>
      <c r="AF86" s="55"/>
      <c r="AG86" s="40"/>
      <c r="AH86" s="66"/>
      <c r="AI86" s="66"/>
      <c r="AJ86" s="66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8"/>
      <c r="Z87" s="55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Q1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 t="shared" ref="A91:A106" si="50">IF(A37="","",A37)</f>
        <v>Construction cash income -- see Data2</v>
      </c>
      <c r="B91" s="74">
        <f t="shared" ref="B91:C118" si="51">(B37/$B$83)</f>
        <v>0.29905445867360236</v>
      </c>
      <c r="C91" s="74">
        <f t="shared" si="51"/>
        <v>0</v>
      </c>
      <c r="D91" s="23">
        <f t="shared" ref="D91:D106" si="52">(B91+C91)</f>
        <v>0.29905445867360236</v>
      </c>
      <c r="H91" s="23">
        <f t="shared" ref="H91:H106" si="53">(E37*F37/G37*F$7/F$9)</f>
        <v>0.33636363636363642</v>
      </c>
      <c r="I91" s="21">
        <f t="shared" ref="I91:I106" si="54">(D91*H91)</f>
        <v>0.10059104519021173</v>
      </c>
      <c r="J91" s="23">
        <f t="shared" ref="J91:J99" si="55">IF(I$32&lt;=1+I$131,I91,L91+J$33*(I91-L91))</f>
        <v>0.10059104519021173</v>
      </c>
      <c r="K91" s="21">
        <f t="shared" ref="K91:K106" si="56">(B91)</f>
        <v>0.29905445867360236</v>
      </c>
      <c r="L91" s="21">
        <f t="shared" ref="L91:L106" si="57">(K91*H91)</f>
        <v>0.10059104519021173</v>
      </c>
      <c r="M91" s="225">
        <f t="shared" si="49"/>
        <v>0.10059104519021173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si="50"/>
        <v>Domestic work cash income -- see Data2</v>
      </c>
      <c r="B92" s="74">
        <f t="shared" si="51"/>
        <v>0.21109726494607228</v>
      </c>
      <c r="C92" s="74">
        <f t="shared" si="51"/>
        <v>0</v>
      </c>
      <c r="D92" s="23">
        <f t="shared" si="52"/>
        <v>0.21109726494607228</v>
      </c>
      <c r="H92" s="23">
        <f t="shared" si="53"/>
        <v>0.33636363636363642</v>
      </c>
      <c r="I92" s="21">
        <f t="shared" si="54"/>
        <v>7.1005443663678877E-2</v>
      </c>
      <c r="J92" s="23">
        <f t="shared" si="55"/>
        <v>7.1005443663678877E-2</v>
      </c>
      <c r="K92" s="21">
        <f t="shared" si="56"/>
        <v>0.21109726494607228</v>
      </c>
      <c r="L92" s="21">
        <f t="shared" si="57"/>
        <v>7.1005443663678877E-2</v>
      </c>
      <c r="M92" s="225">
        <f t="shared" si="49"/>
        <v>7.1005443663678877E-2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0"/>
        <v>Labour migration(formal employment): no. people per HH</v>
      </c>
      <c r="B93" s="74">
        <f t="shared" si="51"/>
        <v>0</v>
      </c>
      <c r="C93" s="74">
        <f t="shared" si="51"/>
        <v>0</v>
      </c>
      <c r="D93" s="23">
        <f t="shared" si="52"/>
        <v>0</v>
      </c>
      <c r="H93" s="23">
        <f t="shared" si="53"/>
        <v>0.56242424242424238</v>
      </c>
      <c r="I93" s="21">
        <f t="shared" si="54"/>
        <v>0</v>
      </c>
      <c r="J93" s="23">
        <f t="shared" si="55"/>
        <v>0</v>
      </c>
      <c r="K93" s="21">
        <f t="shared" si="56"/>
        <v>0</v>
      </c>
      <c r="L93" s="21">
        <f t="shared" si="57"/>
        <v>0</v>
      </c>
      <c r="M93" s="225">
        <f t="shared" si="49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0"/>
        <v>Formal Employment</v>
      </c>
      <c r="B94" s="74">
        <f t="shared" si="51"/>
        <v>0</v>
      </c>
      <c r="C94" s="74">
        <f t="shared" si="51"/>
        <v>0</v>
      </c>
      <c r="D94" s="23">
        <f t="shared" si="52"/>
        <v>0</v>
      </c>
      <c r="H94" s="23">
        <f t="shared" si="53"/>
        <v>0.70303030303030301</v>
      </c>
      <c r="I94" s="21">
        <f t="shared" si="54"/>
        <v>0</v>
      </c>
      <c r="J94" s="23">
        <f t="shared" si="55"/>
        <v>0</v>
      </c>
      <c r="K94" s="21">
        <f t="shared" si="56"/>
        <v>0</v>
      </c>
      <c r="L94" s="21">
        <f t="shared" si="57"/>
        <v>0</v>
      </c>
      <c r="M94" s="226">
        <f t="shared" si="49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0"/>
        <v>Self-employment -- see Data2</v>
      </c>
      <c r="B95" s="74">
        <f t="shared" si="51"/>
        <v>0.34303305553736746</v>
      </c>
      <c r="C95" s="74">
        <f t="shared" si="51"/>
        <v>6.8606611107473486E-2</v>
      </c>
      <c r="D95" s="23">
        <f t="shared" si="52"/>
        <v>0.41163966664484097</v>
      </c>
      <c r="H95" s="23">
        <f t="shared" si="53"/>
        <v>0.60606060606060608</v>
      </c>
      <c r="I95" s="21">
        <f t="shared" si="54"/>
        <v>0.24947858584535818</v>
      </c>
      <c r="J95" s="23">
        <f t="shared" si="55"/>
        <v>0.24947858584535818</v>
      </c>
      <c r="K95" s="21">
        <f t="shared" si="56"/>
        <v>0.34303305553736746</v>
      </c>
      <c r="L95" s="21">
        <f t="shared" si="57"/>
        <v>0.20789882153779846</v>
      </c>
      <c r="M95" s="226">
        <f t="shared" si="49"/>
        <v>0.24947858584535818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0"/>
        <v>Small business -- see Data2</v>
      </c>
      <c r="B96" s="74">
        <f t="shared" si="51"/>
        <v>0</v>
      </c>
      <c r="C96" s="74">
        <f t="shared" si="51"/>
        <v>0</v>
      </c>
      <c r="D96" s="23">
        <f t="shared" si="52"/>
        <v>0</v>
      </c>
      <c r="H96" s="23">
        <f t="shared" si="53"/>
        <v>0.70303030303030301</v>
      </c>
      <c r="I96" s="21">
        <f t="shared" si="54"/>
        <v>0</v>
      </c>
      <c r="J96" s="23">
        <f t="shared" si="55"/>
        <v>0</v>
      </c>
      <c r="K96" s="21">
        <f t="shared" si="56"/>
        <v>0</v>
      </c>
      <c r="L96" s="21">
        <f t="shared" si="57"/>
        <v>0</v>
      </c>
      <c r="M96" s="226">
        <f t="shared" si="49"/>
        <v>0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0"/>
        <v>Social development -- see Data2</v>
      </c>
      <c r="B97" s="74">
        <f t="shared" si="51"/>
        <v>1.5023088688662143</v>
      </c>
      <c r="C97" s="74">
        <f t="shared" si="51"/>
        <v>0</v>
      </c>
      <c r="D97" s="23">
        <f t="shared" si="52"/>
        <v>1.5023088688662143</v>
      </c>
      <c r="H97" s="23">
        <f t="shared" si="53"/>
        <v>0</v>
      </c>
      <c r="I97" s="21">
        <f t="shared" si="54"/>
        <v>0</v>
      </c>
      <c r="J97" s="23">
        <f t="shared" si="55"/>
        <v>0</v>
      </c>
      <c r="K97" s="21">
        <f t="shared" si="56"/>
        <v>1.5023088688662143</v>
      </c>
      <c r="L97" s="21">
        <f t="shared" si="57"/>
        <v>0</v>
      </c>
      <c r="M97" s="226">
        <f t="shared" si="49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0"/>
        <v>Helping friends</v>
      </c>
      <c r="B98" s="74">
        <f t="shared" si="51"/>
        <v>7.9161474354777106E-2</v>
      </c>
      <c r="C98" s="74">
        <f t="shared" si="51"/>
        <v>0</v>
      </c>
      <c r="D98" s="23">
        <f t="shared" si="52"/>
        <v>7.9161474354777106E-2</v>
      </c>
      <c r="H98" s="23">
        <f t="shared" si="53"/>
        <v>0.67272727272727284</v>
      </c>
      <c r="I98" s="21">
        <f t="shared" si="54"/>
        <v>5.3254082747759154E-2</v>
      </c>
      <c r="J98" s="23">
        <f t="shared" si="55"/>
        <v>5.3254082747759154E-2</v>
      </c>
      <c r="K98" s="21">
        <f t="shared" si="56"/>
        <v>7.9161474354777106E-2</v>
      </c>
      <c r="L98" s="21">
        <f t="shared" si="57"/>
        <v>5.3254082747759154E-2</v>
      </c>
      <c r="M98" s="226">
        <f t="shared" si="49"/>
        <v>5.3254082747759154E-2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0"/>
        <v>Gifts and support</v>
      </c>
      <c r="B99" s="74">
        <f t="shared" si="51"/>
        <v>0.10906692022213735</v>
      </c>
      <c r="C99" s="74">
        <f t="shared" si="51"/>
        <v>0</v>
      </c>
      <c r="D99" s="23">
        <f t="shared" si="52"/>
        <v>0.10906692022213735</v>
      </c>
      <c r="H99" s="23">
        <f t="shared" si="53"/>
        <v>0.60606060606060608</v>
      </c>
      <c r="I99" s="21">
        <f t="shared" si="54"/>
        <v>6.610116377099233E-2</v>
      </c>
      <c r="J99" s="23">
        <f t="shared" si="55"/>
        <v>6.610116377099233E-2</v>
      </c>
      <c r="K99" s="21">
        <f t="shared" si="56"/>
        <v>0.10906692022213735</v>
      </c>
      <c r="L99" s="21">
        <f t="shared" si="57"/>
        <v>6.610116377099233E-2</v>
      </c>
      <c r="M99" s="226">
        <f t="shared" si="49"/>
        <v>6.610116377099233E-2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0"/>
        <v>Remittances: no. times per year</v>
      </c>
      <c r="B100" s="74">
        <f t="shared" si="51"/>
        <v>0.26387158118259035</v>
      </c>
      <c r="C100" s="74">
        <f t="shared" si="51"/>
        <v>0</v>
      </c>
      <c r="D100" s="23">
        <f t="shared" si="52"/>
        <v>0.26387158118259035</v>
      </c>
      <c r="H100" s="23">
        <f t="shared" si="53"/>
        <v>0.67272727272727284</v>
      </c>
      <c r="I100" s="21">
        <f t="shared" si="54"/>
        <v>0.17751360915919717</v>
      </c>
      <c r="J100" s="23">
        <f>IF(I$32&lt;=1+I131,I100,L100+J$33*(I100-L100))</f>
        <v>0.17751360915919717</v>
      </c>
      <c r="K100" s="21">
        <f t="shared" si="56"/>
        <v>0.26387158118259035</v>
      </c>
      <c r="L100" s="21">
        <f t="shared" si="57"/>
        <v>0.17751360915919717</v>
      </c>
      <c r="M100" s="226">
        <f t="shared" si="49"/>
        <v>0.17751360915919717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0"/>
        <v/>
      </c>
      <c r="B101" s="74">
        <f t="shared" si="51"/>
        <v>0</v>
      </c>
      <c r="C101" s="74">
        <f t="shared" si="51"/>
        <v>0</v>
      </c>
      <c r="D101" s="23">
        <f t="shared" si="52"/>
        <v>0</v>
      </c>
      <c r="H101" s="23">
        <f t="shared" si="53"/>
        <v>0.60606060606060608</v>
      </c>
      <c r="I101" s="21">
        <f t="shared" si="54"/>
        <v>0</v>
      </c>
      <c r="J101" s="23">
        <f>IF(I$32&lt;=1+I131,I101,L101+J$33*(I101-L101))</f>
        <v>0</v>
      </c>
      <c r="K101" s="21">
        <f t="shared" si="56"/>
        <v>0</v>
      </c>
      <c r="L101" s="21">
        <f t="shared" si="57"/>
        <v>0</v>
      </c>
      <c r="M101" s="225">
        <f t="shared" si="49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0"/>
        <v/>
      </c>
      <c r="B102" s="74">
        <f t="shared" si="51"/>
        <v>0</v>
      </c>
      <c r="C102" s="74">
        <f t="shared" si="51"/>
        <v>0</v>
      </c>
      <c r="D102" s="23">
        <f t="shared" si="52"/>
        <v>0</v>
      </c>
      <c r="H102" s="23">
        <f t="shared" si="53"/>
        <v>0.60606060606060608</v>
      </c>
      <c r="I102" s="21">
        <f t="shared" si="54"/>
        <v>0</v>
      </c>
      <c r="J102" s="23">
        <f>IF(I$32&lt;=1+I131,I102,L102+J$33*(I102-L102))</f>
        <v>0</v>
      </c>
      <c r="K102" s="21">
        <f t="shared" si="56"/>
        <v>0</v>
      </c>
      <c r="L102" s="21">
        <f t="shared" si="57"/>
        <v>0</v>
      </c>
      <c r="M102" s="226">
        <f t="shared" si="49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0"/>
        <v/>
      </c>
      <c r="B103" s="74">
        <f t="shared" si="51"/>
        <v>0</v>
      </c>
      <c r="C103" s="74">
        <f t="shared" si="51"/>
        <v>0</v>
      </c>
      <c r="D103" s="23">
        <f t="shared" si="52"/>
        <v>0</v>
      </c>
      <c r="H103" s="23">
        <f t="shared" si="53"/>
        <v>0.60606060606060608</v>
      </c>
      <c r="I103" s="21">
        <f t="shared" si="54"/>
        <v>0</v>
      </c>
      <c r="J103" s="23">
        <f>IF(I$32&lt;=1+I131,I103,L103+J$33*(I103-L103))</f>
        <v>0</v>
      </c>
      <c r="K103" s="21">
        <f t="shared" si="56"/>
        <v>0</v>
      </c>
      <c r="L103" s="21">
        <f t="shared" si="57"/>
        <v>0</v>
      </c>
      <c r="M103" s="226">
        <f t="shared" si="49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0"/>
        <v/>
      </c>
      <c r="B104" s="74">
        <f t="shared" si="51"/>
        <v>0</v>
      </c>
      <c r="C104" s="74">
        <f t="shared" si="51"/>
        <v>0</v>
      </c>
      <c r="D104" s="23">
        <f t="shared" si="52"/>
        <v>0</v>
      </c>
      <c r="H104" s="23">
        <f t="shared" si="53"/>
        <v>0.60606060606060608</v>
      </c>
      <c r="I104" s="21">
        <f t="shared" si="54"/>
        <v>0</v>
      </c>
      <c r="J104" s="23">
        <f>IF(I$32&lt;=1+I131,I104,L104+J$33*(I104-L104))</f>
        <v>0</v>
      </c>
      <c r="K104" s="21">
        <f t="shared" si="56"/>
        <v>0</v>
      </c>
      <c r="L104" s="21">
        <f t="shared" si="57"/>
        <v>0</v>
      </c>
      <c r="M104" s="226">
        <f t="shared" si="49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0"/>
        <v/>
      </c>
      <c r="B105" s="74">
        <f t="shared" si="51"/>
        <v>0</v>
      </c>
      <c r="C105" s="74">
        <f t="shared" si="51"/>
        <v>0</v>
      </c>
      <c r="D105" s="23">
        <f t="shared" si="52"/>
        <v>0</v>
      </c>
      <c r="H105" s="23">
        <f t="shared" si="53"/>
        <v>0.60606060606060608</v>
      </c>
      <c r="I105" s="21">
        <f t="shared" si="54"/>
        <v>0</v>
      </c>
      <c r="J105" s="23">
        <f>IF(I$32&lt;=1+I131,I105,L105+J$33*(I105-L105))</f>
        <v>0</v>
      </c>
      <c r="K105" s="21">
        <f t="shared" si="56"/>
        <v>0</v>
      </c>
      <c r="L105" s="21">
        <f t="shared" si="57"/>
        <v>0</v>
      </c>
      <c r="M105" s="226">
        <f t="shared" si="49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0"/>
        <v/>
      </c>
      <c r="B106" s="74">
        <f t="shared" si="51"/>
        <v>0</v>
      </c>
      <c r="C106" s="74">
        <f t="shared" si="51"/>
        <v>0</v>
      </c>
      <c r="D106" s="23">
        <f t="shared" si="52"/>
        <v>0</v>
      </c>
      <c r="H106" s="23">
        <f t="shared" si="53"/>
        <v>0.60606060606060608</v>
      </c>
      <c r="I106" s="21">
        <f t="shared" si="54"/>
        <v>0</v>
      </c>
      <c r="J106" s="23">
        <f>IF(I$32&lt;=1+I132,I106,L106+J$33*(I106-L106))</f>
        <v>0</v>
      </c>
      <c r="K106" s="21">
        <f t="shared" si="56"/>
        <v>0</v>
      </c>
      <c r="L106" s="21">
        <f t="shared" si="57"/>
        <v>0</v>
      </c>
      <c r="M106" s="226">
        <f>(J106)</f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ref="A107:A118" si="58">IF(A53="","",A53)</f>
        <v/>
      </c>
      <c r="B107" s="74">
        <f t="shared" si="51"/>
        <v>0</v>
      </c>
      <c r="C107" s="74">
        <f t="shared" si="51"/>
        <v>0</v>
      </c>
      <c r="D107" s="23">
        <f t="shared" ref="D107:D118" si="59">(B107+C107)</f>
        <v>0</v>
      </c>
      <c r="H107" s="23">
        <f t="shared" ref="H107:H118" si="60">(E53*F53/G53*F$7/F$9)</f>
        <v>0.60606060606060608</v>
      </c>
      <c r="I107" s="21">
        <f t="shared" ref="I107:I118" si="61">(D107*H107)</f>
        <v>0</v>
      </c>
      <c r="J107" s="23">
        <f t="shared" ref="J107:J118" si="62">IF(I$32&lt;=1+I133,I107,L107+J$33*(I107-L107))</f>
        <v>0</v>
      </c>
      <c r="K107" s="21">
        <f t="shared" ref="K107:K118" si="63">(B107)</f>
        <v>0</v>
      </c>
      <c r="L107" s="21">
        <f t="shared" ref="L107:L118" si="64">(K107*H107)</f>
        <v>0</v>
      </c>
      <c r="M107" s="226">
        <f t="shared" ref="M107:M118" si="65">(J107)</f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8"/>
        <v/>
      </c>
      <c r="B108" s="74">
        <f t="shared" si="51"/>
        <v>0</v>
      </c>
      <c r="C108" s="74">
        <f t="shared" si="51"/>
        <v>0</v>
      </c>
      <c r="D108" s="23">
        <f t="shared" si="59"/>
        <v>0</v>
      </c>
      <c r="H108" s="23">
        <f t="shared" si="60"/>
        <v>0.60606060606060608</v>
      </c>
      <c r="I108" s="21">
        <f t="shared" si="61"/>
        <v>0</v>
      </c>
      <c r="J108" s="23">
        <f t="shared" si="62"/>
        <v>0</v>
      </c>
      <c r="K108" s="21">
        <f t="shared" si="63"/>
        <v>0</v>
      </c>
      <c r="L108" s="21">
        <f t="shared" si="64"/>
        <v>0</v>
      </c>
      <c r="M108" s="226">
        <f t="shared" si="65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8"/>
        <v/>
      </c>
      <c r="B109" s="74">
        <f t="shared" si="51"/>
        <v>0</v>
      </c>
      <c r="C109" s="74">
        <f t="shared" si="51"/>
        <v>0</v>
      </c>
      <c r="D109" s="23">
        <f t="shared" si="59"/>
        <v>0</v>
      </c>
      <c r="H109" s="23">
        <f t="shared" si="60"/>
        <v>0.60606060606060608</v>
      </c>
      <c r="I109" s="21">
        <f t="shared" si="61"/>
        <v>0</v>
      </c>
      <c r="J109" s="23">
        <f t="shared" si="62"/>
        <v>0</v>
      </c>
      <c r="K109" s="21">
        <f t="shared" si="63"/>
        <v>0</v>
      </c>
      <c r="L109" s="21">
        <f t="shared" si="64"/>
        <v>0</v>
      </c>
      <c r="M109" s="226">
        <f t="shared" si="65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8"/>
        <v/>
      </c>
      <c r="B110" s="74">
        <f t="shared" si="51"/>
        <v>0</v>
      </c>
      <c r="C110" s="74">
        <f t="shared" si="51"/>
        <v>0</v>
      </c>
      <c r="D110" s="23">
        <f t="shared" si="59"/>
        <v>0</v>
      </c>
      <c r="H110" s="23">
        <f t="shared" si="60"/>
        <v>0.60606060606060608</v>
      </c>
      <c r="I110" s="21">
        <f t="shared" si="61"/>
        <v>0</v>
      </c>
      <c r="J110" s="23">
        <f t="shared" si="62"/>
        <v>0</v>
      </c>
      <c r="K110" s="21">
        <f t="shared" si="63"/>
        <v>0</v>
      </c>
      <c r="L110" s="21">
        <f t="shared" si="64"/>
        <v>0</v>
      </c>
      <c r="M110" s="226">
        <f t="shared" si="65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8"/>
        <v/>
      </c>
      <c r="B111" s="74">
        <f t="shared" si="51"/>
        <v>0</v>
      </c>
      <c r="C111" s="74">
        <f t="shared" si="51"/>
        <v>0</v>
      </c>
      <c r="D111" s="23">
        <f t="shared" si="59"/>
        <v>0</v>
      </c>
      <c r="H111" s="23">
        <f t="shared" si="60"/>
        <v>0.60606060606060608</v>
      </c>
      <c r="I111" s="21">
        <f t="shared" si="61"/>
        <v>0</v>
      </c>
      <c r="J111" s="23">
        <f t="shared" si="62"/>
        <v>0</v>
      </c>
      <c r="K111" s="21">
        <f t="shared" si="63"/>
        <v>0</v>
      </c>
      <c r="L111" s="21">
        <f t="shared" si="64"/>
        <v>0</v>
      </c>
      <c r="M111" s="226">
        <f t="shared" si="65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8"/>
        <v/>
      </c>
      <c r="B112" s="74">
        <f t="shared" si="51"/>
        <v>0</v>
      </c>
      <c r="C112" s="74">
        <f t="shared" si="51"/>
        <v>0</v>
      </c>
      <c r="D112" s="23">
        <f t="shared" si="59"/>
        <v>0</v>
      </c>
      <c r="H112" s="23">
        <f t="shared" si="60"/>
        <v>0.60606060606060608</v>
      </c>
      <c r="I112" s="21">
        <f t="shared" si="61"/>
        <v>0</v>
      </c>
      <c r="J112" s="23">
        <f t="shared" si="62"/>
        <v>0</v>
      </c>
      <c r="K112" s="21">
        <f t="shared" si="63"/>
        <v>0</v>
      </c>
      <c r="L112" s="21">
        <f t="shared" si="64"/>
        <v>0</v>
      </c>
      <c r="M112" s="226">
        <f t="shared" si="65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8"/>
        <v/>
      </c>
      <c r="B113" s="74">
        <f t="shared" si="51"/>
        <v>0</v>
      </c>
      <c r="C113" s="74">
        <f t="shared" si="51"/>
        <v>0</v>
      </c>
      <c r="D113" s="23">
        <f t="shared" si="59"/>
        <v>0</v>
      </c>
      <c r="H113" s="23">
        <f t="shared" si="60"/>
        <v>0.60606060606060608</v>
      </c>
      <c r="I113" s="21">
        <f t="shared" si="61"/>
        <v>0</v>
      </c>
      <c r="J113" s="23">
        <f t="shared" si="62"/>
        <v>0</v>
      </c>
      <c r="K113" s="21">
        <f t="shared" si="63"/>
        <v>0</v>
      </c>
      <c r="L113" s="21">
        <f t="shared" si="64"/>
        <v>0</v>
      </c>
      <c r="M113" s="226">
        <f t="shared" si="65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8"/>
        <v/>
      </c>
      <c r="B114" s="74">
        <f t="shared" si="51"/>
        <v>0</v>
      </c>
      <c r="C114" s="74">
        <f t="shared" si="51"/>
        <v>0</v>
      </c>
      <c r="D114" s="23">
        <f t="shared" si="59"/>
        <v>0</v>
      </c>
      <c r="H114" s="23">
        <f t="shared" si="60"/>
        <v>0.60606060606060608</v>
      </c>
      <c r="I114" s="21">
        <f t="shared" si="61"/>
        <v>0</v>
      </c>
      <c r="J114" s="23">
        <f t="shared" si="62"/>
        <v>0</v>
      </c>
      <c r="K114" s="21">
        <f t="shared" si="63"/>
        <v>0</v>
      </c>
      <c r="L114" s="21">
        <f t="shared" si="64"/>
        <v>0</v>
      </c>
      <c r="M114" s="226">
        <f t="shared" si="65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8"/>
        <v/>
      </c>
      <c r="B115" s="74">
        <f t="shared" si="51"/>
        <v>0</v>
      </c>
      <c r="C115" s="74">
        <f t="shared" si="51"/>
        <v>0</v>
      </c>
      <c r="D115" s="23">
        <f t="shared" si="59"/>
        <v>0</v>
      </c>
      <c r="H115" s="23">
        <f t="shared" si="60"/>
        <v>0.60606060606060608</v>
      </c>
      <c r="I115" s="21">
        <f t="shared" si="61"/>
        <v>0</v>
      </c>
      <c r="J115" s="23">
        <f t="shared" si="62"/>
        <v>0</v>
      </c>
      <c r="K115" s="21">
        <f t="shared" si="63"/>
        <v>0</v>
      </c>
      <c r="L115" s="21">
        <f t="shared" si="64"/>
        <v>0</v>
      </c>
      <c r="M115" s="226">
        <f t="shared" si="65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8"/>
        <v/>
      </c>
      <c r="B116" s="74">
        <f t="shared" si="51"/>
        <v>0</v>
      </c>
      <c r="C116" s="74">
        <f t="shared" si="51"/>
        <v>0</v>
      </c>
      <c r="D116" s="23">
        <f t="shared" si="59"/>
        <v>0</v>
      </c>
      <c r="H116" s="23">
        <f t="shared" si="60"/>
        <v>0.60606060606060608</v>
      </c>
      <c r="I116" s="21">
        <f t="shared" si="61"/>
        <v>0</v>
      </c>
      <c r="J116" s="23">
        <f t="shared" si="62"/>
        <v>0</v>
      </c>
      <c r="K116" s="21">
        <f t="shared" si="63"/>
        <v>0</v>
      </c>
      <c r="L116" s="21">
        <f t="shared" si="64"/>
        <v>0</v>
      </c>
      <c r="M116" s="226">
        <f t="shared" si="65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8"/>
        <v/>
      </c>
      <c r="B117" s="74">
        <f t="shared" si="51"/>
        <v>0</v>
      </c>
      <c r="C117" s="74">
        <f t="shared" si="51"/>
        <v>0</v>
      </c>
      <c r="D117" s="23">
        <f t="shared" si="59"/>
        <v>0</v>
      </c>
      <c r="H117" s="23">
        <f t="shared" si="60"/>
        <v>0.60606060606060608</v>
      </c>
      <c r="I117" s="21">
        <f t="shared" si="61"/>
        <v>0</v>
      </c>
      <c r="J117" s="23">
        <f t="shared" si="62"/>
        <v>0</v>
      </c>
      <c r="K117" s="21">
        <f t="shared" si="63"/>
        <v>0</v>
      </c>
      <c r="L117" s="21">
        <f t="shared" si="64"/>
        <v>0</v>
      </c>
      <c r="M117" s="226">
        <f t="shared" si="65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8"/>
        <v/>
      </c>
      <c r="B118" s="74">
        <f t="shared" si="51"/>
        <v>0</v>
      </c>
      <c r="C118" s="74">
        <f t="shared" si="51"/>
        <v>0</v>
      </c>
      <c r="D118" s="23">
        <f t="shared" si="59"/>
        <v>0</v>
      </c>
      <c r="H118" s="23">
        <f t="shared" si="60"/>
        <v>0.60606060606060608</v>
      </c>
      <c r="I118" s="21">
        <f t="shared" si="61"/>
        <v>0</v>
      </c>
      <c r="J118" s="23">
        <f t="shared" si="62"/>
        <v>0</v>
      </c>
      <c r="K118" s="21">
        <f t="shared" si="63"/>
        <v>0</v>
      </c>
      <c r="L118" s="21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2.8075936237827617</v>
      </c>
      <c r="C119" s="21">
        <f>SUM(C91:C118)</f>
        <v>6.8606611107473486E-2</v>
      </c>
      <c r="D119" s="23">
        <f>SUM(D91:D118)</f>
        <v>2.8762002348902351</v>
      </c>
      <c r="E119" s="21"/>
      <c r="F119" s="2"/>
      <c r="G119" s="2"/>
      <c r="H119" s="30"/>
      <c r="I119" s="21">
        <f>SUM(I91:I118)</f>
        <v>0.7179439303771975</v>
      </c>
      <c r="J119" s="23">
        <f>SUM(J91:J118)</f>
        <v>0.7179439303771975</v>
      </c>
      <c r="K119" s="21">
        <f>SUM(K91:K118)</f>
        <v>2.8075936237827617</v>
      </c>
      <c r="L119" s="21">
        <f>SUM(L91:L118)</f>
        <v>0.67636416606963778</v>
      </c>
      <c r="M119" s="56">
        <f t="shared" si="49"/>
        <v>0.7179439303771975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Q1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6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6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2"/>
      <c r="D124" s="23"/>
      <c r="H124" s="95">
        <f>(E70*F70/G$37*F$7/F$9)</f>
        <v>0.84848484848484851</v>
      </c>
      <c r="I124" s="28">
        <f>IF(SUMPRODUCT($B$124:$B124,$H$124:$H124)&lt;I$119,($B124*$H124),I$119)</f>
        <v>0.7179439303771975</v>
      </c>
      <c r="J124" s="235">
        <f>IF(SUMPRODUCT($B$124:$B124,$H$124:$H124)&lt;J$119,($B124*$H124),J$119)</f>
        <v>0.7179439303771975</v>
      </c>
      <c r="K124" s="28">
        <f>(B124)</f>
        <v>1.0967887552536943</v>
      </c>
      <c r="L124" s="28">
        <f>IF(SUMPRODUCT($B$124:$B124,$H$124:$H124)&lt;L$119,($B124*$H124),L$119)</f>
        <v>0.67636416606963778</v>
      </c>
      <c r="M124" s="238">
        <f t="shared" si="66"/>
        <v>0.7179439303771975</v>
      </c>
      <c r="N124" s="57"/>
      <c r="O124" s="172">
        <f>B124*H124</f>
        <v>0.93060864082131645</v>
      </c>
      <c r="P124" s="170"/>
      <c r="Q124" s="171"/>
      <c r="R124" s="68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</v>
      </c>
      <c r="M125" s="238">
        <f t="shared" si="66"/>
        <v>0</v>
      </c>
      <c r="N125" s="57"/>
      <c r="O125" s="172"/>
      <c r="P125" s="170"/>
      <c r="Q125" s="171"/>
      <c r="R125" s="68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67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7"/>
      <c r="O126" s="172"/>
      <c r="P126" s="170"/>
      <c r="Q126" s="171"/>
      <c r="R126" s="68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8.4292310655549693E-2</v>
      </c>
      <c r="C127" s="2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67"/>
        <v>8.4292310655549693E-2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7"/>
      <c r="O127" s="172">
        <f>B127*H127</f>
        <v>6.0281773680938573E-2</v>
      </c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0.52537235996264009</v>
      </c>
      <c r="C128" s="2"/>
      <c r="D128" s="30"/>
      <c r="E128" s="2"/>
      <c r="F128" s="2"/>
      <c r="G128" s="2"/>
      <c r="H128" s="23"/>
      <c r="I128" s="28">
        <f>(I30)</f>
        <v>0</v>
      </c>
      <c r="J128" s="226">
        <f>(J30)</f>
        <v>0</v>
      </c>
      <c r="K128" s="28">
        <f>(B128)</f>
        <v>0.52537235996264009</v>
      </c>
      <c r="L128" s="28">
        <f>IF(L124=L119,0,(L119-L124)/(B119-B124)*K128)</f>
        <v>0</v>
      </c>
      <c r="M128" s="238">
        <f t="shared" si="66"/>
        <v>0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8">
        <f t="shared" si="66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8">
        <f>(B119)</f>
        <v>2.8075936237827617</v>
      </c>
      <c r="C130" s="2"/>
      <c r="D130" s="30"/>
      <c r="E130" s="2"/>
      <c r="F130" s="2"/>
      <c r="G130" s="2"/>
      <c r="H130" s="23"/>
      <c r="I130" s="28">
        <f>(I119)</f>
        <v>0.7179439303771975</v>
      </c>
      <c r="J130" s="226">
        <f>(J119)</f>
        <v>0.7179439303771975</v>
      </c>
      <c r="K130" s="28">
        <f>(B130)</f>
        <v>2.8075936237827617</v>
      </c>
      <c r="L130" s="28">
        <f>(L119)</f>
        <v>0.67636416606963778</v>
      </c>
      <c r="M130" s="238">
        <f t="shared" si="66"/>
        <v>0.7179439303771975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1.0292818045752337</v>
      </c>
      <c r="J131" s="235">
        <f>IF(SUMPRODUCT($B124:$B125,$H124:$H125)&gt;(J119-J128),SUMPRODUCT($B124:$B125,$H124:$H125)+J128-J119,0)</f>
        <v>1.0292818045752337</v>
      </c>
      <c r="K131" s="28"/>
      <c r="L131" s="28">
        <f>IF(I131&lt;SUM(L126:L127),0,I131-(SUM(L126:L127)))</f>
        <v>1.0292818045752337</v>
      </c>
      <c r="M131" s="235">
        <f>IF(I131&lt;SUM(M126:M127),0,I131-(SUM(M126:M127)))</f>
        <v>1.0292818045752337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baseColWidth="10" defaultColWidth="8" defaultRowHeight="15" x14ac:dyDescent="0"/>
  <cols>
    <col min="1" max="1" width="21.85546875" style="66" customWidth="1"/>
    <col min="2" max="3" width="6.85546875" style="66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[1]WB!$B$1 &amp; ": " &amp; [1]WB!$D1</f>
        <v>ZA UP: 59899</v>
      </c>
      <c r="B1" s="242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5"/>
      <c r="R1" s="55"/>
      <c r="S1" s="66"/>
      <c r="T1" s="55"/>
      <c r="U1" s="55"/>
      <c r="V1" s="55"/>
      <c r="W1" s="109"/>
      <c r="X1" s="113" t="s">
        <v>55</v>
      </c>
      <c r="Y1" s="114" t="s">
        <v>46</v>
      </c>
      <c r="Z1" s="259" t="s">
        <v>85</v>
      </c>
      <c r="AA1" s="260"/>
      <c r="AB1" s="259" t="s">
        <v>86</v>
      </c>
      <c r="AC1" s="260"/>
      <c r="AD1" s="259" t="s">
        <v>87</v>
      </c>
      <c r="AE1" s="260"/>
      <c r="AF1" s="259" t="s">
        <v>88</v>
      </c>
      <c r="AG1" s="260"/>
      <c r="AH1" s="116"/>
      <c r="AI1" s="109"/>
      <c r="AJ1" s="197" t="str">
        <f>LEFT(Z1,4) &amp; MID(AB1,5,3)</f>
        <v>Apr-Sep</v>
      </c>
      <c r="AK1" s="198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5"/>
      <c r="R2" s="55"/>
      <c r="S2" s="66"/>
      <c r="T2" s="55"/>
      <c r="U2" s="55"/>
      <c r="V2" s="55"/>
      <c r="W2" s="109"/>
      <c r="X2" s="117" t="s">
        <v>47</v>
      </c>
      <c r="Y2" s="114" t="s">
        <v>48</v>
      </c>
      <c r="Z2" s="257" t="s">
        <v>89</v>
      </c>
      <c r="AA2" s="261"/>
      <c r="AB2" s="257" t="s">
        <v>90</v>
      </c>
      <c r="AC2" s="261"/>
      <c r="AD2" s="257" t="s">
        <v>91</v>
      </c>
      <c r="AE2" s="261"/>
      <c r="AF2" s="257" t="s">
        <v>92</v>
      </c>
      <c r="AG2" s="261"/>
      <c r="AH2" s="116"/>
      <c r="AI2" s="109"/>
      <c r="AJ2" s="195" t="s">
        <v>93</v>
      </c>
      <c r="AK2" s="196" t="s">
        <v>94</v>
      </c>
      <c r="CM2" s="6"/>
    </row>
    <row r="3" spans="1:91">
      <c r="A3" s="269" t="s">
        <v>138</v>
      </c>
      <c r="B3" s="1"/>
      <c r="C3" s="1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1"/>
      <c r="B4" s="1" t="s">
        <v>6</v>
      </c>
      <c r="C4" s="1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1"/>
      <c r="B5" s="1" t="s">
        <v>15</v>
      </c>
      <c r="C5" s="1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IF([1]Summ!$A1044="","",[1]Summ!$A1044)</f>
        <v/>
      </c>
      <c r="B6" s="213">
        <f>IF([1]Summ!E1044="",0,[1]Summ!E1044)</f>
        <v>0</v>
      </c>
      <c r="C6" s="213">
        <f>IF([1]Summ!F1044="",0,[1]Summ!F1044)</f>
        <v>0</v>
      </c>
      <c r="D6" s="23">
        <f t="shared" ref="D6:D16" si="0">SUM(B6,C6)</f>
        <v>0</v>
      </c>
      <c r="E6" s="25"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15">
        <v>0.17</v>
      </c>
      <c r="AA6" s="120">
        <f>$M6*Z6*4</f>
        <v>0</v>
      </c>
      <c r="AB6" s="115">
        <v>0.17</v>
      </c>
      <c r="AC6" s="120">
        <f t="shared" ref="AC6:AC29" si="7">$M6*AB6*4</f>
        <v>0</v>
      </c>
      <c r="AD6" s="115"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IF([1]Summ!$A1045="","",[1]Summ!$A1045)</f>
        <v/>
      </c>
      <c r="B7" s="213">
        <f>IF([1]Summ!E1045="",0,[1]Summ!E1045)</f>
        <v>0</v>
      </c>
      <c r="C7" s="213">
        <f>IF([1]Summ!F1045="",0,[1]Summ!F1045)</f>
        <v>0</v>
      </c>
      <c r="D7" s="23">
        <f t="shared" si="0"/>
        <v>0</v>
      </c>
      <c r="E7" s="25">
        <v>1</v>
      </c>
      <c r="F7" s="26">
        <f>[1]Summ!$P$1</f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23"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IF([1]Summ!$A1046="","",[1]Summ!$A1046)</f>
        <v/>
      </c>
      <c r="B8" s="213">
        <f>IF([1]Summ!E1046="",0,[1]Summ!E1046)</f>
        <v>0</v>
      </c>
      <c r="C8" s="213">
        <f>IF([1]Summ!F1046="",0,[1]Summ!F1046)</f>
        <v>0</v>
      </c>
      <c r="D8" s="23">
        <f t="shared" si="0"/>
        <v>0</v>
      </c>
      <c r="E8" s="25"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182"/>
      <c r="W8" s="114"/>
      <c r="X8" s="123"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IF([1]Summ!$A1047="","",[1]Summ!$A1047)</f>
        <v/>
      </c>
      <c r="B9" s="213">
        <f>IF([1]Summ!E1047="",0,[1]Summ!E1047)</f>
        <v>0</v>
      </c>
      <c r="C9" s="213">
        <f>IF([1]Summ!F1047="",0,[1]Summ!F1047)</f>
        <v>0</v>
      </c>
      <c r="D9" s="23">
        <f t="shared" si="0"/>
        <v>0</v>
      </c>
      <c r="E9" s="25">
        <v>1</v>
      </c>
      <c r="F9" s="27"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23"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IF([1]Summ!$A1048="","",[1]Summ!$A1048)</f>
        <v/>
      </c>
      <c r="B10" s="213">
        <f>IF([1]Summ!E1048="",0,[1]Summ!E1048)</f>
        <v>0</v>
      </c>
      <c r="C10" s="213">
        <f>IF([1]Summ!F1048="",0,[1]Summ!F1048)</f>
        <v>0</v>
      </c>
      <c r="D10" s="23">
        <f t="shared" si="0"/>
        <v>0</v>
      </c>
      <c r="E10" s="25"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23"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IF([1]Summ!$A1049="","",[1]Summ!$A1049)</f>
        <v/>
      </c>
      <c r="B11" s="213">
        <f>IF([1]Summ!E1049="",0,[1]Summ!E1049)</f>
        <v>0</v>
      </c>
      <c r="C11" s="213">
        <f>IF([1]Summ!F1049="",0,[1]Summ!F1049)</f>
        <v>0</v>
      </c>
      <c r="D11" s="23">
        <f t="shared" si="0"/>
        <v>0</v>
      </c>
      <c r="E11" s="25"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23"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IF([1]Summ!$A1050="","",[1]Summ!$A1050)</f>
        <v/>
      </c>
      <c r="B12" s="213">
        <f>IF([1]Summ!E1050="",0,[1]Summ!E1050)</f>
        <v>0</v>
      </c>
      <c r="C12" s="213">
        <f>IF([1]Summ!F1050="",0,[1]Summ!F1050)</f>
        <v>0</v>
      </c>
      <c r="D12" s="23">
        <f t="shared" si="0"/>
        <v>0</v>
      </c>
      <c r="E12" s="25"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15">
        <v>0</v>
      </c>
      <c r="AA12" s="120">
        <f>$M12*Z12*4</f>
        <v>0</v>
      </c>
      <c r="AB12" s="115">
        <v>0</v>
      </c>
      <c r="AC12" s="120">
        <f>$M12*AB12*4</f>
        <v>0</v>
      </c>
      <c r="AD12" s="115"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IF([1]Summ!$A1051="","",[1]Summ!$A1051)</f>
        <v/>
      </c>
      <c r="B13" s="213">
        <f>IF([1]Summ!E1051="",0,[1]Summ!E1051)</f>
        <v>0</v>
      </c>
      <c r="C13" s="213">
        <f>IF([1]Summ!F1051="",0,[1]Summ!F1051)</f>
        <v>0</v>
      </c>
      <c r="D13" s="23">
        <f t="shared" si="0"/>
        <v>0</v>
      </c>
      <c r="E13" s="25"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14145.295226184951</v>
      </c>
      <c r="S13" s="220">
        <f>IF($B$81=0,0,(SUMIF($N$6:$N$28,$U13,L$6:L$28)+SUMIF($N$91:$N$118,$U13,L$91:L$118))*$I$83*'Q2'!$B$81/$B$81)</f>
        <v>6147.1800000000012</v>
      </c>
      <c r="T13" s="220">
        <f>IF($B$81=0,0,(SUMIF($N$6:$N$28,$U13,M$6:M$28)+SUMIF($N$91:$N$118,$U13,M$91:M$118))*$I$83*'Q2'!$B$81/$B$81)</f>
        <v>6147.1800000000012</v>
      </c>
      <c r="U13" s="221">
        <v>7</v>
      </c>
      <c r="V13" s="55"/>
      <c r="W13" s="109"/>
      <c r="X13" s="117"/>
      <c r="Y13" s="181">
        <f t="shared" si="9"/>
        <v>0</v>
      </c>
      <c r="Z13" s="115">
        <v>1</v>
      </c>
      <c r="AA13" s="120">
        <f>$M13*Z13*4</f>
        <v>0</v>
      </c>
      <c r="AB13" s="115">
        <v>0</v>
      </c>
      <c r="AC13" s="120">
        <f>$M13*AB13*4</f>
        <v>0</v>
      </c>
      <c r="AD13" s="115"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IF([1]Summ!$A1052="","",[1]Summ!$A1052)</f>
        <v/>
      </c>
      <c r="B14" s="213">
        <f>IF([1]Summ!E1052="",0,[1]Summ!E1052)</f>
        <v>0</v>
      </c>
      <c r="C14" s="213">
        <f>IF([1]Summ!F1052="",0,[1]Summ!F1052)</f>
        <v>0</v>
      </c>
      <c r="D14" s="23">
        <f t="shared" si="0"/>
        <v>0</v>
      </c>
      <c r="E14" s="25"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0</v>
      </c>
      <c r="S14" s="220">
        <f>IF($B$81=0,0,(SUMIF($N$6:$N$28,$U14,L$6:L$28)+SUMIF($N$91:$N$118,$U14,L$91:L$118))*$I$83*'Q2'!$B$81/$B$81)</f>
        <v>0</v>
      </c>
      <c r="T14" s="220">
        <f>IF($B$81=0,0,(SUMIF($N$6:$N$28,$U14,M$6:M$28)+SUMIF($N$91:$N$118,$U14,M$91:M$118))*$I$83*'Q2'!$B$81/$B$81)</f>
        <v>0</v>
      </c>
      <c r="U14" s="221">
        <v>8</v>
      </c>
      <c r="V14" s="55"/>
      <c r="W14" s="109"/>
      <c r="X14" s="117"/>
      <c r="Y14" s="181">
        <f>M14*4</f>
        <v>0</v>
      </c>
      <c r="Z14" s="115">
        <v>0</v>
      </c>
      <c r="AA14" s="120">
        <f t="shared" ref="AA14:AA29" si="16">$M14*Z14*4</f>
        <v>0</v>
      </c>
      <c r="AB14" s="115">
        <v>1</v>
      </c>
      <c r="AC14" s="120">
        <f t="shared" si="7"/>
        <v>0</v>
      </c>
      <c r="AD14" s="115"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IF([1]Summ!$A1053="","",[1]Summ!$A1053)</f>
        <v/>
      </c>
      <c r="B15" s="213">
        <f>IF([1]Summ!E1053="",0,[1]Summ!E1053)</f>
        <v>0</v>
      </c>
      <c r="C15" s="213">
        <f>IF([1]Summ!F1053="",0,[1]Summ!F1053)</f>
        <v>0</v>
      </c>
      <c r="D15" s="23">
        <f t="shared" si="0"/>
        <v>0</v>
      </c>
      <c r="E15" s="25"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107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15">
        <v>0.25</v>
      </c>
      <c r="AA15" s="120">
        <f t="shared" si="16"/>
        <v>0</v>
      </c>
      <c r="AB15" s="115">
        <v>0.25</v>
      </c>
      <c r="AC15" s="120">
        <f t="shared" si="7"/>
        <v>0</v>
      </c>
      <c r="AD15" s="115"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IF([1]Summ!$A1054="","",[1]Summ!$A1054)</f>
        <v/>
      </c>
      <c r="B16" s="213">
        <f>IF([1]Summ!E1054="",0,[1]Summ!E1054)</f>
        <v>0</v>
      </c>
      <c r="C16" s="213">
        <f>IF([1]Summ!F1054="",0,[1]Summ!F1054)</f>
        <v>0</v>
      </c>
      <c r="D16" s="23">
        <f t="shared" si="0"/>
        <v>0</v>
      </c>
      <c r="E16" s="25"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8209.3231223394796</v>
      </c>
      <c r="S16" s="220">
        <f>IF($B$81=0,0,(SUMIF($N$6:$N$28,$U16,L$6:L$28)+SUMIF($N$91:$N$118,$U16,L$91:L$118))*$I$83*'Q2'!$B$81/$B$81)</f>
        <v>5460</v>
      </c>
      <c r="T16" s="220">
        <f>IF($B$81=0,0,(SUMIF($N$6:$N$28,$U16,M$6:M$28)+SUMIF($N$91:$N$118,$U16,M$91:M$118))*$I$83*'Q2'!$B$81/$B$81)</f>
        <v>6552</v>
      </c>
      <c r="U16" s="221">
        <v>10</v>
      </c>
      <c r="V16" s="55"/>
      <c r="W16" s="109"/>
      <c r="X16" s="117"/>
      <c r="Y16" s="181">
        <f t="shared" si="9"/>
        <v>0</v>
      </c>
      <c r="Z16" s="115">
        <v>0</v>
      </c>
      <c r="AA16" s="120">
        <f t="shared" si="16"/>
        <v>0</v>
      </c>
      <c r="AB16" s="115">
        <v>0</v>
      </c>
      <c r="AC16" s="120">
        <f t="shared" si="7"/>
        <v>0</v>
      </c>
      <c r="AD16" s="115"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IF([1]Summ!$A1055="","",[1]Summ!$A1055)</f>
        <v/>
      </c>
      <c r="B17" s="213">
        <f>IF([1]Summ!E1055="",0,[1]Summ!E1055)</f>
        <v>0</v>
      </c>
      <c r="C17" s="213">
        <f>IF([1]Summ!F1055="",0,[1]Summ!F1055)</f>
        <v>0</v>
      </c>
      <c r="D17" s="23">
        <f>SUM(B17,C17)</f>
        <v>0</v>
      </c>
      <c r="E17" s="25"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4239.9800741753361</v>
      </c>
      <c r="S17" s="220">
        <f>IF($B$81=0,0,(SUMIF($N$6:$N$28,$U17,L$6:L$28)+SUMIF($N$91:$N$118,$U17,L$91:L$118))*$I$83*'Q2'!$B$81/$B$81)</f>
        <v>3271.1999999999994</v>
      </c>
      <c r="T17" s="220">
        <f>IF($B$81=0,0,(SUMIF($N$6:$N$28,$U17,M$6:M$28)+SUMIF($N$91:$N$118,$U17,M$91:M$118))*$I$83*'Q2'!$B$81/$B$81)</f>
        <v>3271.1999999999994</v>
      </c>
      <c r="U17" s="221">
        <v>11</v>
      </c>
      <c r="V17" s="55"/>
      <c r="W17" s="109"/>
      <c r="X17" s="117"/>
      <c r="Y17" s="181">
        <f t="shared" si="9"/>
        <v>0</v>
      </c>
      <c r="Z17" s="115">
        <v>0.29409999999999997</v>
      </c>
      <c r="AA17" s="120">
        <f t="shared" si="16"/>
        <v>0</v>
      </c>
      <c r="AB17" s="115">
        <v>0.17649999999999999</v>
      </c>
      <c r="AC17" s="120">
        <f t="shared" si="7"/>
        <v>0</v>
      </c>
      <c r="AD17" s="115"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IF([1]Summ!$A1056="","",[1]Summ!$A1056)</f>
        <v/>
      </c>
      <c r="B18" s="213">
        <f>IF([1]Summ!E1056="",0,[1]Summ!E1056)</f>
        <v>0</v>
      </c>
      <c r="C18" s="213">
        <f>IF([1]Summ!F1056="",0,[1]Summ!F1056)</f>
        <v>0</v>
      </c>
      <c r="D18" s="23">
        <f t="shared" ref="D18:D20" si="18">SUM(B18,C18)</f>
        <v>0</v>
      </c>
      <c r="E18" s="25">
        <v>1</v>
      </c>
      <c r="F18" s="21"/>
      <c r="H18" s="23">
        <f t="shared" ref="H18:H20" si="19">(E18*F$7/F$9)</f>
        <v>1</v>
      </c>
      <c r="I18" s="21">
        <f t="shared" ref="I18:I20" si="20">(D18*H18)</f>
        <v>0</v>
      </c>
      <c r="J18" s="23">
        <f t="shared" si="17"/>
        <v>0</v>
      </c>
      <c r="K18" s="21">
        <f t="shared" ref="K18:K20" si="21">B18</f>
        <v>0</v>
      </c>
      <c r="L18" s="21">
        <f t="shared" ref="L18:L20" si="22">IF(K18="","",K18*H18)</f>
        <v>0</v>
      </c>
      <c r="M18" s="223">
        <f t="shared" ref="M18:M20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>
        <f t="shared" ref="Y18:Y20" si="24">M18*4</f>
        <v>0</v>
      </c>
      <c r="Z18" s="115">
        <v>1.2941</v>
      </c>
      <c r="AA18" s="120">
        <f t="shared" ref="AA18:AA20" si="25">$M18*Z18*4</f>
        <v>0</v>
      </c>
      <c r="AB18" s="115">
        <v>1.1765000000000001</v>
      </c>
      <c r="AC18" s="120">
        <f t="shared" ref="AC18:AC20" si="26">$M18*AB18*4</f>
        <v>0</v>
      </c>
      <c r="AD18" s="115">
        <v>1.2353000000000001</v>
      </c>
      <c r="AE18" s="120">
        <f t="shared" ref="AE18:AE20" si="27">$M18*AD18*4</f>
        <v>0</v>
      </c>
      <c r="AF18" s="121">
        <f t="shared" ref="AF18:AF20" si="28">1-SUM(Z18,AB18,AD18)</f>
        <v>-2.7059000000000002</v>
      </c>
      <c r="AG18" s="120">
        <f t="shared" ref="AG18:AG20" si="29">$M18*AF18*4</f>
        <v>0</v>
      </c>
      <c r="AH18" s="122">
        <f t="shared" ref="AH18:AH20" si="30">SUM(Z18,AB18,AD18,AF18)</f>
        <v>1</v>
      </c>
      <c r="AI18" s="181">
        <f t="shared" ref="AI18:AI20" si="31">SUM(AA18,AC18,AE18,AG18)/4</f>
        <v>0</v>
      </c>
      <c r="AJ18" s="119">
        <f t="shared" ref="AJ18:AJ20" si="32">(AA18+AC18)/2</f>
        <v>0</v>
      </c>
      <c r="AK18" s="118">
        <f t="shared" ref="AK18:AK20" si="33">(AE18+AG18)/2</f>
        <v>0</v>
      </c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IF([1]Summ!$A1057="","",[1]Summ!$A1057)</f>
        <v/>
      </c>
      <c r="B19" s="213">
        <f>IF([1]Summ!E1057="",0,[1]Summ!E1057)</f>
        <v>0</v>
      </c>
      <c r="C19" s="213">
        <f>IF([1]Summ!F1057="",0,[1]Summ!F1057)</f>
        <v>0</v>
      </c>
      <c r="D19" s="23">
        <f t="shared" si="18"/>
        <v>0</v>
      </c>
      <c r="E19" s="25"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>
        <f t="shared" si="24"/>
        <v>0</v>
      </c>
      <c r="Z19" s="115">
        <v>2.2940999999999998</v>
      </c>
      <c r="AA19" s="120">
        <f t="shared" si="25"/>
        <v>0</v>
      </c>
      <c r="AB19" s="115">
        <v>2.1764999999999999</v>
      </c>
      <c r="AC19" s="120">
        <f t="shared" si="26"/>
        <v>0</v>
      </c>
      <c r="AD19" s="115">
        <v>2.2353000000000001</v>
      </c>
      <c r="AE19" s="120">
        <f t="shared" si="27"/>
        <v>0</v>
      </c>
      <c r="AF19" s="121">
        <f t="shared" si="28"/>
        <v>-5.7058999999999997</v>
      </c>
      <c r="AG19" s="120">
        <f t="shared" si="29"/>
        <v>0</v>
      </c>
      <c r="AH19" s="122">
        <f t="shared" si="30"/>
        <v>1</v>
      </c>
      <c r="AI19" s="181">
        <f t="shared" si="31"/>
        <v>0</v>
      </c>
      <c r="AJ19" s="119">
        <f t="shared" si="32"/>
        <v>0</v>
      </c>
      <c r="AK19" s="118">
        <f t="shared" si="33"/>
        <v>0</v>
      </c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IF([1]Summ!$A1058="","",[1]Summ!$A1058)</f>
        <v/>
      </c>
      <c r="B20" s="213">
        <f>IF([1]Summ!E1058="",0,[1]Summ!E1058)</f>
        <v>0</v>
      </c>
      <c r="C20" s="213">
        <f>IF([1]Summ!F1058="",0,[1]Summ!F1058)</f>
        <v>0</v>
      </c>
      <c r="D20" s="23">
        <f t="shared" si="18"/>
        <v>0</v>
      </c>
      <c r="E20" s="25"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15408.268014237179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>
        <f t="shared" si="24"/>
        <v>0</v>
      </c>
      <c r="Z20" s="115">
        <v>3.2940999999999998</v>
      </c>
      <c r="AA20" s="120">
        <f t="shared" si="25"/>
        <v>0</v>
      </c>
      <c r="AB20" s="115">
        <v>3.1764999999999999</v>
      </c>
      <c r="AC20" s="120">
        <f t="shared" si="26"/>
        <v>0</v>
      </c>
      <c r="AD20" s="115">
        <v>3.2353000000000001</v>
      </c>
      <c r="AE20" s="120">
        <f t="shared" si="27"/>
        <v>0</v>
      </c>
      <c r="AF20" s="121">
        <f t="shared" si="28"/>
        <v>-8.7058999999999997</v>
      </c>
      <c r="AG20" s="120">
        <f t="shared" si="29"/>
        <v>0</v>
      </c>
      <c r="AH20" s="122">
        <f t="shared" si="30"/>
        <v>1</v>
      </c>
      <c r="AI20" s="181">
        <f t="shared" si="31"/>
        <v>0</v>
      </c>
      <c r="AJ20" s="119">
        <f t="shared" si="32"/>
        <v>0</v>
      </c>
      <c r="AK20" s="118">
        <f t="shared" si="33"/>
        <v>0</v>
      </c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IF([1]Summ!$A1059="","",[1]Summ!$A1059)</f>
        <v/>
      </c>
      <c r="B21" s="213">
        <f>IF([1]Summ!E1059="",0,[1]Summ!E1059)</f>
        <v>0</v>
      </c>
      <c r="C21" s="213">
        <f>IF([1]Summ!F1059="",0,[1]Summ!F1059)</f>
        <v>0</v>
      </c>
      <c r="D21" s="23">
        <f t="shared" ref="D21:D25" si="34">SUM(B21,C21)</f>
        <v>0</v>
      </c>
      <c r="E21" s="25">
        <v>1</v>
      </c>
      <c r="F21" s="21"/>
      <c r="H21" s="23">
        <f t="shared" ref="H21:H25" si="35">(E21*F$7/F$9)</f>
        <v>1</v>
      </c>
      <c r="I21" s="21">
        <f t="shared" ref="I21:I25" si="36">(D21*H21)</f>
        <v>0</v>
      </c>
      <c r="J21" s="23">
        <f t="shared" si="17"/>
        <v>0</v>
      </c>
      <c r="K21" s="21">
        <f t="shared" ref="K21:K25" si="37">B21</f>
        <v>0</v>
      </c>
      <c r="L21" s="21">
        <f t="shared" ref="L21:L25" si="38">IF(K21="","",K21*H21)</f>
        <v>0</v>
      </c>
      <c r="M21" s="223">
        <f t="shared" ref="M21:M25" si="39">J21</f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2616.1579181081861</v>
      </c>
      <c r="S21" s="220">
        <f>IF($B$81=0,0,(SUMIF($N$6:$N$28,$U21,L$6:L$28)+SUMIF($N$91:$N$118,$U21,L$91:L$118))*$I$83*'Q2'!$B$81/$B$81)</f>
        <v>1740</v>
      </c>
      <c r="T21" s="220">
        <f>IF($B$81=0,0,(SUMIF($N$6:$N$28,$U21,M$6:M$28)+SUMIF($N$91:$N$118,$U21,M$91:M$118))*$I$83*'Q2'!$B$81/$B$81)</f>
        <v>1740</v>
      </c>
      <c r="U21" s="221">
        <v>15</v>
      </c>
      <c r="V21" s="55"/>
      <c r="W21" s="109"/>
      <c r="X21" s="117"/>
      <c r="Y21" s="181">
        <f t="shared" ref="Y21:Y25" si="40">M21*4</f>
        <v>0</v>
      </c>
      <c r="Z21" s="115">
        <v>4.2941000000000003</v>
      </c>
      <c r="AA21" s="120">
        <f t="shared" ref="AA21:AA25" si="41">$M21*Z21*4</f>
        <v>0</v>
      </c>
      <c r="AB21" s="115">
        <v>4.1764999999999999</v>
      </c>
      <c r="AC21" s="120">
        <f t="shared" ref="AC21:AC25" si="42">$M21*AB21*4</f>
        <v>0</v>
      </c>
      <c r="AD21" s="115">
        <v>4.2352999999999996</v>
      </c>
      <c r="AE21" s="120">
        <f t="shared" ref="AE21:AE25" si="43">$M21*AD21*4</f>
        <v>0</v>
      </c>
      <c r="AF21" s="121">
        <f t="shared" ref="AF21:AF25" si="44">1-SUM(Z21,AB21,AD21)</f>
        <v>-11.7059</v>
      </c>
      <c r="AG21" s="120">
        <f t="shared" ref="AG21:AG25" si="45">$M21*AF21*4</f>
        <v>0</v>
      </c>
      <c r="AH21" s="122">
        <f t="shared" ref="AH21:AH25" si="46">SUM(Z21,AB21,AD21,AF21)</f>
        <v>1</v>
      </c>
      <c r="AI21" s="181">
        <f t="shared" ref="AI21:AI25" si="47">SUM(AA21,AC21,AE21,AG21)/4</f>
        <v>0</v>
      </c>
      <c r="AJ21" s="119">
        <f t="shared" ref="AJ21:AJ25" si="48">(AA21+AC21)/2</f>
        <v>0</v>
      </c>
      <c r="AK21" s="118">
        <f t="shared" ref="AK21:AK25" si="49">(AE21+AG21)/2</f>
        <v>0</v>
      </c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IF([1]Summ!$A1060="","",[1]Summ!$A1060)</f>
        <v/>
      </c>
      <c r="B22" s="213">
        <f>IF([1]Summ!E1060="",0,[1]Summ!E1060)</f>
        <v>0</v>
      </c>
      <c r="C22" s="213">
        <f>IF([1]Summ!F1060="",0,[1]Summ!F1060)</f>
        <v>0</v>
      </c>
      <c r="D22" s="23">
        <f t="shared" si="34"/>
        <v>0</v>
      </c>
      <c r="E22" s="25">
        <v>1</v>
      </c>
      <c r="F22" s="21"/>
      <c r="H22" s="23">
        <f t="shared" si="35"/>
        <v>1</v>
      </c>
      <c r="I22" s="21">
        <f t="shared" si="36"/>
        <v>0</v>
      </c>
      <c r="J22" s="23">
        <f t="shared" si="17"/>
        <v>0</v>
      </c>
      <c r="K22" s="21">
        <f t="shared" si="37"/>
        <v>0</v>
      </c>
      <c r="L22" s="21">
        <f t="shared" si="38"/>
        <v>0</v>
      </c>
      <c r="M22" s="223">
        <f t="shared" si="39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>
        <f t="shared" si="40"/>
        <v>0</v>
      </c>
      <c r="Z22" s="115">
        <v>5.2941000000000003</v>
      </c>
      <c r="AA22" s="120">
        <f t="shared" si="41"/>
        <v>0</v>
      </c>
      <c r="AB22" s="115">
        <v>5.1764999999999999</v>
      </c>
      <c r="AC22" s="120">
        <f t="shared" si="42"/>
        <v>0</v>
      </c>
      <c r="AD22" s="115">
        <v>5.2352999999999996</v>
      </c>
      <c r="AE22" s="120">
        <f t="shared" si="43"/>
        <v>0</v>
      </c>
      <c r="AF22" s="121">
        <f t="shared" si="44"/>
        <v>-14.7059</v>
      </c>
      <c r="AG22" s="120">
        <f t="shared" si="45"/>
        <v>0</v>
      </c>
      <c r="AH22" s="122">
        <f t="shared" si="46"/>
        <v>1</v>
      </c>
      <c r="AI22" s="181">
        <f t="shared" si="47"/>
        <v>0</v>
      </c>
      <c r="AJ22" s="119">
        <f t="shared" si="48"/>
        <v>0</v>
      </c>
      <c r="AK22" s="118">
        <f t="shared" si="49"/>
        <v>0</v>
      </c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IF([1]Summ!$A1061="","",[1]Summ!$A1061)</f>
        <v/>
      </c>
      <c r="B23" s="213">
        <f>IF([1]Summ!E1061="",0,[1]Summ!E1061)</f>
        <v>0</v>
      </c>
      <c r="C23" s="213">
        <f>IF([1]Summ!F1061="",0,[1]Summ!F1061)</f>
        <v>0</v>
      </c>
      <c r="D23" s="23">
        <f t="shared" si="34"/>
        <v>0</v>
      </c>
      <c r="E23" s="25">
        <v>1</v>
      </c>
      <c r="F23" s="21"/>
      <c r="H23" s="23">
        <f t="shared" si="35"/>
        <v>1</v>
      </c>
      <c r="I23" s="21">
        <f t="shared" si="36"/>
        <v>0</v>
      </c>
      <c r="J23" s="23">
        <f t="shared" si="17"/>
        <v>0</v>
      </c>
      <c r="K23" s="21">
        <f t="shared" si="37"/>
        <v>0</v>
      </c>
      <c r="L23" s="21">
        <f t="shared" si="38"/>
        <v>0</v>
      </c>
      <c r="M23" s="223">
        <f t="shared" si="39"/>
        <v>0</v>
      </c>
      <c r="N23" s="227"/>
      <c r="O23" s="2"/>
      <c r="P23" s="21"/>
      <c r="Q23" s="169" t="s">
        <v>80</v>
      </c>
      <c r="R23" s="177">
        <f>SUM(R7:R22)</f>
        <v>45840.023351161602</v>
      </c>
      <c r="S23" s="177">
        <f>SUM(S7:S22)</f>
        <v>17958.317506672116</v>
      </c>
      <c r="T23" s="177">
        <f>SUM(T7:T22)</f>
        <v>19050.317506672112</v>
      </c>
      <c r="U23" s="55"/>
      <c r="V23" s="55"/>
      <c r="W23" s="109"/>
      <c r="X23" s="117"/>
      <c r="Y23" s="181">
        <f t="shared" si="40"/>
        <v>0</v>
      </c>
      <c r="Z23" s="115">
        <v>6.2941000000000003</v>
      </c>
      <c r="AA23" s="120">
        <f t="shared" si="41"/>
        <v>0</v>
      </c>
      <c r="AB23" s="115">
        <v>6.1764999999999999</v>
      </c>
      <c r="AC23" s="120">
        <f t="shared" si="42"/>
        <v>0</v>
      </c>
      <c r="AD23" s="115">
        <v>6.2352999999999996</v>
      </c>
      <c r="AE23" s="120">
        <f t="shared" si="43"/>
        <v>0</v>
      </c>
      <c r="AF23" s="121">
        <f t="shared" si="44"/>
        <v>-17.7059</v>
      </c>
      <c r="AG23" s="120">
        <f t="shared" si="45"/>
        <v>0</v>
      </c>
      <c r="AH23" s="122">
        <f t="shared" si="46"/>
        <v>1</v>
      </c>
      <c r="AI23" s="181">
        <f t="shared" si="47"/>
        <v>0</v>
      </c>
      <c r="AJ23" s="119">
        <f t="shared" si="48"/>
        <v>0</v>
      </c>
      <c r="AK23" s="118">
        <f t="shared" si="49"/>
        <v>0</v>
      </c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IF([1]Summ!$A1062="","",[1]Summ!$A1062)</f>
        <v/>
      </c>
      <c r="B24" s="213">
        <f>IF([1]Summ!E1062="",0,[1]Summ!E1062)</f>
        <v>0</v>
      </c>
      <c r="C24" s="213">
        <f>IF([1]Summ!F1062="",0,[1]Summ!F1062)</f>
        <v>0</v>
      </c>
      <c r="D24" s="23">
        <f t="shared" si="34"/>
        <v>0</v>
      </c>
      <c r="E24" s="25">
        <v>1</v>
      </c>
      <c r="F24" s="21"/>
      <c r="H24" s="23">
        <f t="shared" si="35"/>
        <v>1</v>
      </c>
      <c r="I24" s="21">
        <f t="shared" si="36"/>
        <v>0</v>
      </c>
      <c r="J24" s="23">
        <f t="shared" si="17"/>
        <v>0</v>
      </c>
      <c r="K24" s="21">
        <f t="shared" si="37"/>
        <v>0</v>
      </c>
      <c r="L24" s="21">
        <f t="shared" si="38"/>
        <v>0</v>
      </c>
      <c r="M24" s="223">
        <f t="shared" si="39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>
        <f t="shared" si="40"/>
        <v>0</v>
      </c>
      <c r="Z24" s="115">
        <v>7.2941000000000003</v>
      </c>
      <c r="AA24" s="120">
        <f t="shared" si="41"/>
        <v>0</v>
      </c>
      <c r="AB24" s="115">
        <v>7.1764999999999999</v>
      </c>
      <c r="AC24" s="120">
        <f t="shared" si="42"/>
        <v>0</v>
      </c>
      <c r="AD24" s="115">
        <v>7.2352999999999996</v>
      </c>
      <c r="AE24" s="120">
        <f t="shared" si="43"/>
        <v>0</v>
      </c>
      <c r="AF24" s="121">
        <f t="shared" si="44"/>
        <v>-20.7059</v>
      </c>
      <c r="AG24" s="120">
        <f t="shared" si="45"/>
        <v>0</v>
      </c>
      <c r="AH24" s="122">
        <f t="shared" si="46"/>
        <v>1</v>
      </c>
      <c r="AI24" s="181">
        <f t="shared" si="47"/>
        <v>0</v>
      </c>
      <c r="AJ24" s="119">
        <f t="shared" si="48"/>
        <v>0</v>
      </c>
      <c r="AK24" s="118">
        <f t="shared" si="49"/>
        <v>0</v>
      </c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IF([1]Summ!$A1063="","",[1]Summ!$A1063)</f>
        <v/>
      </c>
      <c r="B25" s="213">
        <f>IF([1]Summ!E1063="",0,[1]Summ!E1063)</f>
        <v>0</v>
      </c>
      <c r="C25" s="213">
        <f>IF([1]Summ!F1063="",0,[1]Summ!F1063)</f>
        <v>0</v>
      </c>
      <c r="D25" s="23">
        <f t="shared" si="34"/>
        <v>0</v>
      </c>
      <c r="E25" s="25">
        <v>1</v>
      </c>
      <c r="F25" s="21"/>
      <c r="H25" s="23">
        <f t="shared" si="35"/>
        <v>1</v>
      </c>
      <c r="I25" s="21">
        <f t="shared" si="36"/>
        <v>0</v>
      </c>
      <c r="J25" s="23">
        <f t="shared" si="17"/>
        <v>0</v>
      </c>
      <c r="K25" s="21">
        <f t="shared" si="37"/>
        <v>0</v>
      </c>
      <c r="L25" s="21">
        <f t="shared" si="38"/>
        <v>0</v>
      </c>
      <c r="M25" s="223">
        <f t="shared" si="39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>
        <f t="shared" si="40"/>
        <v>0</v>
      </c>
      <c r="Z25" s="115">
        <v>8.2941000000000003</v>
      </c>
      <c r="AA25" s="120">
        <f t="shared" si="41"/>
        <v>0</v>
      </c>
      <c r="AB25" s="115">
        <v>8.1765000000000008</v>
      </c>
      <c r="AC25" s="120">
        <f t="shared" si="42"/>
        <v>0</v>
      </c>
      <c r="AD25" s="115">
        <v>8.2353000000000005</v>
      </c>
      <c r="AE25" s="120">
        <f t="shared" si="43"/>
        <v>0</v>
      </c>
      <c r="AF25" s="121">
        <f t="shared" si="44"/>
        <v>-23.7059</v>
      </c>
      <c r="AG25" s="120">
        <f t="shared" si="45"/>
        <v>0</v>
      </c>
      <c r="AH25" s="122">
        <f t="shared" si="46"/>
        <v>1</v>
      </c>
      <c r="AI25" s="181">
        <f t="shared" si="47"/>
        <v>0</v>
      </c>
      <c r="AJ25" s="119">
        <f t="shared" si="48"/>
        <v>0</v>
      </c>
      <c r="AK25" s="118">
        <f t="shared" si="49"/>
        <v>0</v>
      </c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IF([1]Summ!$A1064="","",[1]Summ!$A1064)</f>
        <v>Food aid</v>
      </c>
      <c r="B26" s="213">
        <f>IF([1]Summ!E1064="",0,[1]Summ!E1064)</f>
        <v>0.11904761904761904</v>
      </c>
      <c r="C26" s="213">
        <f>IF([1]Summ!F1064="",0,[1]Summ!F1064)</f>
        <v>0</v>
      </c>
      <c r="D26" s="23">
        <f>SUM(B26,C26)</f>
        <v>0.11904761904761904</v>
      </c>
      <c r="E26" s="25"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15">
        <v>0.25</v>
      </c>
      <c r="AA26" s="120">
        <f t="shared" si="16"/>
        <v>0.11904761904761904</v>
      </c>
      <c r="AB26" s="115">
        <v>0.25</v>
      </c>
      <c r="AC26" s="120">
        <f t="shared" si="7"/>
        <v>0.11904761904761904</v>
      </c>
      <c r="AD26" s="115"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IF([1]Summ!$A1065="","",[1]Summ!$A1065)</f>
        <v>Purchase - other</v>
      </c>
      <c r="B27" s="213">
        <f>IF([1]Summ!E1065="",0,[1]Summ!E1065)</f>
        <v>2.4303513698630135E-2</v>
      </c>
      <c r="C27" s="213">
        <f>IF([1]Summ!F1065="",0,[1]Summ!F1065)</f>
        <v>-2.4303513698630135E-2</v>
      </c>
      <c r="D27" s="23">
        <f>SUM(B27,C27)</f>
        <v>0</v>
      </c>
      <c r="E27" s="25"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0</v>
      </c>
      <c r="K27" s="21">
        <f t="shared" si="4"/>
        <v>2.4303513698630135E-2</v>
      </c>
      <c r="L27" s="21">
        <f t="shared" si="5"/>
        <v>2.4303513698630135E-2</v>
      </c>
      <c r="M27" s="224">
        <f t="shared" si="6"/>
        <v>0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</v>
      </c>
      <c r="Z27" s="115">
        <v>0.25</v>
      </c>
      <c r="AA27" s="120">
        <f t="shared" si="16"/>
        <v>0</v>
      </c>
      <c r="AB27" s="115">
        <v>0.25</v>
      </c>
      <c r="AC27" s="120">
        <f t="shared" si="7"/>
        <v>0</v>
      </c>
      <c r="AD27" s="115">
        <v>0.25</v>
      </c>
      <c r="AE27" s="120">
        <f t="shared" si="8"/>
        <v>0</v>
      </c>
      <c r="AF27" s="121">
        <f t="shared" si="10"/>
        <v>0.25</v>
      </c>
      <c r="AG27" s="120">
        <f t="shared" si="11"/>
        <v>0</v>
      </c>
      <c r="AH27" s="122">
        <f t="shared" si="12"/>
        <v>1</v>
      </c>
      <c r="AI27" s="181">
        <f t="shared" si="13"/>
        <v>0</v>
      </c>
      <c r="AJ27" s="119">
        <f t="shared" si="14"/>
        <v>0</v>
      </c>
      <c r="AK27" s="118">
        <f t="shared" si="15"/>
        <v>0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IF([1]Summ!$A1066="","",[1]Summ!$A1066)</f>
        <v>Purchase - desirable</v>
      </c>
      <c r="B28" s="213">
        <f>IF([1]Summ!E1066="",0,[1]Summ!E1066)</f>
        <v>0</v>
      </c>
      <c r="C28" s="213">
        <f>IF([1]Summ!F1066="",0,[1]Summ!F1066)</f>
        <v>0</v>
      </c>
      <c r="D28" s="23">
        <f>SUM(B28,C28)</f>
        <v>0</v>
      </c>
      <c r="E28" s="25"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15">
        <v>0</v>
      </c>
      <c r="AA28" s="120">
        <f t="shared" si="16"/>
        <v>0</v>
      </c>
      <c r="AB28" s="115">
        <v>0</v>
      </c>
      <c r="AC28" s="120">
        <f t="shared" si="7"/>
        <v>0</v>
      </c>
      <c r="AD28" s="115"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IF([1]Summ!$A1067="","",[1]Summ!$A1067)</f>
        <v>Purchase - fpl non staple</v>
      </c>
      <c r="B29" s="213">
        <f>IF([1]Summ!E1067="",0,[1]Summ!E1067)</f>
        <v>0.33678191656288908</v>
      </c>
      <c r="C29" s="213">
        <f>IF([1]Summ!F1067="",0,[1]Summ!F1067)</f>
        <v>-0.11214514262089205</v>
      </c>
      <c r="D29" s="23">
        <f>SUM(B29,C29)</f>
        <v>0.22463677394199705</v>
      </c>
      <c r="E29" s="25"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0.22463677394199705</v>
      </c>
      <c r="K29" s="21">
        <f t="shared" si="4"/>
        <v>0.33678191656288908</v>
      </c>
      <c r="L29" s="21">
        <f t="shared" si="5"/>
        <v>0.33678191656288908</v>
      </c>
      <c r="M29" s="222">
        <f t="shared" si="6"/>
        <v>0.22463677394199705</v>
      </c>
      <c r="N29" s="227"/>
      <c r="P29" s="21"/>
      <c r="V29" s="55"/>
      <c r="W29" s="109"/>
      <c r="X29" s="117"/>
      <c r="Y29" s="181">
        <f t="shared" si="9"/>
        <v>0.89854709576798819</v>
      </c>
      <c r="Z29" s="115">
        <v>0.25</v>
      </c>
      <c r="AA29" s="120">
        <f t="shared" si="16"/>
        <v>0.22463677394199705</v>
      </c>
      <c r="AB29" s="115">
        <v>0.25</v>
      </c>
      <c r="AC29" s="120">
        <f t="shared" si="7"/>
        <v>0.22463677394199705</v>
      </c>
      <c r="AD29" s="115">
        <v>0.25</v>
      </c>
      <c r="AE29" s="120">
        <f t="shared" si="8"/>
        <v>0.22463677394199705</v>
      </c>
      <c r="AF29" s="121">
        <f t="shared" si="10"/>
        <v>0.25</v>
      </c>
      <c r="AG29" s="120">
        <f t="shared" si="11"/>
        <v>0.22463677394199705</v>
      </c>
      <c r="AH29" s="122">
        <f t="shared" si="12"/>
        <v>1</v>
      </c>
      <c r="AI29" s="181">
        <f t="shared" si="13"/>
        <v>0.22463677394199705</v>
      </c>
      <c r="AJ29" s="119">
        <f t="shared" si="14"/>
        <v>0.22463677394199705</v>
      </c>
      <c r="AK29" s="118">
        <f t="shared" si="15"/>
        <v>0.22463677394199705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84" t="str">
        <f>IF([1]Summ!$A1068="","",[1]Summ!$A1068)</f>
        <v>Purchase - staple</v>
      </c>
      <c r="B30" s="213">
        <f>IF([1]Summ!E1068="",0,[1]Summ!E1068)</f>
        <v>0.55751374053549196</v>
      </c>
      <c r="C30" s="102"/>
      <c r="D30" s="23">
        <f>(D119-B124)</f>
        <v>3.4136561390940496</v>
      </c>
      <c r="E30" s="28">
        <v>1</v>
      </c>
      <c r="F30" s="94"/>
      <c r="G30" s="94"/>
      <c r="H30" s="95">
        <f>(E30*F$7/F$9)</f>
        <v>1</v>
      </c>
      <c r="I30" s="28">
        <f>IF(E30&gt;=1,I119-I124,MIN(I119-I124,B30*H30))</f>
        <v>0.64288158609603208</v>
      </c>
      <c r="J30" s="229">
        <f>IF(I$32&lt;=1,I30,1-SUM(J6:J29))</f>
        <v>0.64288158609603208</v>
      </c>
      <c r="K30" s="21">
        <f t="shared" si="4"/>
        <v>0.55751374053549196</v>
      </c>
      <c r="L30" s="21">
        <f>IF(L124=L119,0,IF(K30="",0,(L119-L124)/(B119-B124)*K30))</f>
        <v>9.3535796921425426E-2</v>
      </c>
      <c r="M30" s="173">
        <f t="shared" si="6"/>
        <v>0.64288158609603208</v>
      </c>
      <c r="N30" s="165" t="s">
        <v>74</v>
      </c>
      <c r="O30" s="2"/>
      <c r="P30" s="21"/>
      <c r="Q30" s="232" t="s">
        <v>121</v>
      </c>
      <c r="R30" s="232">
        <f t="shared" ref="R30:T32" si="50">IF(R24&gt;R$23,R24-R$23,0)</f>
        <v>0</v>
      </c>
      <c r="S30" s="232">
        <f t="shared" si="50"/>
        <v>1243.2062873038849</v>
      </c>
      <c r="T30" s="232">
        <f t="shared" si="50"/>
        <v>151.20628730388853</v>
      </c>
      <c r="V30" s="55"/>
      <c r="W30" s="109"/>
      <c r="X30" s="117"/>
      <c r="Y30" s="181">
        <f>M30*4</f>
        <v>2.5715263443841283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1.3434020914351863E-2</v>
      </c>
      <c r="K31" s="21" t="str">
        <f t="shared" si="4"/>
        <v/>
      </c>
      <c r="L31" s="21">
        <f>(1-SUM(L6:L30))</f>
        <v>0.42633115376943631</v>
      </c>
      <c r="M31" s="176">
        <f t="shared" si="6"/>
        <v>1.3434020914351863E-2</v>
      </c>
      <c r="N31" s="166">
        <f>M31*I83</f>
        <v>151.20628730388447</v>
      </c>
      <c r="P31" s="21"/>
      <c r="Q31" s="236" t="s">
        <v>122</v>
      </c>
      <c r="R31" s="232">
        <f t="shared" si="50"/>
        <v>0</v>
      </c>
      <c r="S31" s="232">
        <f t="shared" si="50"/>
        <v>10434.619620637219</v>
      </c>
      <c r="T31" s="232">
        <f>IF(T25&gt;T$23,T25-T$23,0)</f>
        <v>9342.6196206372224</v>
      </c>
      <c r="V31" s="55"/>
      <c r="W31" s="128" t="s">
        <v>72</v>
      </c>
      <c r="X31" s="129"/>
      <c r="Y31" s="120">
        <f>M31*4</f>
        <v>5.3736083657407452E-2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8" t="s">
        <v>23</v>
      </c>
      <c r="B32" s="28">
        <f>SUM(B6:B30)</f>
        <v>1.0376467898446302</v>
      </c>
      <c r="C32" s="28">
        <f>SUM(C6:C31)</f>
        <v>-0.13644865631952219</v>
      </c>
      <c r="D32" s="23">
        <f>SUM(D6:D30)</f>
        <v>3.7573405320836657</v>
      </c>
      <c r="E32" s="2"/>
      <c r="F32" s="2"/>
      <c r="H32" s="16"/>
      <c r="I32" s="21">
        <f>SUM(I6:I30)</f>
        <v>0.98656597908564814</v>
      </c>
      <c r="J32" s="16"/>
      <c r="L32" s="21">
        <f>SUM(L6:L30)</f>
        <v>0.57366884623056369</v>
      </c>
      <c r="M32" s="22"/>
      <c r="N32" s="55"/>
      <c r="O32" s="2"/>
      <c r="P32" s="21"/>
      <c r="Q32" s="232" t="s">
        <v>123</v>
      </c>
      <c r="R32" s="232">
        <f t="shared" si="50"/>
        <v>0</v>
      </c>
      <c r="S32" s="232">
        <f t="shared" si="50"/>
        <v>26803.579620637218</v>
      </c>
      <c r="T32" s="232">
        <f t="shared" si="50"/>
        <v>25711.579620637222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1.3288465848163067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269" t="s">
        <v>136</v>
      </c>
      <c r="B34" s="1"/>
      <c r="C34" s="1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9191.4133333333357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1"/>
      <c r="B35" s="1" t="s">
        <v>6</v>
      </c>
      <c r="C35" s="1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182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1" t="s">
        <v>28</v>
      </c>
      <c r="B36" s="1" t="s">
        <v>15</v>
      </c>
      <c r="C36" s="1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IF([1]Summ!$A1072="","",[1]Summ!$A1072)</f>
        <v>Construction cash income -- see Data2</v>
      </c>
      <c r="B37" s="214">
        <f>IF([1]Summ!E1072="",0,[1]Summ!E1072)</f>
        <v>3600</v>
      </c>
      <c r="C37" s="214">
        <f>IF([1]Summ!F1072="",0,[1]Summ!F1072)</f>
        <v>0</v>
      </c>
      <c r="D37" s="37">
        <f>SUM(B37,C37)</f>
        <v>3600</v>
      </c>
      <c r="E37" s="231">
        <v>0.5</v>
      </c>
      <c r="F37" s="25">
        <v>1.1100000000000001</v>
      </c>
      <c r="G37" s="25">
        <v>1.65</v>
      </c>
      <c r="H37" s="23">
        <f t="shared" ref="H37:H49" si="51">(E37*F37)</f>
        <v>0.55500000000000005</v>
      </c>
      <c r="I37" s="38">
        <f t="shared" ref="I37:I49" si="52">D37*H37</f>
        <v>1998.0000000000002</v>
      </c>
      <c r="J37" s="37">
        <f t="shared" ref="J37:J49" si="53">J91*I$83</f>
        <v>1998.0000000000002</v>
      </c>
      <c r="K37" s="39">
        <f t="shared" ref="K37:K49" si="54">(B37/B$65)</f>
        <v>0.1213101496158512</v>
      </c>
      <c r="L37" s="21">
        <f t="shared" ref="L37:L49" si="55">(K37*H37)</f>
        <v>6.7327133036797424E-2</v>
      </c>
      <c r="M37" s="23">
        <f t="shared" ref="M37:M49" si="56">J37/B$65</f>
        <v>6.7327133036797424E-2</v>
      </c>
      <c r="N37" s="2"/>
      <c r="O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57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IF([1]Summ!$A1073="","",[1]Summ!$A1073)</f>
        <v>Domestic work cash income -- see Data2</v>
      </c>
      <c r="B38" s="214">
        <f>IF([1]Summ!E1073="",0,[1]Summ!E1073)</f>
        <v>4140</v>
      </c>
      <c r="C38" s="214">
        <f>IF([1]Summ!F1073="",0,[1]Summ!F1073)</f>
        <v>0</v>
      </c>
      <c r="D38" s="37">
        <f t="shared" ref="D38:D47" si="58">SUM(B38,C38)</f>
        <v>4140</v>
      </c>
      <c r="E38" s="25">
        <v>0.5</v>
      </c>
      <c r="F38" s="25">
        <v>1.1100000000000001</v>
      </c>
      <c r="G38" s="21">
        <f t="shared" ref="G38:G64" si="59">(G$37)</f>
        <v>1.65</v>
      </c>
      <c r="H38" s="23">
        <f t="shared" si="51"/>
        <v>0.55500000000000005</v>
      </c>
      <c r="I38" s="38">
        <f t="shared" si="52"/>
        <v>2297.7000000000003</v>
      </c>
      <c r="J38" s="37">
        <f t="shared" si="53"/>
        <v>2297.6999999999998</v>
      </c>
      <c r="K38" s="39">
        <f t="shared" si="54"/>
        <v>0.13950667205822886</v>
      </c>
      <c r="L38" s="21">
        <f t="shared" si="55"/>
        <v>7.742620299231702E-2</v>
      </c>
      <c r="M38" s="23">
        <f t="shared" si="56"/>
        <v>7.742620299231702E-2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1" t="e">
        <f>IF($J38=0,0,AE38/($J38))</f>
        <v>#DIV/0!</v>
      </c>
      <c r="AE38" s="146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1" t="e">
        <f t="shared" si="57"/>
        <v>#DIV/0!</v>
      </c>
      <c r="AG38" s="146" t="e">
        <f t="shared" ref="AG38:AG64" si="60">$J38*AF38</f>
        <v>#DIV/0!</v>
      </c>
      <c r="AH38" s="122" t="e">
        <f t="shared" ref="AH38:AI58" si="61">SUM(Z38,AB38,AD38,AF38)</f>
        <v>#DIV/0!</v>
      </c>
      <c r="AI38" s="111" t="e">
        <f t="shared" si="61"/>
        <v>#DIV/0!</v>
      </c>
      <c r="AJ38" s="147" t="e">
        <f t="shared" ref="AJ38:AJ64" si="62">(AA38+AC38)</f>
        <v>#DIV/0!</v>
      </c>
      <c r="AK38" s="146" t="e">
        <f t="shared" ref="AK38:AK64" si="63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IF([1]Summ!$A1074="","",[1]Summ!$A1074)</f>
        <v>Labour migration(formal employment): no. people per HH</v>
      </c>
      <c r="B39" s="214">
        <f>IF([1]Summ!E1074="",0,[1]Summ!E1074)</f>
        <v>0</v>
      </c>
      <c r="C39" s="214">
        <f>IF([1]Summ!F1074="",0,[1]Summ!F1074)</f>
        <v>0</v>
      </c>
      <c r="D39" s="37">
        <f t="shared" si="58"/>
        <v>0</v>
      </c>
      <c r="E39" s="25">
        <v>0.8</v>
      </c>
      <c r="F39" s="25">
        <v>1.1599999999999999</v>
      </c>
      <c r="G39" s="21">
        <f t="shared" si="59"/>
        <v>1.65</v>
      </c>
      <c r="H39" s="23">
        <f t="shared" si="51"/>
        <v>0.92799999999999994</v>
      </c>
      <c r="I39" s="38">
        <f t="shared" si="52"/>
        <v>0</v>
      </c>
      <c r="J39" s="37">
        <f t="shared" si="53"/>
        <v>0</v>
      </c>
      <c r="K39" s="39">
        <f t="shared" si="54"/>
        <v>0</v>
      </c>
      <c r="L39" s="21">
        <f t="shared" si="55"/>
        <v>0</v>
      </c>
      <c r="M39" s="23">
        <f t="shared" si="56"/>
        <v>0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v>1</v>
      </c>
      <c r="Y39" s="109"/>
      <c r="Z39" s="121">
        <f>Z8</f>
        <v>0</v>
      </c>
      <c r="AA39" s="146">
        <f t="shared" ref="AA39:AA64" si="64">$J39*Z39</f>
        <v>0</v>
      </c>
      <c r="AB39" s="121">
        <f>AB8</f>
        <v>0</v>
      </c>
      <c r="AC39" s="146">
        <f t="shared" ref="AC39:AC64" si="65">$J39*AB39</f>
        <v>0</v>
      </c>
      <c r="AD39" s="121">
        <f>AD8</f>
        <v>0</v>
      </c>
      <c r="AE39" s="146">
        <f t="shared" ref="AE39:AE64" si="66">$J39*AD39</f>
        <v>0</v>
      </c>
      <c r="AF39" s="121">
        <f t="shared" si="57"/>
        <v>1</v>
      </c>
      <c r="AG39" s="146">
        <f t="shared" si="60"/>
        <v>0</v>
      </c>
      <c r="AH39" s="122">
        <f t="shared" si="61"/>
        <v>1</v>
      </c>
      <c r="AI39" s="111">
        <f t="shared" si="61"/>
        <v>0</v>
      </c>
      <c r="AJ39" s="147">
        <f t="shared" si="62"/>
        <v>0</v>
      </c>
      <c r="AK39" s="146">
        <f t="shared" si="63"/>
        <v>0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IF([1]Summ!$A1075="","",[1]Summ!$A1075)</f>
        <v>Formal Employment</v>
      </c>
      <c r="B40" s="214">
        <f>IF([1]Summ!E1075="",0,[1]Summ!E1075)</f>
        <v>0</v>
      </c>
      <c r="C40" s="214">
        <f>IF([1]Summ!F1075="",0,[1]Summ!F1075)</f>
        <v>0</v>
      </c>
      <c r="D40" s="37">
        <f t="shared" si="58"/>
        <v>0</v>
      </c>
      <c r="E40" s="25">
        <v>1</v>
      </c>
      <c r="F40" s="25">
        <v>1.1599999999999999</v>
      </c>
      <c r="G40" s="21">
        <f t="shared" si="59"/>
        <v>1.65</v>
      </c>
      <c r="H40" s="23">
        <f t="shared" si="51"/>
        <v>1.1599999999999999</v>
      </c>
      <c r="I40" s="38">
        <f t="shared" si="52"/>
        <v>0</v>
      </c>
      <c r="J40" s="37">
        <f t="shared" si="53"/>
        <v>0</v>
      </c>
      <c r="K40" s="39">
        <f t="shared" si="54"/>
        <v>0</v>
      </c>
      <c r="L40" s="21">
        <f t="shared" si="55"/>
        <v>0</v>
      </c>
      <c r="M40" s="23">
        <f t="shared" si="56"/>
        <v>0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v>1</v>
      </c>
      <c r="Y40" s="109"/>
      <c r="Z40" s="121">
        <f>Z9</f>
        <v>0</v>
      </c>
      <c r="AA40" s="146">
        <f t="shared" si="64"/>
        <v>0</v>
      </c>
      <c r="AB40" s="121">
        <f>AB9</f>
        <v>0</v>
      </c>
      <c r="AC40" s="146">
        <f t="shared" si="65"/>
        <v>0</v>
      </c>
      <c r="AD40" s="121">
        <f>AD9</f>
        <v>0</v>
      </c>
      <c r="AE40" s="146">
        <f t="shared" si="66"/>
        <v>0</v>
      </c>
      <c r="AF40" s="121">
        <f t="shared" si="57"/>
        <v>1</v>
      </c>
      <c r="AG40" s="146">
        <f t="shared" si="60"/>
        <v>0</v>
      </c>
      <c r="AH40" s="122">
        <f t="shared" si="61"/>
        <v>1</v>
      </c>
      <c r="AI40" s="111">
        <f t="shared" si="61"/>
        <v>0</v>
      </c>
      <c r="AJ40" s="147">
        <f t="shared" si="62"/>
        <v>0</v>
      </c>
      <c r="AK40" s="146">
        <f t="shared" si="63"/>
        <v>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IF([1]Summ!$A1076="","",[1]Summ!$A1076)</f>
        <v>Self-employment -- see Data2</v>
      </c>
      <c r="B41" s="214">
        <f>IF([1]Summ!E1076="",0,[1]Summ!E1076)</f>
        <v>5460</v>
      </c>
      <c r="C41" s="214">
        <f>IF([1]Summ!F1076="",0,[1]Summ!F1076)</f>
        <v>1092</v>
      </c>
      <c r="D41" s="37">
        <f t="shared" si="58"/>
        <v>6552</v>
      </c>
      <c r="E41" s="25">
        <v>1</v>
      </c>
      <c r="F41" s="25">
        <v>1</v>
      </c>
      <c r="G41" s="21">
        <f t="shared" si="59"/>
        <v>1.65</v>
      </c>
      <c r="H41" s="23">
        <f t="shared" si="51"/>
        <v>1</v>
      </c>
      <c r="I41" s="38">
        <f t="shared" si="52"/>
        <v>6552</v>
      </c>
      <c r="J41" s="37">
        <f t="shared" si="53"/>
        <v>6552</v>
      </c>
      <c r="K41" s="39">
        <f t="shared" si="54"/>
        <v>0.18398706025070763</v>
      </c>
      <c r="L41" s="21">
        <f t="shared" si="55"/>
        <v>0.18398706025070763</v>
      </c>
      <c r="M41" s="23">
        <f t="shared" si="56"/>
        <v>0.22078447230084916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v>1</v>
      </c>
      <c r="Y41" s="109"/>
      <c r="Z41" s="121">
        <f>Z11</f>
        <v>0</v>
      </c>
      <c r="AA41" s="146">
        <f t="shared" si="64"/>
        <v>0</v>
      </c>
      <c r="AB41" s="121">
        <f>AB11</f>
        <v>0</v>
      </c>
      <c r="AC41" s="146">
        <f t="shared" si="65"/>
        <v>0</v>
      </c>
      <c r="AD41" s="121">
        <f>AD11</f>
        <v>0</v>
      </c>
      <c r="AE41" s="146">
        <f t="shared" si="66"/>
        <v>0</v>
      </c>
      <c r="AF41" s="121">
        <f t="shared" si="57"/>
        <v>1</v>
      </c>
      <c r="AG41" s="146">
        <f t="shared" si="60"/>
        <v>6552</v>
      </c>
      <c r="AH41" s="122">
        <f t="shared" si="61"/>
        <v>1</v>
      </c>
      <c r="AI41" s="111">
        <f t="shared" si="61"/>
        <v>6552</v>
      </c>
      <c r="AJ41" s="147">
        <f t="shared" si="62"/>
        <v>0</v>
      </c>
      <c r="AK41" s="146">
        <f t="shared" si="63"/>
        <v>6552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IF([1]Summ!$A1077="","",[1]Summ!$A1077)</f>
        <v>Small business -- see Data2</v>
      </c>
      <c r="B42" s="214">
        <f>IF([1]Summ!E1077="",0,[1]Summ!E1077)</f>
        <v>2820</v>
      </c>
      <c r="C42" s="214">
        <f>IF([1]Summ!F1077="",0,[1]Summ!F1077)</f>
        <v>0</v>
      </c>
      <c r="D42" s="37">
        <f t="shared" si="58"/>
        <v>2820</v>
      </c>
      <c r="E42" s="25">
        <v>1</v>
      </c>
      <c r="F42" s="25">
        <v>1.1599999999999999</v>
      </c>
      <c r="G42" s="21">
        <f t="shared" si="59"/>
        <v>1.65</v>
      </c>
      <c r="H42" s="23">
        <f t="shared" si="51"/>
        <v>1.1599999999999999</v>
      </c>
      <c r="I42" s="38">
        <f t="shared" si="52"/>
        <v>3271.2</v>
      </c>
      <c r="J42" s="37">
        <f t="shared" si="53"/>
        <v>3271.1999999999994</v>
      </c>
      <c r="K42" s="39">
        <f t="shared" si="54"/>
        <v>9.50262838657501E-2</v>
      </c>
      <c r="L42" s="21">
        <f t="shared" si="55"/>
        <v>0.11023048928427011</v>
      </c>
      <c r="M42" s="23">
        <f t="shared" si="56"/>
        <v>0.11023048928427009</v>
      </c>
      <c r="N42" s="2"/>
      <c r="O42" s="2"/>
      <c r="P42" s="55"/>
      <c r="Q42" s="40"/>
      <c r="R42" s="40"/>
      <c r="S42" s="252"/>
      <c r="T42" s="252"/>
      <c r="U42" s="55"/>
      <c r="V42" s="55"/>
      <c r="W42" s="114"/>
      <c r="X42" s="117"/>
      <c r="Y42" s="109"/>
      <c r="Z42" s="115">
        <v>0.25</v>
      </c>
      <c r="AA42" s="146">
        <f t="shared" si="64"/>
        <v>817.79999999999984</v>
      </c>
      <c r="AB42" s="115">
        <v>0</v>
      </c>
      <c r="AC42" s="146">
        <f t="shared" si="65"/>
        <v>0</v>
      </c>
      <c r="AD42" s="115">
        <v>0.5</v>
      </c>
      <c r="AE42" s="146">
        <f t="shared" si="66"/>
        <v>1635.5999999999997</v>
      </c>
      <c r="AF42" s="121">
        <f t="shared" si="57"/>
        <v>0.25</v>
      </c>
      <c r="AG42" s="146">
        <f t="shared" si="60"/>
        <v>817.79999999999984</v>
      </c>
      <c r="AH42" s="122">
        <f t="shared" si="61"/>
        <v>1</v>
      </c>
      <c r="AI42" s="111">
        <f t="shared" si="61"/>
        <v>3271.1999999999994</v>
      </c>
      <c r="AJ42" s="147">
        <f t="shared" si="62"/>
        <v>817.79999999999984</v>
      </c>
      <c r="AK42" s="146">
        <f t="shared" si="63"/>
        <v>2453.3999999999996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IF([1]Summ!$A1078="","",[1]Summ!$A1078)</f>
        <v>Social development -- see Data2</v>
      </c>
      <c r="B43" s="214">
        <f>IF([1]Summ!E1078="",0,[1]Summ!E1078)</f>
        <v>10248</v>
      </c>
      <c r="C43" s="214">
        <f>IF([1]Summ!F1078="",0,[1]Summ!F1078)</f>
        <v>0</v>
      </c>
      <c r="D43" s="37">
        <f t="shared" si="58"/>
        <v>10248</v>
      </c>
      <c r="E43" s="25">
        <v>0</v>
      </c>
      <c r="F43" s="25">
        <v>1.18</v>
      </c>
      <c r="G43" s="21">
        <f t="shared" si="59"/>
        <v>1.65</v>
      </c>
      <c r="H43" s="23">
        <f t="shared" si="51"/>
        <v>0</v>
      </c>
      <c r="I43" s="38">
        <f t="shared" si="52"/>
        <v>0</v>
      </c>
      <c r="J43" s="37">
        <f t="shared" si="53"/>
        <v>0</v>
      </c>
      <c r="K43" s="39">
        <f t="shared" si="54"/>
        <v>0.34532955923978975</v>
      </c>
      <c r="L43" s="21">
        <f t="shared" si="55"/>
        <v>0</v>
      </c>
      <c r="M43" s="23">
        <f t="shared" si="56"/>
        <v>0</v>
      </c>
      <c r="N43" s="2"/>
      <c r="O43" s="2"/>
      <c r="P43" s="58"/>
      <c r="Q43" s="40"/>
      <c r="R43" s="40"/>
      <c r="S43" s="219"/>
      <c r="T43" s="219"/>
      <c r="U43" s="55"/>
      <c r="V43" s="55"/>
      <c r="W43" s="114"/>
      <c r="X43" s="117"/>
      <c r="Y43" s="109"/>
      <c r="Z43" s="115">
        <v>0.25</v>
      </c>
      <c r="AA43" s="146">
        <f t="shared" si="64"/>
        <v>0</v>
      </c>
      <c r="AB43" s="115">
        <v>0.25</v>
      </c>
      <c r="AC43" s="146">
        <f t="shared" si="65"/>
        <v>0</v>
      </c>
      <c r="AD43" s="115">
        <v>0.25</v>
      </c>
      <c r="AE43" s="146">
        <f t="shared" si="66"/>
        <v>0</v>
      </c>
      <c r="AF43" s="121">
        <f t="shared" si="57"/>
        <v>0.25</v>
      </c>
      <c r="AG43" s="146">
        <f t="shared" si="60"/>
        <v>0</v>
      </c>
      <c r="AH43" s="122">
        <f t="shared" si="61"/>
        <v>1</v>
      </c>
      <c r="AI43" s="111">
        <f t="shared" si="61"/>
        <v>0</v>
      </c>
      <c r="AJ43" s="147">
        <f t="shared" si="62"/>
        <v>0</v>
      </c>
      <c r="AK43" s="146">
        <f t="shared" si="63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IF([1]Summ!$A1079="","",[1]Summ!$A1079)</f>
        <v>Helping friends</v>
      </c>
      <c r="B44" s="214">
        <f>IF([1]Summ!E1079="",0,[1]Summ!E1079)</f>
        <v>1668</v>
      </c>
      <c r="C44" s="214">
        <f>IF([1]Summ!F1079="",0,[1]Summ!F1079)</f>
        <v>0</v>
      </c>
      <c r="D44" s="37">
        <f t="shared" si="58"/>
        <v>1668</v>
      </c>
      <c r="E44" s="25">
        <v>1</v>
      </c>
      <c r="F44" s="25">
        <v>1.1100000000000001</v>
      </c>
      <c r="G44" s="21">
        <f t="shared" si="59"/>
        <v>1.65</v>
      </c>
      <c r="H44" s="23">
        <f t="shared" si="51"/>
        <v>1.1100000000000001</v>
      </c>
      <c r="I44" s="38">
        <f t="shared" si="52"/>
        <v>1851.4800000000002</v>
      </c>
      <c r="J44" s="37">
        <f t="shared" si="53"/>
        <v>1851.4800000000002</v>
      </c>
      <c r="K44" s="39">
        <f t="shared" si="54"/>
        <v>5.6207035988677718E-2</v>
      </c>
      <c r="L44" s="21">
        <f t="shared" si="55"/>
        <v>6.2389809947432276E-2</v>
      </c>
      <c r="M44" s="23">
        <f t="shared" si="56"/>
        <v>6.2389809947432276E-2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15">
        <v>0.25</v>
      </c>
      <c r="AA44" s="146">
        <f t="shared" si="64"/>
        <v>462.87000000000006</v>
      </c>
      <c r="AB44" s="115">
        <v>0.25</v>
      </c>
      <c r="AC44" s="146">
        <f t="shared" si="65"/>
        <v>462.87000000000006</v>
      </c>
      <c r="AD44" s="115">
        <v>0.25</v>
      </c>
      <c r="AE44" s="146">
        <f t="shared" si="66"/>
        <v>462.87000000000006</v>
      </c>
      <c r="AF44" s="121">
        <f t="shared" si="57"/>
        <v>0.25</v>
      </c>
      <c r="AG44" s="146">
        <f t="shared" si="60"/>
        <v>462.87000000000006</v>
      </c>
      <c r="AH44" s="122">
        <f t="shared" si="61"/>
        <v>1</v>
      </c>
      <c r="AI44" s="111">
        <f t="shared" si="61"/>
        <v>1851.4800000000002</v>
      </c>
      <c r="AJ44" s="147">
        <f t="shared" si="62"/>
        <v>925.74000000000012</v>
      </c>
      <c r="AK44" s="146">
        <f t="shared" si="63"/>
        <v>925.74000000000012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IF([1]Summ!$A1080="","",[1]Summ!$A1080)</f>
        <v>Gifts and support</v>
      </c>
      <c r="B45" s="214">
        <f>IF([1]Summ!E1080="",0,[1]Summ!E1080)</f>
        <v>1740</v>
      </c>
      <c r="C45" s="214">
        <f>IF([1]Summ!F1080="",0,[1]Summ!F1080)</f>
        <v>0</v>
      </c>
      <c r="D45" s="37">
        <f t="shared" si="58"/>
        <v>1740</v>
      </c>
      <c r="E45" s="25">
        <v>1</v>
      </c>
      <c r="F45" s="25">
        <v>1</v>
      </c>
      <c r="G45" s="21">
        <f t="shared" si="59"/>
        <v>1.65</v>
      </c>
      <c r="H45" s="23">
        <f t="shared" si="51"/>
        <v>1</v>
      </c>
      <c r="I45" s="38">
        <f t="shared" si="52"/>
        <v>1740</v>
      </c>
      <c r="J45" s="37">
        <f t="shared" si="53"/>
        <v>1740</v>
      </c>
      <c r="K45" s="39">
        <f t="shared" si="54"/>
        <v>5.8633238980994741E-2</v>
      </c>
      <c r="L45" s="21">
        <f t="shared" si="55"/>
        <v>5.8633238980994741E-2</v>
      </c>
      <c r="M45" s="23">
        <f t="shared" si="56"/>
        <v>5.8633238980994741E-2</v>
      </c>
      <c r="N45" s="2"/>
      <c r="O45" s="2"/>
      <c r="P45" s="55"/>
      <c r="Q45" s="253"/>
      <c r="S45" s="40"/>
      <c r="U45" s="55"/>
      <c r="V45" s="55"/>
      <c r="W45" s="109"/>
      <c r="X45" s="117"/>
      <c r="Y45" s="109"/>
      <c r="Z45" s="115">
        <v>0.25</v>
      </c>
      <c r="AA45" s="146">
        <f t="shared" si="64"/>
        <v>435</v>
      </c>
      <c r="AB45" s="115">
        <v>0.25</v>
      </c>
      <c r="AC45" s="146">
        <f t="shared" si="65"/>
        <v>435</v>
      </c>
      <c r="AD45" s="115">
        <v>0.25</v>
      </c>
      <c r="AE45" s="146">
        <f t="shared" si="66"/>
        <v>435</v>
      </c>
      <c r="AF45" s="121">
        <f t="shared" si="57"/>
        <v>0.25</v>
      </c>
      <c r="AG45" s="146">
        <f t="shared" si="60"/>
        <v>435</v>
      </c>
      <c r="AH45" s="122">
        <f t="shared" si="61"/>
        <v>1</v>
      </c>
      <c r="AI45" s="111">
        <f t="shared" si="61"/>
        <v>1740</v>
      </c>
      <c r="AJ45" s="147">
        <f t="shared" si="62"/>
        <v>870</v>
      </c>
      <c r="AK45" s="146">
        <f t="shared" si="63"/>
        <v>870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IF([1]Summ!$A1081="","",[1]Summ!$A1081)</f>
        <v>Remittances: no. times per year</v>
      </c>
      <c r="B46" s="214">
        <f>IF([1]Summ!E1081="",0,[1]Summ!E1081)</f>
        <v>0</v>
      </c>
      <c r="C46" s="214">
        <f>IF([1]Summ!F1081="",0,[1]Summ!F1081)</f>
        <v>0</v>
      </c>
      <c r="D46" s="37">
        <f t="shared" si="58"/>
        <v>0</v>
      </c>
      <c r="E46" s="25">
        <v>1</v>
      </c>
      <c r="F46" s="25">
        <v>1.1100000000000001</v>
      </c>
      <c r="G46" s="21">
        <f t="shared" si="59"/>
        <v>1.65</v>
      </c>
      <c r="H46" s="23">
        <f t="shared" si="51"/>
        <v>1.1100000000000001</v>
      </c>
      <c r="I46" s="38">
        <f t="shared" si="52"/>
        <v>0</v>
      </c>
      <c r="J46" s="37">
        <f t="shared" si="53"/>
        <v>0</v>
      </c>
      <c r="K46" s="39">
        <f t="shared" si="54"/>
        <v>0</v>
      </c>
      <c r="L46" s="21">
        <f t="shared" si="55"/>
        <v>0</v>
      </c>
      <c r="M46" s="23">
        <f t="shared" si="56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15">
        <v>0.25</v>
      </c>
      <c r="AA46" s="146">
        <f t="shared" si="64"/>
        <v>0</v>
      </c>
      <c r="AB46" s="115">
        <v>0.25</v>
      </c>
      <c r="AC46" s="146">
        <f t="shared" si="65"/>
        <v>0</v>
      </c>
      <c r="AD46" s="115">
        <v>0.25</v>
      </c>
      <c r="AE46" s="146">
        <f t="shared" si="66"/>
        <v>0</v>
      </c>
      <c r="AF46" s="121">
        <f t="shared" si="57"/>
        <v>0.25</v>
      </c>
      <c r="AG46" s="146">
        <f t="shared" si="60"/>
        <v>0</v>
      </c>
      <c r="AH46" s="122">
        <f t="shared" si="61"/>
        <v>1</v>
      </c>
      <c r="AI46" s="111">
        <f t="shared" si="61"/>
        <v>0</v>
      </c>
      <c r="AJ46" s="147">
        <f t="shared" si="62"/>
        <v>0</v>
      </c>
      <c r="AK46" s="146">
        <f t="shared" si="63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IF([1]Summ!$A1082="","",[1]Summ!$A1082)</f>
        <v/>
      </c>
      <c r="B47" s="214">
        <f>IF([1]Summ!E1082="",0,[1]Summ!E1082)</f>
        <v>0</v>
      </c>
      <c r="C47" s="214">
        <f>IF([1]Summ!F1082="",0,[1]Summ!F1082)</f>
        <v>0</v>
      </c>
      <c r="D47" s="37">
        <f t="shared" si="58"/>
        <v>0</v>
      </c>
      <c r="E47" s="25">
        <v>1</v>
      </c>
      <c r="F47" s="25">
        <v>1</v>
      </c>
      <c r="G47" s="21">
        <f t="shared" si="59"/>
        <v>1.65</v>
      </c>
      <c r="H47" s="23">
        <f t="shared" si="51"/>
        <v>1</v>
      </c>
      <c r="I47" s="38">
        <f t="shared" si="52"/>
        <v>0</v>
      </c>
      <c r="J47" s="37">
        <f t="shared" si="53"/>
        <v>0</v>
      </c>
      <c r="K47" s="39">
        <f t="shared" si="54"/>
        <v>0</v>
      </c>
      <c r="L47" s="21">
        <f t="shared" si="55"/>
        <v>0</v>
      </c>
      <c r="M47" s="23">
        <f t="shared" si="56"/>
        <v>0</v>
      </c>
      <c r="N47" s="2"/>
      <c r="O47" s="2"/>
      <c r="P47" s="58"/>
      <c r="R47" s="241"/>
      <c r="U47" s="55"/>
      <c r="V47" s="55"/>
      <c r="W47" s="109"/>
      <c r="X47" s="117"/>
      <c r="Y47" s="109"/>
      <c r="Z47" s="115">
        <v>0.25</v>
      </c>
      <c r="AA47" s="146">
        <f t="shared" si="64"/>
        <v>0</v>
      </c>
      <c r="AB47" s="115">
        <v>0.25</v>
      </c>
      <c r="AC47" s="146">
        <f t="shared" si="65"/>
        <v>0</v>
      </c>
      <c r="AD47" s="115">
        <v>0.25</v>
      </c>
      <c r="AE47" s="146">
        <f t="shared" si="66"/>
        <v>0</v>
      </c>
      <c r="AF47" s="121">
        <f t="shared" si="57"/>
        <v>0.25</v>
      </c>
      <c r="AG47" s="146">
        <f t="shared" si="60"/>
        <v>0</v>
      </c>
      <c r="AH47" s="122">
        <f t="shared" si="61"/>
        <v>1</v>
      </c>
      <c r="AI47" s="111">
        <f t="shared" si="61"/>
        <v>0</v>
      </c>
      <c r="AJ47" s="147">
        <f t="shared" si="62"/>
        <v>0</v>
      </c>
      <c r="AK47" s="146">
        <f t="shared" si="63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IF([1]Summ!$A1083="","",[1]Summ!$A1083)</f>
        <v/>
      </c>
      <c r="B48" s="214">
        <f>IF([1]Summ!E1083="",0,[1]Summ!E1083)</f>
        <v>0</v>
      </c>
      <c r="C48" s="214">
        <f>IF([1]Summ!F1083="",0,[1]Summ!F1083)</f>
        <v>0</v>
      </c>
      <c r="D48" s="37">
        <f>SUM(B48,C48)</f>
        <v>0</v>
      </c>
      <c r="E48" s="25">
        <v>1</v>
      </c>
      <c r="F48" s="25">
        <v>1</v>
      </c>
      <c r="G48" s="21">
        <f t="shared" si="59"/>
        <v>1.65</v>
      </c>
      <c r="H48" s="23">
        <f t="shared" si="51"/>
        <v>1</v>
      </c>
      <c r="I48" s="38">
        <f t="shared" si="52"/>
        <v>0</v>
      </c>
      <c r="J48" s="37">
        <f t="shared" si="53"/>
        <v>0</v>
      </c>
      <c r="K48" s="39">
        <f t="shared" si="54"/>
        <v>0</v>
      </c>
      <c r="L48" s="21">
        <f t="shared" si="55"/>
        <v>0</v>
      </c>
      <c r="M48" s="23">
        <f t="shared" si="56"/>
        <v>0</v>
      </c>
      <c r="N48" s="2"/>
      <c r="O48" s="2"/>
      <c r="P48" s="58"/>
      <c r="Q48" s="253"/>
      <c r="R48" s="250"/>
      <c r="S48" s="40"/>
      <c r="T48" s="28"/>
      <c r="U48" s="55"/>
      <c r="V48" s="55"/>
      <c r="W48" s="109"/>
      <c r="X48" s="117"/>
      <c r="Y48" s="109"/>
      <c r="Z48" s="115">
        <v>0.25</v>
      </c>
      <c r="AA48" s="146">
        <f t="shared" si="64"/>
        <v>0</v>
      </c>
      <c r="AB48" s="115">
        <v>0.25</v>
      </c>
      <c r="AC48" s="146">
        <f t="shared" si="65"/>
        <v>0</v>
      </c>
      <c r="AD48" s="115">
        <v>0.25</v>
      </c>
      <c r="AE48" s="146">
        <f t="shared" si="66"/>
        <v>0</v>
      </c>
      <c r="AF48" s="121">
        <f t="shared" si="57"/>
        <v>0.25</v>
      </c>
      <c r="AG48" s="146">
        <f t="shared" si="60"/>
        <v>0</v>
      </c>
      <c r="AH48" s="122">
        <f t="shared" si="61"/>
        <v>1</v>
      </c>
      <c r="AI48" s="111">
        <f t="shared" si="61"/>
        <v>0</v>
      </c>
      <c r="AJ48" s="147">
        <f t="shared" si="62"/>
        <v>0</v>
      </c>
      <c r="AK48" s="146">
        <f t="shared" si="63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IF([1]Summ!$A1084="","",[1]Summ!$A1084)</f>
        <v/>
      </c>
      <c r="B49" s="214">
        <f>IF([1]Summ!E1084="",0,[1]Summ!E1084)</f>
        <v>0</v>
      </c>
      <c r="C49" s="214">
        <f>IF([1]Summ!F1084="",0,[1]Summ!F1084)</f>
        <v>0</v>
      </c>
      <c r="D49" s="37">
        <f t="shared" ref="D49:D64" si="67">SUM(B49,C49)</f>
        <v>0</v>
      </c>
      <c r="E49" s="25">
        <v>1</v>
      </c>
      <c r="F49" s="25">
        <v>1</v>
      </c>
      <c r="G49" s="21">
        <f t="shared" si="59"/>
        <v>1.65</v>
      </c>
      <c r="H49" s="23">
        <f t="shared" si="51"/>
        <v>1</v>
      </c>
      <c r="I49" s="38">
        <f t="shared" si="52"/>
        <v>0</v>
      </c>
      <c r="J49" s="37">
        <f t="shared" si="53"/>
        <v>0</v>
      </c>
      <c r="K49" s="39">
        <f t="shared" si="54"/>
        <v>0</v>
      </c>
      <c r="L49" s="21">
        <f t="shared" si="55"/>
        <v>0</v>
      </c>
      <c r="M49" s="23">
        <f t="shared" si="56"/>
        <v>0</v>
      </c>
      <c r="N49" s="2"/>
      <c r="O49" s="2"/>
      <c r="P49" s="55"/>
      <c r="V49" s="55"/>
      <c r="W49" s="109"/>
      <c r="X49" s="117"/>
      <c r="Y49" s="109"/>
      <c r="Z49" s="115">
        <v>0.25</v>
      </c>
      <c r="AA49" s="146">
        <f t="shared" si="64"/>
        <v>0</v>
      </c>
      <c r="AB49" s="115">
        <v>0.25</v>
      </c>
      <c r="AC49" s="146">
        <f t="shared" si="65"/>
        <v>0</v>
      </c>
      <c r="AD49" s="115">
        <v>0.25</v>
      </c>
      <c r="AE49" s="146">
        <f t="shared" si="66"/>
        <v>0</v>
      </c>
      <c r="AF49" s="121">
        <f t="shared" si="57"/>
        <v>0.25</v>
      </c>
      <c r="AG49" s="146">
        <f t="shared" si="60"/>
        <v>0</v>
      </c>
      <c r="AH49" s="122">
        <f t="shared" si="61"/>
        <v>1</v>
      </c>
      <c r="AI49" s="111">
        <f t="shared" si="61"/>
        <v>0</v>
      </c>
      <c r="AJ49" s="147">
        <f t="shared" si="62"/>
        <v>0</v>
      </c>
      <c r="AK49" s="146">
        <f t="shared" si="63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IF([1]Summ!$A1085="","",[1]Summ!$A1085)</f>
        <v/>
      </c>
      <c r="B50" s="214">
        <f>IF([1]Summ!E1085="",0,[1]Summ!E1085)</f>
        <v>0</v>
      </c>
      <c r="C50" s="214">
        <f>IF([1]Summ!F1085="",0,[1]Summ!F1085)</f>
        <v>0</v>
      </c>
      <c r="D50" s="37">
        <f t="shared" si="67"/>
        <v>0</v>
      </c>
      <c r="E50" s="25">
        <v>1</v>
      </c>
      <c r="F50" s="25">
        <v>1</v>
      </c>
      <c r="G50" s="21">
        <f t="shared" si="59"/>
        <v>1.65</v>
      </c>
      <c r="H50" s="23">
        <f t="shared" ref="H50:H64" si="68">(E50*F50)</f>
        <v>1</v>
      </c>
      <c r="I50" s="38">
        <f t="shared" ref="I50:I64" si="69">D50*H50</f>
        <v>0</v>
      </c>
      <c r="J50" s="37">
        <f t="shared" ref="J50:J64" si="70">J104*I$83</f>
        <v>0</v>
      </c>
      <c r="K50" s="39">
        <f t="shared" ref="K50:K64" si="71">(B50/B$65)</f>
        <v>0</v>
      </c>
      <c r="L50" s="21">
        <f t="shared" ref="L50:L64" si="72">(K50*H50)</f>
        <v>0</v>
      </c>
      <c r="M50" s="23">
        <f t="shared" ref="M50:M64" si="73">J50/B$65</f>
        <v>0</v>
      </c>
      <c r="N50" s="2"/>
      <c r="P50" s="63"/>
      <c r="V50" s="55"/>
      <c r="W50" s="109"/>
      <c r="X50" s="117"/>
      <c r="Y50" s="109"/>
      <c r="Z50" s="115"/>
      <c r="AA50" s="146"/>
      <c r="AB50" s="115"/>
      <c r="AC50" s="146"/>
      <c r="AD50" s="115"/>
      <c r="AE50" s="146"/>
      <c r="AF50" s="121"/>
      <c r="AG50" s="146"/>
      <c r="AH50" s="122"/>
      <c r="AI50" s="111"/>
      <c r="AJ50" s="147"/>
      <c r="AK50" s="146"/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IF([1]Summ!$A1086="","",[1]Summ!$A1086)</f>
        <v/>
      </c>
      <c r="B51" s="214">
        <f>IF([1]Summ!E1086="",0,[1]Summ!E1086)</f>
        <v>0</v>
      </c>
      <c r="C51" s="214">
        <f>IF([1]Summ!F1086="",0,[1]Summ!F1086)</f>
        <v>0</v>
      </c>
      <c r="D51" s="37">
        <f t="shared" si="67"/>
        <v>0</v>
      </c>
      <c r="E51" s="25">
        <v>1</v>
      </c>
      <c r="F51" s="25">
        <v>1</v>
      </c>
      <c r="G51" s="21">
        <f t="shared" si="59"/>
        <v>1.65</v>
      </c>
      <c r="H51" s="23">
        <f t="shared" si="68"/>
        <v>1</v>
      </c>
      <c r="I51" s="38">
        <f t="shared" si="69"/>
        <v>0</v>
      </c>
      <c r="J51" s="37">
        <f t="shared" si="70"/>
        <v>0</v>
      </c>
      <c r="K51" s="39">
        <f t="shared" si="71"/>
        <v>0</v>
      </c>
      <c r="L51" s="21">
        <f t="shared" si="72"/>
        <v>0</v>
      </c>
      <c r="M51" s="23">
        <f t="shared" si="73"/>
        <v>0</v>
      </c>
      <c r="N51" s="2"/>
      <c r="O51" s="2"/>
      <c r="P51" s="58"/>
      <c r="V51" s="55"/>
      <c r="W51" s="109"/>
      <c r="X51" s="117"/>
      <c r="Y51" s="109"/>
      <c r="Z51" s="115"/>
      <c r="AA51" s="146"/>
      <c r="AB51" s="115"/>
      <c r="AC51" s="146"/>
      <c r="AD51" s="115"/>
      <c r="AE51" s="146"/>
      <c r="AF51" s="121"/>
      <c r="AG51" s="146"/>
      <c r="AH51" s="122"/>
      <c r="AI51" s="111"/>
      <c r="AJ51" s="147"/>
      <c r="AK51" s="146"/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IF([1]Summ!$A1087="","",[1]Summ!$A1087)</f>
        <v/>
      </c>
      <c r="B52" s="214">
        <f>IF([1]Summ!E1087="",0,[1]Summ!E1087)</f>
        <v>0</v>
      </c>
      <c r="C52" s="214">
        <f>IF([1]Summ!F1087="",0,[1]Summ!F1087)</f>
        <v>0</v>
      </c>
      <c r="D52" s="37">
        <f t="shared" si="67"/>
        <v>0</v>
      </c>
      <c r="E52" s="25">
        <v>1</v>
      </c>
      <c r="F52" s="25">
        <v>1</v>
      </c>
      <c r="G52" s="21">
        <f t="shared" si="59"/>
        <v>1.65</v>
      </c>
      <c r="H52" s="23">
        <f t="shared" si="68"/>
        <v>1</v>
      </c>
      <c r="I52" s="38">
        <f t="shared" si="69"/>
        <v>0</v>
      </c>
      <c r="J52" s="37">
        <f t="shared" si="70"/>
        <v>0</v>
      </c>
      <c r="K52" s="39">
        <f t="shared" si="71"/>
        <v>0</v>
      </c>
      <c r="L52" s="21">
        <f t="shared" si="72"/>
        <v>0</v>
      </c>
      <c r="M52" s="23">
        <f t="shared" si="73"/>
        <v>0</v>
      </c>
      <c r="N52" s="2"/>
      <c r="O52" s="2"/>
      <c r="P52" s="58"/>
      <c r="Q52" s="2"/>
      <c r="R52" s="216"/>
      <c r="S52" s="67"/>
      <c r="T52" s="2"/>
      <c r="U52" s="55"/>
      <c r="V52" s="55"/>
      <c r="W52" s="109"/>
      <c r="X52" s="117"/>
      <c r="Y52" s="109"/>
      <c r="Z52" s="115"/>
      <c r="AA52" s="146"/>
      <c r="AB52" s="115"/>
      <c r="AC52" s="146"/>
      <c r="AD52" s="115"/>
      <c r="AE52" s="146"/>
      <c r="AF52" s="121"/>
      <c r="AG52" s="146"/>
      <c r="AH52" s="122"/>
      <c r="AI52" s="111"/>
      <c r="AJ52" s="147"/>
      <c r="AK52" s="146"/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IF([1]Summ!$A1088="","",[1]Summ!$A1088)</f>
        <v/>
      </c>
      <c r="B53" s="214">
        <f>IF([1]Summ!E1088="",0,[1]Summ!E1088)</f>
        <v>0</v>
      </c>
      <c r="C53" s="214">
        <f>IF([1]Summ!F1088="",0,[1]Summ!F1088)</f>
        <v>0</v>
      </c>
      <c r="D53" s="37">
        <f t="shared" si="67"/>
        <v>0</v>
      </c>
      <c r="E53" s="25">
        <v>1</v>
      </c>
      <c r="F53" s="25">
        <v>1</v>
      </c>
      <c r="G53" s="21">
        <f t="shared" si="59"/>
        <v>1.65</v>
      </c>
      <c r="H53" s="23">
        <f t="shared" si="68"/>
        <v>1</v>
      </c>
      <c r="I53" s="38">
        <f t="shared" si="69"/>
        <v>0</v>
      </c>
      <c r="J53" s="37">
        <f t="shared" si="70"/>
        <v>0</v>
      </c>
      <c r="K53" s="39">
        <f t="shared" si="71"/>
        <v>0</v>
      </c>
      <c r="L53" s="21">
        <f t="shared" si="72"/>
        <v>0</v>
      </c>
      <c r="M53" s="23">
        <f t="shared" si="73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15"/>
      <c r="AA53" s="146"/>
      <c r="AB53" s="115"/>
      <c r="AC53" s="146"/>
      <c r="AD53" s="11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IF([1]Summ!$A1089="","",[1]Summ!$A1089)</f>
        <v/>
      </c>
      <c r="B54" s="214">
        <f>IF([1]Summ!E1089="",0,[1]Summ!E1089)</f>
        <v>0</v>
      </c>
      <c r="C54" s="214">
        <f>IF([1]Summ!F1089="",0,[1]Summ!F1089)</f>
        <v>0</v>
      </c>
      <c r="D54" s="37">
        <f t="shared" si="67"/>
        <v>0</v>
      </c>
      <c r="E54" s="25">
        <v>1</v>
      </c>
      <c r="F54" s="25">
        <v>1</v>
      </c>
      <c r="G54" s="21">
        <f t="shared" si="59"/>
        <v>1.65</v>
      </c>
      <c r="H54" s="23">
        <f t="shared" si="68"/>
        <v>1</v>
      </c>
      <c r="I54" s="38">
        <f t="shared" si="69"/>
        <v>0</v>
      </c>
      <c r="J54" s="37">
        <f t="shared" si="70"/>
        <v>0</v>
      </c>
      <c r="K54" s="39">
        <f t="shared" si="71"/>
        <v>0</v>
      </c>
      <c r="L54" s="21">
        <f t="shared" si="72"/>
        <v>0</v>
      </c>
      <c r="M54" s="23">
        <f t="shared" si="73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15"/>
      <c r="AA54" s="146"/>
      <c r="AB54" s="115"/>
      <c r="AC54" s="146"/>
      <c r="AD54" s="11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IF([1]Summ!$A1090="","",[1]Summ!$A1090)</f>
        <v/>
      </c>
      <c r="B55" s="214">
        <f>IF([1]Summ!E1090="",0,[1]Summ!E1090)</f>
        <v>0</v>
      </c>
      <c r="C55" s="214">
        <f>IF([1]Summ!F1090="",0,[1]Summ!F1090)</f>
        <v>0</v>
      </c>
      <c r="D55" s="37">
        <f t="shared" si="67"/>
        <v>0</v>
      </c>
      <c r="E55" s="25">
        <v>1</v>
      </c>
      <c r="F55" s="25">
        <v>1</v>
      </c>
      <c r="G55" s="21">
        <f t="shared" si="59"/>
        <v>1.65</v>
      </c>
      <c r="H55" s="23">
        <f t="shared" si="68"/>
        <v>1</v>
      </c>
      <c r="I55" s="38">
        <f t="shared" si="69"/>
        <v>0</v>
      </c>
      <c r="J55" s="37">
        <f t="shared" si="70"/>
        <v>0</v>
      </c>
      <c r="K55" s="39">
        <f t="shared" si="71"/>
        <v>0</v>
      </c>
      <c r="L55" s="21">
        <f t="shared" si="72"/>
        <v>0</v>
      </c>
      <c r="M55" s="23">
        <f t="shared" si="73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15">
        <v>0.25</v>
      </c>
      <c r="AA55" s="146">
        <f t="shared" si="64"/>
        <v>0</v>
      </c>
      <c r="AB55" s="115">
        <v>0.25</v>
      </c>
      <c r="AC55" s="146">
        <f t="shared" si="65"/>
        <v>0</v>
      </c>
      <c r="AD55" s="115">
        <v>0.25</v>
      </c>
      <c r="AE55" s="146">
        <f t="shared" si="66"/>
        <v>0</v>
      </c>
      <c r="AF55" s="121">
        <f t="shared" si="57"/>
        <v>0.25</v>
      </c>
      <c r="AG55" s="146">
        <f t="shared" si="60"/>
        <v>0</v>
      </c>
      <c r="AH55" s="122">
        <f t="shared" si="61"/>
        <v>1</v>
      </c>
      <c r="AI55" s="111">
        <f t="shared" si="61"/>
        <v>0</v>
      </c>
      <c r="AJ55" s="147">
        <f t="shared" si="62"/>
        <v>0</v>
      </c>
      <c r="AK55" s="146">
        <f t="shared" si="63"/>
        <v>0</v>
      </c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IF([1]Summ!$A1091="","",[1]Summ!$A1091)</f>
        <v/>
      </c>
      <c r="B56" s="214">
        <f>IF([1]Summ!E1091="",0,[1]Summ!E1091)</f>
        <v>0</v>
      </c>
      <c r="C56" s="214">
        <f>IF([1]Summ!F1091="",0,[1]Summ!F1091)</f>
        <v>0</v>
      </c>
      <c r="D56" s="37">
        <f t="shared" si="67"/>
        <v>0</v>
      </c>
      <c r="E56" s="25">
        <v>1</v>
      </c>
      <c r="F56" s="25">
        <v>1</v>
      </c>
      <c r="G56" s="21">
        <f t="shared" si="59"/>
        <v>1.65</v>
      </c>
      <c r="H56" s="23">
        <f t="shared" si="68"/>
        <v>1</v>
      </c>
      <c r="I56" s="38">
        <f t="shared" si="69"/>
        <v>0</v>
      </c>
      <c r="J56" s="37">
        <f t="shared" si="70"/>
        <v>0</v>
      </c>
      <c r="K56" s="39">
        <f t="shared" si="71"/>
        <v>0</v>
      </c>
      <c r="L56" s="21">
        <f t="shared" si="72"/>
        <v>0</v>
      </c>
      <c r="M56" s="23">
        <f t="shared" si="73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15">
        <v>0.25</v>
      </c>
      <c r="AA56" s="146">
        <f t="shared" si="64"/>
        <v>0</v>
      </c>
      <c r="AB56" s="115">
        <v>0.25</v>
      </c>
      <c r="AC56" s="146">
        <f t="shared" si="65"/>
        <v>0</v>
      </c>
      <c r="AD56" s="115">
        <v>0.25</v>
      </c>
      <c r="AE56" s="146">
        <f t="shared" si="66"/>
        <v>0</v>
      </c>
      <c r="AF56" s="121">
        <f t="shared" si="57"/>
        <v>0.25</v>
      </c>
      <c r="AG56" s="146">
        <f t="shared" si="60"/>
        <v>0</v>
      </c>
      <c r="AH56" s="122">
        <f t="shared" si="61"/>
        <v>1</v>
      </c>
      <c r="AI56" s="111">
        <f t="shared" si="61"/>
        <v>0</v>
      </c>
      <c r="AJ56" s="147">
        <f t="shared" si="62"/>
        <v>0</v>
      </c>
      <c r="AK56" s="146">
        <f t="shared" si="63"/>
        <v>0</v>
      </c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IF([1]Summ!$A1092="","",[1]Summ!$A1092)</f>
        <v/>
      </c>
      <c r="B57" s="214">
        <f>IF([1]Summ!E1092="",0,[1]Summ!E1092)</f>
        <v>0</v>
      </c>
      <c r="C57" s="214">
        <f>IF([1]Summ!F1092="",0,[1]Summ!F1092)</f>
        <v>0</v>
      </c>
      <c r="D57" s="37">
        <f t="shared" si="67"/>
        <v>0</v>
      </c>
      <c r="E57" s="25">
        <v>1</v>
      </c>
      <c r="F57" s="25">
        <v>1</v>
      </c>
      <c r="G57" s="21">
        <f t="shared" si="59"/>
        <v>1.65</v>
      </c>
      <c r="H57" s="23">
        <f t="shared" si="68"/>
        <v>1</v>
      </c>
      <c r="I57" s="38">
        <f t="shared" si="69"/>
        <v>0</v>
      </c>
      <c r="J57" s="37">
        <f t="shared" si="70"/>
        <v>0</v>
      </c>
      <c r="K57" s="39">
        <f t="shared" si="71"/>
        <v>0</v>
      </c>
      <c r="L57" s="21">
        <f t="shared" si="72"/>
        <v>0</v>
      </c>
      <c r="M57" s="23">
        <f t="shared" si="73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15">
        <v>0.25</v>
      </c>
      <c r="AA57" s="146">
        <f t="shared" si="64"/>
        <v>0</v>
      </c>
      <c r="AB57" s="115">
        <v>0.25</v>
      </c>
      <c r="AC57" s="146">
        <f t="shared" si="65"/>
        <v>0</v>
      </c>
      <c r="AD57" s="115">
        <v>0.25</v>
      </c>
      <c r="AE57" s="146">
        <f t="shared" si="66"/>
        <v>0</v>
      </c>
      <c r="AF57" s="121">
        <f t="shared" si="57"/>
        <v>0.25</v>
      </c>
      <c r="AG57" s="146">
        <f t="shared" si="60"/>
        <v>0</v>
      </c>
      <c r="AH57" s="122">
        <f t="shared" si="61"/>
        <v>1</v>
      </c>
      <c r="AI57" s="111">
        <f t="shared" si="61"/>
        <v>0</v>
      </c>
      <c r="AJ57" s="147">
        <f t="shared" si="62"/>
        <v>0</v>
      </c>
      <c r="AK57" s="146">
        <f t="shared" si="63"/>
        <v>0</v>
      </c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IF([1]Summ!$A1093="","",[1]Summ!$A1093)</f>
        <v/>
      </c>
      <c r="B58" s="214">
        <f>IF([1]Summ!E1093="",0,[1]Summ!E1093)</f>
        <v>0</v>
      </c>
      <c r="C58" s="214">
        <f>IF([1]Summ!F1093="",0,[1]Summ!F1093)</f>
        <v>0</v>
      </c>
      <c r="D58" s="37">
        <f t="shared" si="67"/>
        <v>0</v>
      </c>
      <c r="E58" s="25">
        <v>1</v>
      </c>
      <c r="F58" s="25">
        <v>1</v>
      </c>
      <c r="G58" s="21">
        <f t="shared" si="59"/>
        <v>1.65</v>
      </c>
      <c r="H58" s="23">
        <f t="shared" si="68"/>
        <v>1</v>
      </c>
      <c r="I58" s="38">
        <f t="shared" si="69"/>
        <v>0</v>
      </c>
      <c r="J58" s="37">
        <f t="shared" si="70"/>
        <v>0</v>
      </c>
      <c r="K58" s="39">
        <f t="shared" si="71"/>
        <v>0</v>
      </c>
      <c r="L58" s="21">
        <f t="shared" si="72"/>
        <v>0</v>
      </c>
      <c r="M58" s="23">
        <f t="shared" si="73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15">
        <v>0.25</v>
      </c>
      <c r="AA58" s="146">
        <f t="shared" si="64"/>
        <v>0</v>
      </c>
      <c r="AB58" s="115">
        <v>0.25</v>
      </c>
      <c r="AC58" s="146">
        <f t="shared" si="65"/>
        <v>0</v>
      </c>
      <c r="AD58" s="115">
        <v>0.25</v>
      </c>
      <c r="AE58" s="146">
        <f t="shared" si="66"/>
        <v>0</v>
      </c>
      <c r="AF58" s="121">
        <f t="shared" si="57"/>
        <v>0.25</v>
      </c>
      <c r="AG58" s="146">
        <f t="shared" si="60"/>
        <v>0</v>
      </c>
      <c r="AH58" s="122">
        <f t="shared" si="61"/>
        <v>1</v>
      </c>
      <c r="AI58" s="111">
        <f t="shared" si="61"/>
        <v>0</v>
      </c>
      <c r="AJ58" s="147">
        <f t="shared" si="62"/>
        <v>0</v>
      </c>
      <c r="AK58" s="146">
        <f t="shared" si="63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IF([1]Summ!$A1094="","",[1]Summ!$A1094)</f>
        <v/>
      </c>
      <c r="B59" s="214">
        <f>IF([1]Summ!E1094="",0,[1]Summ!E1094)</f>
        <v>0</v>
      </c>
      <c r="C59" s="214">
        <f>IF([1]Summ!F1094="",0,[1]Summ!F1094)</f>
        <v>0</v>
      </c>
      <c r="D59" s="37">
        <f t="shared" si="67"/>
        <v>0</v>
      </c>
      <c r="E59" s="25">
        <v>1</v>
      </c>
      <c r="F59" s="25">
        <v>1</v>
      </c>
      <c r="G59" s="21">
        <f t="shared" si="59"/>
        <v>1.65</v>
      </c>
      <c r="H59" s="23">
        <f t="shared" si="68"/>
        <v>1</v>
      </c>
      <c r="I59" s="38">
        <f t="shared" si="69"/>
        <v>0</v>
      </c>
      <c r="J59" s="37">
        <f t="shared" si="70"/>
        <v>0</v>
      </c>
      <c r="K59" s="39">
        <f t="shared" si="71"/>
        <v>0</v>
      </c>
      <c r="L59" s="21">
        <f t="shared" si="72"/>
        <v>0</v>
      </c>
      <c r="M59" s="23">
        <f t="shared" si="73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15">
        <v>0.25</v>
      </c>
      <c r="AA59" s="146">
        <f t="shared" si="64"/>
        <v>0</v>
      </c>
      <c r="AB59" s="115">
        <v>0.25</v>
      </c>
      <c r="AC59" s="146">
        <f t="shared" si="65"/>
        <v>0</v>
      </c>
      <c r="AD59" s="115">
        <v>0.25</v>
      </c>
      <c r="AE59" s="146">
        <f t="shared" si="66"/>
        <v>0</v>
      </c>
      <c r="AF59" s="121">
        <f t="shared" si="57"/>
        <v>0.25</v>
      </c>
      <c r="AG59" s="146">
        <f t="shared" si="60"/>
        <v>0</v>
      </c>
      <c r="AH59" s="122">
        <f t="shared" ref="AH59:AI64" si="74">SUM(Z59,AB59,AD59,AF59)</f>
        <v>1</v>
      </c>
      <c r="AI59" s="111">
        <f t="shared" si="74"/>
        <v>0</v>
      </c>
      <c r="AJ59" s="147">
        <f t="shared" si="62"/>
        <v>0</v>
      </c>
      <c r="AK59" s="146">
        <f t="shared" si="63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IF([1]Summ!$A1095="","",[1]Summ!$A1095)</f>
        <v/>
      </c>
      <c r="B60" s="214">
        <f>IF([1]Summ!E1095="",0,[1]Summ!E1095)</f>
        <v>0</v>
      </c>
      <c r="C60" s="214">
        <f>IF([1]Summ!F1095="",0,[1]Summ!F1095)</f>
        <v>0</v>
      </c>
      <c r="D60" s="37">
        <f t="shared" si="67"/>
        <v>0</v>
      </c>
      <c r="E60" s="25">
        <v>1</v>
      </c>
      <c r="F60" s="25">
        <v>1</v>
      </c>
      <c r="G60" s="21">
        <f t="shared" si="59"/>
        <v>1.65</v>
      </c>
      <c r="H60" s="23">
        <f t="shared" si="68"/>
        <v>1</v>
      </c>
      <c r="I60" s="38">
        <f t="shared" si="69"/>
        <v>0</v>
      </c>
      <c r="J60" s="37">
        <f t="shared" si="70"/>
        <v>0</v>
      </c>
      <c r="K60" s="39">
        <f t="shared" si="71"/>
        <v>0</v>
      </c>
      <c r="L60" s="21">
        <f t="shared" si="72"/>
        <v>0</v>
      </c>
      <c r="M60" s="23">
        <f t="shared" si="73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15">
        <v>0.25</v>
      </c>
      <c r="AA60" s="146">
        <f t="shared" si="64"/>
        <v>0</v>
      </c>
      <c r="AB60" s="115">
        <v>0.25</v>
      </c>
      <c r="AC60" s="146">
        <f t="shared" si="65"/>
        <v>0</v>
      </c>
      <c r="AD60" s="115">
        <v>0.25</v>
      </c>
      <c r="AE60" s="146">
        <f t="shared" si="66"/>
        <v>0</v>
      </c>
      <c r="AF60" s="121">
        <f t="shared" si="57"/>
        <v>0.25</v>
      </c>
      <c r="AG60" s="146">
        <f t="shared" si="60"/>
        <v>0</v>
      </c>
      <c r="AH60" s="122">
        <f t="shared" si="74"/>
        <v>1</v>
      </c>
      <c r="AI60" s="111">
        <f t="shared" si="74"/>
        <v>0</v>
      </c>
      <c r="AJ60" s="147">
        <f t="shared" si="62"/>
        <v>0</v>
      </c>
      <c r="AK60" s="146">
        <f t="shared" si="63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IF([1]Summ!$A1096="","",[1]Summ!$A1096)</f>
        <v/>
      </c>
      <c r="B61" s="214">
        <f>IF([1]Summ!E1096="",0,[1]Summ!E1096)</f>
        <v>0</v>
      </c>
      <c r="C61" s="214">
        <f>IF([1]Summ!F1096="",0,[1]Summ!F1096)</f>
        <v>0</v>
      </c>
      <c r="D61" s="37">
        <f t="shared" si="67"/>
        <v>0</v>
      </c>
      <c r="E61" s="25">
        <v>1</v>
      </c>
      <c r="F61" s="25">
        <v>1</v>
      </c>
      <c r="G61" s="21">
        <f t="shared" si="59"/>
        <v>1.65</v>
      </c>
      <c r="H61" s="23">
        <f t="shared" si="68"/>
        <v>1</v>
      </c>
      <c r="I61" s="38">
        <f t="shared" si="69"/>
        <v>0</v>
      </c>
      <c r="J61" s="37">
        <f t="shared" si="70"/>
        <v>0</v>
      </c>
      <c r="K61" s="39">
        <f t="shared" si="71"/>
        <v>0</v>
      </c>
      <c r="L61" s="21">
        <f t="shared" si="72"/>
        <v>0</v>
      </c>
      <c r="M61" s="23">
        <f t="shared" si="73"/>
        <v>0</v>
      </c>
      <c r="N61" s="2"/>
      <c r="O61" s="2"/>
      <c r="P61" s="2"/>
      <c r="Q61" s="55"/>
      <c r="R61" s="55"/>
      <c r="S61" s="55"/>
      <c r="T61" s="55"/>
      <c r="U61" s="55"/>
      <c r="V61" s="55"/>
      <c r="W61" s="109"/>
      <c r="X61" s="117"/>
      <c r="Y61" s="109"/>
      <c r="Z61" s="115">
        <v>0.25</v>
      </c>
      <c r="AA61" s="146">
        <f t="shared" si="64"/>
        <v>0</v>
      </c>
      <c r="AB61" s="115">
        <v>0.25</v>
      </c>
      <c r="AC61" s="146">
        <f t="shared" si="65"/>
        <v>0</v>
      </c>
      <c r="AD61" s="115">
        <v>0.25</v>
      </c>
      <c r="AE61" s="146">
        <f t="shared" si="66"/>
        <v>0</v>
      </c>
      <c r="AF61" s="121">
        <f t="shared" si="57"/>
        <v>0.25</v>
      </c>
      <c r="AG61" s="146">
        <f t="shared" si="60"/>
        <v>0</v>
      </c>
      <c r="AH61" s="122">
        <f t="shared" si="74"/>
        <v>1</v>
      </c>
      <c r="AI61" s="111">
        <f t="shared" si="74"/>
        <v>0</v>
      </c>
      <c r="AJ61" s="147">
        <f t="shared" si="62"/>
        <v>0</v>
      </c>
      <c r="AK61" s="146">
        <f t="shared" si="63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IF([1]Summ!$A1097="","",[1]Summ!$A1097)</f>
        <v/>
      </c>
      <c r="B62" s="214">
        <f>IF([1]Summ!E1097="",0,[1]Summ!E1097)</f>
        <v>0</v>
      </c>
      <c r="C62" s="214">
        <f>IF([1]Summ!F1097="",0,[1]Summ!F1097)</f>
        <v>0</v>
      </c>
      <c r="D62" s="37">
        <f t="shared" si="67"/>
        <v>0</v>
      </c>
      <c r="E62" s="25">
        <v>1</v>
      </c>
      <c r="F62" s="25">
        <v>1</v>
      </c>
      <c r="G62" s="21">
        <f t="shared" si="59"/>
        <v>1.65</v>
      </c>
      <c r="H62" s="23">
        <f t="shared" si="68"/>
        <v>1</v>
      </c>
      <c r="I62" s="38">
        <f t="shared" si="69"/>
        <v>0</v>
      </c>
      <c r="J62" s="37">
        <f t="shared" si="70"/>
        <v>0</v>
      </c>
      <c r="K62" s="39">
        <f t="shared" si="71"/>
        <v>0</v>
      </c>
      <c r="L62" s="21">
        <f t="shared" si="72"/>
        <v>0</v>
      </c>
      <c r="M62" s="23">
        <f t="shared" si="73"/>
        <v>0</v>
      </c>
      <c r="N62" s="2"/>
      <c r="O62" s="2"/>
      <c r="P62" s="2"/>
      <c r="Q62" s="55"/>
      <c r="R62" s="55"/>
      <c r="S62" s="55"/>
      <c r="T62" s="55"/>
      <c r="U62" s="55"/>
      <c r="V62" s="55"/>
      <c r="W62" s="109"/>
      <c r="X62" s="117"/>
      <c r="Y62" s="109"/>
      <c r="Z62" s="115">
        <v>0.25</v>
      </c>
      <c r="AA62" s="146">
        <f t="shared" si="64"/>
        <v>0</v>
      </c>
      <c r="AB62" s="115">
        <v>0.25</v>
      </c>
      <c r="AC62" s="146">
        <f t="shared" si="65"/>
        <v>0</v>
      </c>
      <c r="AD62" s="115">
        <v>0.25</v>
      </c>
      <c r="AE62" s="146">
        <f t="shared" si="66"/>
        <v>0</v>
      </c>
      <c r="AF62" s="121">
        <f t="shared" si="57"/>
        <v>0.25</v>
      </c>
      <c r="AG62" s="146">
        <f t="shared" si="60"/>
        <v>0</v>
      </c>
      <c r="AH62" s="122">
        <f t="shared" si="74"/>
        <v>1</v>
      </c>
      <c r="AI62" s="111">
        <f t="shared" si="74"/>
        <v>0</v>
      </c>
      <c r="AJ62" s="147">
        <f t="shared" si="62"/>
        <v>0</v>
      </c>
      <c r="AK62" s="146">
        <f t="shared" si="63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IF([1]Summ!$A1098="","",[1]Summ!$A1098)</f>
        <v/>
      </c>
      <c r="B63" s="214">
        <f>IF([1]Summ!E1098="",0,[1]Summ!E1098)</f>
        <v>0</v>
      </c>
      <c r="C63" s="214">
        <f>IF([1]Summ!F1098="",0,[1]Summ!F1098)</f>
        <v>0</v>
      </c>
      <c r="D63" s="37">
        <f t="shared" si="67"/>
        <v>0</v>
      </c>
      <c r="E63" s="25">
        <v>1</v>
      </c>
      <c r="F63" s="25">
        <v>1</v>
      </c>
      <c r="G63" s="21">
        <f t="shared" si="59"/>
        <v>1.65</v>
      </c>
      <c r="H63" s="23">
        <f t="shared" si="68"/>
        <v>1</v>
      </c>
      <c r="I63" s="38">
        <f t="shared" si="69"/>
        <v>0</v>
      </c>
      <c r="J63" s="37">
        <f t="shared" si="70"/>
        <v>0</v>
      </c>
      <c r="K63" s="39">
        <f t="shared" si="71"/>
        <v>0</v>
      </c>
      <c r="L63" s="21">
        <f t="shared" si="72"/>
        <v>0</v>
      </c>
      <c r="M63" s="23">
        <f t="shared" si="73"/>
        <v>0</v>
      </c>
      <c r="N63" s="2"/>
      <c r="O63" s="2"/>
      <c r="P63" s="2"/>
      <c r="Q63" s="55"/>
      <c r="R63" s="55"/>
      <c r="S63" s="55"/>
      <c r="T63" s="55"/>
      <c r="U63" s="55"/>
      <c r="V63" s="55"/>
      <c r="W63" s="109"/>
      <c r="X63" s="117"/>
      <c r="Y63" s="109"/>
      <c r="Z63" s="115">
        <v>0.25</v>
      </c>
      <c r="AA63" s="146">
        <f t="shared" si="64"/>
        <v>0</v>
      </c>
      <c r="AB63" s="115">
        <v>0.25</v>
      </c>
      <c r="AC63" s="146">
        <f t="shared" si="65"/>
        <v>0</v>
      </c>
      <c r="AD63" s="115">
        <v>0.25</v>
      </c>
      <c r="AE63" s="146">
        <f t="shared" si="66"/>
        <v>0</v>
      </c>
      <c r="AF63" s="121">
        <f t="shared" si="57"/>
        <v>0.25</v>
      </c>
      <c r="AG63" s="146">
        <f t="shared" si="60"/>
        <v>0</v>
      </c>
      <c r="AH63" s="122">
        <f t="shared" si="74"/>
        <v>1</v>
      </c>
      <c r="AI63" s="111">
        <f t="shared" si="74"/>
        <v>0</v>
      </c>
      <c r="AJ63" s="147">
        <f t="shared" si="62"/>
        <v>0</v>
      </c>
      <c r="AK63" s="146">
        <f t="shared" si="63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IF([1]Summ!$A1099="","",[1]Summ!$A1099)</f>
        <v/>
      </c>
      <c r="B64" s="214">
        <f>IF([1]Summ!E1099="",0,[1]Summ!E1099)</f>
        <v>0</v>
      </c>
      <c r="C64" s="214">
        <f>IF([1]Summ!F1099="",0,[1]Summ!F1099)</f>
        <v>0</v>
      </c>
      <c r="D64" s="37">
        <f t="shared" si="67"/>
        <v>0</v>
      </c>
      <c r="E64" s="25">
        <v>1</v>
      </c>
      <c r="F64" s="25">
        <v>1</v>
      </c>
      <c r="G64" s="21">
        <f t="shared" si="59"/>
        <v>1.65</v>
      </c>
      <c r="H64" s="23">
        <f t="shared" si="68"/>
        <v>1</v>
      </c>
      <c r="I64" s="38">
        <f t="shared" si="69"/>
        <v>0</v>
      </c>
      <c r="J64" s="37">
        <f t="shared" si="70"/>
        <v>0</v>
      </c>
      <c r="K64" s="39">
        <f t="shared" si="71"/>
        <v>0</v>
      </c>
      <c r="L64" s="21">
        <f t="shared" si="72"/>
        <v>0</v>
      </c>
      <c r="M64" s="23">
        <f t="shared" si="73"/>
        <v>0</v>
      </c>
      <c r="N64" s="2"/>
      <c r="O64" s="2"/>
      <c r="P64" s="2"/>
      <c r="Q64" s="55"/>
      <c r="R64" s="55"/>
      <c r="S64" s="55"/>
      <c r="T64" s="55"/>
      <c r="U64" s="55"/>
      <c r="V64" s="55"/>
      <c r="W64" s="109"/>
      <c r="X64" s="117"/>
      <c r="Y64" s="109"/>
      <c r="Z64" s="115">
        <v>0.25</v>
      </c>
      <c r="AA64" s="148">
        <f t="shared" si="64"/>
        <v>0</v>
      </c>
      <c r="AB64" s="115">
        <v>0.25</v>
      </c>
      <c r="AC64" s="148">
        <f t="shared" si="65"/>
        <v>0</v>
      </c>
      <c r="AD64" s="115">
        <v>0.25</v>
      </c>
      <c r="AE64" s="148">
        <f t="shared" si="66"/>
        <v>0</v>
      </c>
      <c r="AF64" s="149">
        <f t="shared" si="57"/>
        <v>0.25</v>
      </c>
      <c r="AG64" s="148">
        <f t="shared" si="60"/>
        <v>0</v>
      </c>
      <c r="AH64" s="122">
        <f t="shared" si="74"/>
        <v>1</v>
      </c>
      <c r="AI64" s="111">
        <f t="shared" si="74"/>
        <v>0</v>
      </c>
      <c r="AJ64" s="150">
        <f t="shared" si="62"/>
        <v>0</v>
      </c>
      <c r="AK64" s="148">
        <f t="shared" si="63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40" t="s">
        <v>30</v>
      </c>
      <c r="B65" s="40">
        <f>SUM(B37:B64)</f>
        <v>29676</v>
      </c>
      <c r="C65" s="40">
        <f>SUM(C37:C64)</f>
        <v>1092</v>
      </c>
      <c r="D65" s="41">
        <f>SUM(D37:D64)</f>
        <v>30768</v>
      </c>
      <c r="E65" s="31"/>
      <c r="F65" s="31"/>
      <c r="G65" s="31"/>
      <c r="H65" s="30"/>
      <c r="I65" s="38">
        <f>SUM(I37:I64)</f>
        <v>17710.38</v>
      </c>
      <c r="J65" s="38">
        <f>SUM(J37:J64)</f>
        <v>17710.379999999997</v>
      </c>
      <c r="K65" s="39">
        <f>SUM(K37:K64)</f>
        <v>1</v>
      </c>
      <c r="L65" s="21">
        <f>SUM(L37:L64)</f>
        <v>0.55999393449251922</v>
      </c>
      <c r="M65" s="23">
        <f>SUM(M37:M64)</f>
        <v>0.59679134654266075</v>
      </c>
      <c r="N65" s="2"/>
      <c r="O65" s="2"/>
      <c r="P65" s="2"/>
      <c r="Q65" s="55"/>
      <c r="R65" s="55"/>
      <c r="S65" s="55"/>
      <c r="T65" s="55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42"/>
      <c r="B66" s="42"/>
      <c r="C66" s="42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55"/>
      <c r="R66" s="55"/>
      <c r="S66" s="55"/>
      <c r="T66" s="55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269" t="s">
        <v>137</v>
      </c>
      <c r="B67" s="45"/>
      <c r="C67" s="45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55"/>
      <c r="R67" s="55"/>
      <c r="S67" s="55"/>
      <c r="T67" s="55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48"/>
      <c r="B68" s="45" t="s">
        <v>6</v>
      </c>
      <c r="C68" s="45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55"/>
      <c r="R68" s="55"/>
      <c r="S68" s="55"/>
      <c r="T68" s="55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45" t="s">
        <v>28</v>
      </c>
      <c r="B69" s="45" t="s">
        <v>32</v>
      </c>
      <c r="C69" s="45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55"/>
      <c r="R69" s="55"/>
      <c r="S69" s="55"/>
      <c r="T69" s="55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SUM([1]Summ!E1031)</f>
        <v>7481.7445312178415</v>
      </c>
      <c r="C70" s="45"/>
      <c r="D70" s="37"/>
      <c r="E70" s="25">
        <v>1</v>
      </c>
      <c r="F70" s="25"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75">J124*I$83</f>
        <v>10474.442343704977</v>
      </c>
      <c r="K70" s="39">
        <f>B70/B$76</f>
        <v>0.2521143190193369</v>
      </c>
      <c r="L70" s="21">
        <f t="shared" ref="L70:L75" si="76">(L124*G$37*F$9/F$7)/B$130</f>
        <v>0.35296004662707153</v>
      </c>
      <c r="M70" s="23">
        <f>J70/B$76</f>
        <v>0.35296004662707159</v>
      </c>
      <c r="N70" s="2"/>
      <c r="O70" s="2"/>
      <c r="P70" s="2"/>
      <c r="Q70" s="55"/>
      <c r="R70" s="55"/>
      <c r="S70" s="55"/>
      <c r="T70" s="55"/>
      <c r="U70" s="55"/>
      <c r="V70" s="55"/>
      <c r="W70" s="109"/>
      <c r="X70" s="117"/>
      <c r="Y70" s="109"/>
      <c r="Z70" s="115">
        <v>0.25</v>
      </c>
      <c r="AA70" s="146">
        <f>$J70*Z70</f>
        <v>2618.6105859262443</v>
      </c>
      <c r="AB70" s="115">
        <v>0.25</v>
      </c>
      <c r="AC70" s="146">
        <f>$J70*AB70</f>
        <v>2618.6105859262443</v>
      </c>
      <c r="AD70" s="115">
        <v>0.25</v>
      </c>
      <c r="AE70" s="146">
        <f>$J70*AD70</f>
        <v>2618.6105859262443</v>
      </c>
      <c r="AF70" s="121">
        <f>1-SUM(Z70,AB70,AD70)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SUM([1]Summ!E1032)</f>
        <v>7789.3333333333339</v>
      </c>
      <c r="C71" s="45"/>
      <c r="D71" s="37"/>
      <c r="E71" s="25">
        <v>1</v>
      </c>
      <c r="F71" s="25">
        <v>1.18</v>
      </c>
      <c r="G71" s="21"/>
      <c r="H71" s="23">
        <f t="shared" ref="H71:H72" si="77">(E71*F71)</f>
        <v>1.18</v>
      </c>
      <c r="I71" s="38">
        <f>I125*I$83</f>
        <v>7235.9376562950247</v>
      </c>
      <c r="J71" s="50">
        <f t="shared" si="75"/>
        <v>7235.9376562950247</v>
      </c>
      <c r="K71" s="39">
        <f t="shared" ref="K71:K72" si="78">B71/B$76</f>
        <v>0.2624792200206677</v>
      </c>
      <c r="L71" s="21">
        <f t="shared" si="76"/>
        <v>0.20703388786544763</v>
      </c>
      <c r="M71" s="23">
        <f t="shared" ref="M71:M72" si="79">J71/B$76</f>
        <v>0.24383129991558919</v>
      </c>
      <c r="N71" s="2"/>
      <c r="O71" s="2"/>
      <c r="P71" s="2"/>
      <c r="Q71" s="55"/>
      <c r="R71" s="55"/>
      <c r="S71" s="55"/>
      <c r="T71" s="55"/>
      <c r="U71" s="55"/>
      <c r="V71" s="55"/>
      <c r="W71" s="109"/>
      <c r="X71" s="117"/>
      <c r="Y71" s="109"/>
      <c r="Z71" s="115"/>
      <c r="AA71" s="146"/>
      <c r="AB71" s="115"/>
      <c r="AC71" s="146"/>
      <c r="AD71" s="115"/>
      <c r="AE71" s="146"/>
      <c r="AF71" s="121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SUM([1]Summ!E1033)</f>
        <v>13872</v>
      </c>
      <c r="C72" s="45"/>
      <c r="D72" s="37"/>
      <c r="E72" s="25">
        <v>1</v>
      </c>
      <c r="F72" s="25">
        <v>1.18</v>
      </c>
      <c r="G72" s="21"/>
      <c r="H72" s="23">
        <f t="shared" si="77"/>
        <v>1.18</v>
      </c>
      <c r="I72" s="38">
        <f>I126*I$83</f>
        <v>0</v>
      </c>
      <c r="J72" s="50">
        <f t="shared" si="75"/>
        <v>0</v>
      </c>
      <c r="K72" s="39">
        <f t="shared" si="78"/>
        <v>0.46744844318641326</v>
      </c>
      <c r="L72" s="21">
        <f t="shared" si="76"/>
        <v>0</v>
      </c>
      <c r="M72" s="23">
        <f t="shared" si="79"/>
        <v>0</v>
      </c>
      <c r="N72" s="2"/>
      <c r="O72" s="2"/>
      <c r="P72" s="2"/>
      <c r="Q72" s="55"/>
      <c r="R72" s="55"/>
      <c r="S72" s="55"/>
      <c r="T72" s="55"/>
      <c r="U72" s="55"/>
      <c r="V72" s="55"/>
      <c r="W72" s="109"/>
      <c r="X72" s="117"/>
      <c r="Y72" s="109"/>
      <c r="Z72" s="115"/>
      <c r="AA72" s="146"/>
      <c r="AB72" s="115"/>
      <c r="AC72" s="146"/>
      <c r="AD72" s="115"/>
      <c r="AE72" s="146"/>
      <c r="AF72" s="121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SUM([1]Summ!E1034)</f>
        <v>1167</v>
      </c>
      <c r="C73" s="45"/>
      <c r="D73" s="37"/>
      <c r="E73" s="25">
        <v>1</v>
      </c>
      <c r="F73" s="25">
        <v>1.18</v>
      </c>
      <c r="G73" s="21"/>
      <c r="H73" s="23">
        <f>(E73*F73)</f>
        <v>1.18</v>
      </c>
      <c r="I73" s="38">
        <f>I127*I$83</f>
        <v>0</v>
      </c>
      <c r="J73" s="50">
        <f t="shared" si="75"/>
        <v>0</v>
      </c>
      <c r="K73" s="39">
        <f>B73/B$76</f>
        <v>3.9324706833805095E-2</v>
      </c>
      <c r="L73" s="21">
        <f t="shared" si="76"/>
        <v>0</v>
      </c>
      <c r="M73" s="23">
        <f>J73/B$76</f>
        <v>0</v>
      </c>
      <c r="O73" s="2"/>
      <c r="P73" s="2"/>
      <c r="Q73" s="55"/>
      <c r="R73" s="55"/>
      <c r="S73" s="55"/>
      <c r="T73" s="55"/>
      <c r="U73" s="55"/>
      <c r="V73" s="55"/>
      <c r="W73" s="109"/>
      <c r="X73" s="117"/>
      <c r="Y73" s="109"/>
      <c r="Z73" s="115">
        <v>0.09</v>
      </c>
      <c r="AA73" s="146">
        <f>$H$73*$B$73*Z73</f>
        <v>123.93539999999999</v>
      </c>
      <c r="AB73" s="115">
        <v>0.09</v>
      </c>
      <c r="AC73" s="146">
        <f>$H$73*$B$73*AB73</f>
        <v>123.93539999999999</v>
      </c>
      <c r="AD73" s="115">
        <v>0.23</v>
      </c>
      <c r="AE73" s="146">
        <f>$H$73*$B$73*AD73</f>
        <v>316.72379999999998</v>
      </c>
      <c r="AF73" s="121">
        <f>1-SUM(Z73,AB73,AD73)</f>
        <v>0.59</v>
      </c>
      <c r="AG73" s="146">
        <f>$H$73*$B$73*AF73</f>
        <v>812.46539999999993</v>
      </c>
      <c r="AH73" s="154">
        <f>SUM(Z73,AB73,AD73,AF73)</f>
        <v>1</v>
      </c>
      <c r="AI73" s="146">
        <f>SUM(AA73,AC73,AE73,AG73)</f>
        <v>1377.06</v>
      </c>
      <c r="AJ73" s="147">
        <f>(AA73+AC73)</f>
        <v>247.87079999999997</v>
      </c>
      <c r="AK73" s="146">
        <f>(AE73+AG73)</f>
        <v>1129.1891999999998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51">
        <f>B30*B83</f>
        <v>3803.0799999999995</v>
      </c>
      <c r="C74" s="45"/>
      <c r="D74" s="37"/>
      <c r="E74" s="31"/>
      <c r="F74" s="31"/>
      <c r="G74" s="31"/>
      <c r="H74" s="30"/>
      <c r="I74" s="38">
        <f>I128*I$83</f>
        <v>7235.9376562950247</v>
      </c>
      <c r="J74" s="50">
        <f t="shared" si="75"/>
        <v>7235.9376562950247</v>
      </c>
      <c r="K74" s="39">
        <f>B74/B$76</f>
        <v>0.12815338994473646</v>
      </c>
      <c r="L74" s="21">
        <f t="shared" si="76"/>
        <v>3.5476136578260743E-2</v>
      </c>
      <c r="M74" s="23">
        <f>J74/B$76</f>
        <v>0.24383129991558919</v>
      </c>
      <c r="O74" s="2"/>
      <c r="P74" s="2"/>
      <c r="Q74" s="55"/>
      <c r="R74" s="55"/>
      <c r="S74" s="55"/>
      <c r="T74" s="55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0</v>
      </c>
      <c r="C75" s="45"/>
      <c r="D75" s="37"/>
      <c r="E75" s="31"/>
      <c r="F75" s="31"/>
      <c r="G75" s="31"/>
      <c r="H75" s="30"/>
      <c r="I75" s="46"/>
      <c r="J75" s="50">
        <f t="shared" si="75"/>
        <v>0</v>
      </c>
      <c r="K75" s="39">
        <f>B75/B$76</f>
        <v>0</v>
      </c>
      <c r="L75" s="21">
        <f t="shared" si="76"/>
        <v>0</v>
      </c>
      <c r="M75" s="23">
        <f>J75/B$76</f>
        <v>0</v>
      </c>
      <c r="O75" s="2"/>
      <c r="P75" s="2"/>
      <c r="Q75" s="55"/>
      <c r="R75" s="55"/>
      <c r="S75" s="55"/>
      <c r="T75" s="55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51">
        <f>B65</f>
        <v>29676</v>
      </c>
      <c r="C76" s="45"/>
      <c r="D76" s="37"/>
      <c r="E76" s="31"/>
      <c r="F76" s="31"/>
      <c r="G76" s="31"/>
      <c r="H76" s="30"/>
      <c r="I76" s="38">
        <f>I130*I$83</f>
        <v>17710.38</v>
      </c>
      <c r="J76" s="50">
        <f t="shared" si="75"/>
        <v>17710.38</v>
      </c>
      <c r="K76" s="39">
        <f>SUM(K70:K75)</f>
        <v>1.1495200790049596</v>
      </c>
      <c r="L76" s="21">
        <f>SUM(L70:L75)</f>
        <v>0.59547007107077987</v>
      </c>
      <c r="M76" s="23">
        <f>SUM(M70:M75)</f>
        <v>0.84062264645824991</v>
      </c>
      <c r="O76" s="2"/>
      <c r="P76" s="2"/>
      <c r="Q76" s="55"/>
      <c r="R76" s="55"/>
      <c r="S76" s="55"/>
      <c r="T76" s="55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51"/>
      <c r="C77" s="45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75"/>
        <v>9191.4133333333357</v>
      </c>
      <c r="K77" s="39"/>
      <c r="L77" s="21">
        <f>-(L131*G$37*F$9/F$7)/B$130</f>
        <v>-0.30972547962438796</v>
      </c>
      <c r="M77" s="23">
        <f>-J77/B$76</f>
        <v>-0.3097254796243879</v>
      </c>
      <c r="O77" s="2"/>
      <c r="P77" s="2"/>
      <c r="Q77" s="55"/>
      <c r="R77" s="55"/>
      <c r="S77" s="55"/>
      <c r="T77" s="55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52" t="s">
        <v>34</v>
      </c>
      <c r="B78" s="45"/>
      <c r="C78" s="45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55"/>
      <c r="R78" s="55"/>
      <c r="S78" s="55"/>
      <c r="T78" s="55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45" t="s">
        <v>35</v>
      </c>
      <c r="B79" s="228" t="str">
        <f>[1]Summ!E1037</f>
        <v>mix</v>
      </c>
      <c r="C79" s="45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55"/>
      <c r="R79" s="55"/>
      <c r="S79" s="55"/>
      <c r="T79" s="55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45" t="s">
        <v>36</v>
      </c>
      <c r="B80" s="104">
        <f>[1]Summ!E1038</f>
        <v>0.67275201646228777</v>
      </c>
      <c r="C80" s="45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55"/>
      <c r="R80" s="55"/>
      <c r="S80" s="55"/>
      <c r="T80" s="55"/>
      <c r="U80" s="55"/>
      <c r="V80" s="55"/>
      <c r="W80" s="109"/>
      <c r="X80" s="109"/>
      <c r="Y80" s="160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45" t="s">
        <v>37</v>
      </c>
      <c r="B81" s="228">
        <f>[1]Summ!E1039</f>
        <v>4</v>
      </c>
      <c r="C81" s="45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55"/>
      <c r="R81" s="55"/>
      <c r="S81" s="55"/>
      <c r="T81" s="55"/>
      <c r="U81" s="55"/>
      <c r="V81" s="55"/>
      <c r="W81" s="109"/>
      <c r="X81" s="109"/>
      <c r="Y81" s="160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45" t="s">
        <v>38</v>
      </c>
      <c r="B82" s="104">
        <f>[1]Summ!E1040</f>
        <v>6.9449963476990497</v>
      </c>
      <c r="C82" s="45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55"/>
      <c r="R82" s="55"/>
      <c r="S82" s="55"/>
      <c r="T82" s="55"/>
      <c r="U82" s="55"/>
      <c r="V82" s="55"/>
      <c r="X82" s="109"/>
      <c r="Y82" s="160" t="s">
        <v>54</v>
      </c>
      <c r="Z82" s="161">
        <f>IF($AH$82=0,0,AA82/$AH$82)</f>
        <v>1</v>
      </c>
      <c r="AA82" s="162">
        <f>5*1.12</f>
        <v>5.6000000000000005</v>
      </c>
      <c r="AB82" s="161">
        <f>IF($AH$82=0,0,AC82/$AH$82)</f>
        <v>1</v>
      </c>
      <c r="AC82" s="162">
        <f>5*1.12</f>
        <v>5.6000000000000005</v>
      </c>
      <c r="AD82" s="161">
        <f>IF($AH$82=0,0,AE82/$AH$82)</f>
        <v>1</v>
      </c>
      <c r="AE82" s="162">
        <f>5*1.12</f>
        <v>5.6000000000000005</v>
      </c>
      <c r="AF82" s="161">
        <f>IF($AH$82=0,0,AG82/$AH$82)</f>
        <v>1</v>
      </c>
      <c r="AG82" s="162">
        <f>5*1.12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45" t="s">
        <v>39</v>
      </c>
      <c r="B83" s="45">
        <f>365*B80*B81*B82</f>
        <v>6821.5000339671287</v>
      </c>
      <c r="C83" s="45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55"/>
      <c r="R83" s="55"/>
      <c r="S83" s="55"/>
      <c r="T83" s="55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55"/>
      <c r="R84" s="55"/>
      <c r="S84" s="55"/>
      <c r="T84" s="55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45" t="s">
        <v>40</v>
      </c>
      <c r="B85" s="45"/>
      <c r="C85" s="45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55"/>
      <c r="R85" s="55"/>
      <c r="S85" s="55"/>
      <c r="T85" s="55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45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8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[1]Summ!$I$892</f>
        <v>0</v>
      </c>
      <c r="C87" s="53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3"/>
      <c r="AB87" s="183"/>
      <c r="AC87" s="183"/>
      <c r="AD87" s="183"/>
      <c r="AE87" s="183"/>
      <c r="AF87" s="183"/>
      <c r="AG87" s="183"/>
      <c r="AH87" s="184"/>
      <c r="AI87" s="186"/>
      <c r="AJ87" s="78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54" t="str">
        <f>A34</f>
        <v>Income : Q2 HHs</v>
      </c>
      <c r="B88" s="55"/>
      <c r="C88" s="55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38"/>
      <c r="AB88" s="2"/>
      <c r="AC88" s="2"/>
      <c r="AD88" s="2"/>
      <c r="AE88" s="2"/>
      <c r="AF88" s="2"/>
      <c r="AG88" s="2"/>
      <c r="AI88" s="78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55"/>
      <c r="B89" s="58" t="s">
        <v>6</v>
      </c>
      <c r="C89" s="5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8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38"/>
      <c r="AB89" s="2"/>
      <c r="AC89" s="38"/>
      <c r="AD89" s="2"/>
      <c r="AE89" s="38"/>
      <c r="AF89" s="2"/>
      <c r="AG89" s="38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55" t="s">
        <v>41</v>
      </c>
      <c r="B90" s="58" t="s">
        <v>15</v>
      </c>
      <c r="C90" s="5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8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8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55" t="str">
        <f>IF(A37="","",A37)</f>
        <v>Construction cash income -- see Data2</v>
      </c>
      <c r="B91" s="59">
        <f t="shared" ref="B91:C118" si="81">IF(B37="","",(B37/$B$83))</f>
        <v>0.52774316236518071</v>
      </c>
      <c r="C91" s="59">
        <f t="shared" si="81"/>
        <v>0</v>
      </c>
      <c r="D91" s="23">
        <f>SUM(B91,C91)</f>
        <v>0.52774316236518071</v>
      </c>
      <c r="H91" s="23">
        <f>(E37*F37/G37*F$7/F$9)</f>
        <v>0.33636363636363642</v>
      </c>
      <c r="I91" s="21">
        <f t="shared" ref="I91" si="82">(D91*H91)</f>
        <v>0.17751360915919717</v>
      </c>
      <c r="J91" s="23">
        <f>IF(I$32&lt;=1+I$131,I91,L91+J$33*(I91-L91))</f>
        <v>0.17751360915919717</v>
      </c>
      <c r="K91" s="21">
        <f t="shared" ref="K91" si="83">IF(B91="",0,B91)</f>
        <v>0.52774316236518071</v>
      </c>
      <c r="L91" s="21">
        <f t="shared" ref="L91" si="84">(K91*H91)</f>
        <v>0.17751360915919717</v>
      </c>
      <c r="M91" s="225">
        <f t="shared" si="80"/>
        <v>0.17751360915919717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8"/>
      <c r="AB91" s="2"/>
      <c r="AC91" s="38"/>
      <c r="AD91" s="2"/>
      <c r="AE91" s="38"/>
      <c r="AF91" s="2"/>
      <c r="AG91" s="38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55" t="str">
        <f t="shared" ref="A92:A118" si="85">IF(A38="","",A38)</f>
        <v>Domestic work cash income -- see Data2</v>
      </c>
      <c r="B92" s="59">
        <f t="shared" si="81"/>
        <v>0.60690463671995776</v>
      </c>
      <c r="C92" s="59">
        <f t="shared" si="81"/>
        <v>0</v>
      </c>
      <c r="D92" s="23">
        <f t="shared" ref="D92:D118" si="86">SUM(B92,C92)</f>
        <v>0.60690463671995776</v>
      </c>
      <c r="H92" s="23">
        <f t="shared" ref="H92:H118" si="87">(E38*F38/G38*F$7/F$9)</f>
        <v>0.33636363636363642</v>
      </c>
      <c r="I92" s="21">
        <f t="shared" ref="I92:I118" si="88">(D92*H92)</f>
        <v>0.20414065053307673</v>
      </c>
      <c r="J92" s="23">
        <f t="shared" ref="J92:J118" si="89">IF(I$32&lt;=1+I$131,I92,L92+J$33*(I92-L92))</f>
        <v>0.20414065053307673</v>
      </c>
      <c r="K92" s="21">
        <f t="shared" ref="K92:K118" si="90">IF(B92="",0,B92)</f>
        <v>0.60690463671995776</v>
      </c>
      <c r="L92" s="21">
        <f t="shared" ref="L92:L118" si="91">(K92*H92)</f>
        <v>0.20414065053307673</v>
      </c>
      <c r="M92" s="225">
        <f t="shared" ref="M92:M118" si="92">(J92)</f>
        <v>0.20414065053307673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1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55" t="str">
        <f t="shared" si="85"/>
        <v>Labour migration(formal employment): no. people per HH</v>
      </c>
      <c r="B93" s="59">
        <f t="shared" si="81"/>
        <v>0</v>
      </c>
      <c r="C93" s="59">
        <f t="shared" si="81"/>
        <v>0</v>
      </c>
      <c r="D93" s="23">
        <f t="shared" si="86"/>
        <v>0</v>
      </c>
      <c r="H93" s="23">
        <f t="shared" si="87"/>
        <v>0.56242424242424238</v>
      </c>
      <c r="I93" s="21">
        <f t="shared" si="88"/>
        <v>0</v>
      </c>
      <c r="J93" s="23">
        <f t="shared" si="89"/>
        <v>0</v>
      </c>
      <c r="K93" s="21">
        <f t="shared" si="90"/>
        <v>0</v>
      </c>
      <c r="L93" s="21">
        <f t="shared" si="91"/>
        <v>0</v>
      </c>
      <c r="M93" s="225">
        <f t="shared" si="92"/>
        <v>0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55" t="str">
        <f t="shared" si="85"/>
        <v>Formal Employment</v>
      </c>
      <c r="B94" s="59">
        <f t="shared" si="81"/>
        <v>0</v>
      </c>
      <c r="C94" s="59">
        <f t="shared" si="81"/>
        <v>0</v>
      </c>
      <c r="D94" s="23">
        <f t="shared" si="86"/>
        <v>0</v>
      </c>
      <c r="H94" s="23">
        <f t="shared" si="87"/>
        <v>0.70303030303030301</v>
      </c>
      <c r="I94" s="21">
        <f t="shared" si="88"/>
        <v>0</v>
      </c>
      <c r="J94" s="23">
        <f t="shared" si="89"/>
        <v>0</v>
      </c>
      <c r="K94" s="21">
        <f t="shared" si="90"/>
        <v>0</v>
      </c>
      <c r="L94" s="21">
        <f t="shared" si="91"/>
        <v>0</v>
      </c>
      <c r="M94" s="225">
        <f t="shared" si="92"/>
        <v>0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55" t="str">
        <f t="shared" si="85"/>
        <v>Self-employment -- see Data2</v>
      </c>
      <c r="B95" s="59">
        <f t="shared" si="81"/>
        <v>0.80041046292052409</v>
      </c>
      <c r="C95" s="59">
        <f t="shared" si="81"/>
        <v>0.1600820925841048</v>
      </c>
      <c r="D95" s="23">
        <f t="shared" si="86"/>
        <v>0.96049255550462886</v>
      </c>
      <c r="H95" s="23">
        <f t="shared" si="87"/>
        <v>0.60606060606060608</v>
      </c>
      <c r="I95" s="21">
        <f t="shared" si="88"/>
        <v>0.58211670030583573</v>
      </c>
      <c r="J95" s="23">
        <f t="shared" si="89"/>
        <v>0.58211670030583573</v>
      </c>
      <c r="K95" s="21">
        <f t="shared" si="90"/>
        <v>0.80041046292052409</v>
      </c>
      <c r="L95" s="21">
        <f t="shared" si="91"/>
        <v>0.48509725025486311</v>
      </c>
      <c r="M95" s="225">
        <f t="shared" si="92"/>
        <v>0.58211670030583573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55" t="str">
        <f t="shared" si="85"/>
        <v>Small business -- see Data2</v>
      </c>
      <c r="B96" s="59">
        <f t="shared" si="81"/>
        <v>0.41339881051939154</v>
      </c>
      <c r="C96" s="59">
        <f t="shared" si="81"/>
        <v>0</v>
      </c>
      <c r="D96" s="23">
        <f t="shared" si="86"/>
        <v>0.41339881051939154</v>
      </c>
      <c r="H96" s="23">
        <f t="shared" si="87"/>
        <v>0.70303030303030301</v>
      </c>
      <c r="I96" s="21">
        <f t="shared" si="88"/>
        <v>0.29063189103181464</v>
      </c>
      <c r="J96" s="23">
        <f t="shared" si="89"/>
        <v>0.29063189103181464</v>
      </c>
      <c r="K96" s="21">
        <f t="shared" si="90"/>
        <v>0.41339881051939154</v>
      </c>
      <c r="L96" s="21">
        <f t="shared" si="91"/>
        <v>0.29063189103181464</v>
      </c>
      <c r="M96" s="225">
        <f t="shared" si="92"/>
        <v>0.29063189103181464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55" t="str">
        <f t="shared" si="85"/>
        <v>Social development -- see Data2</v>
      </c>
      <c r="B97" s="59">
        <f t="shared" si="81"/>
        <v>1.5023088688662143</v>
      </c>
      <c r="C97" s="59">
        <f t="shared" si="81"/>
        <v>0</v>
      </c>
      <c r="D97" s="23">
        <f t="shared" si="86"/>
        <v>1.5023088688662143</v>
      </c>
      <c r="H97" s="23">
        <f t="shared" si="87"/>
        <v>0</v>
      </c>
      <c r="I97" s="21">
        <f t="shared" si="88"/>
        <v>0</v>
      </c>
      <c r="J97" s="23">
        <f t="shared" si="89"/>
        <v>0</v>
      </c>
      <c r="K97" s="21">
        <f t="shared" si="90"/>
        <v>1.5023088688662143</v>
      </c>
      <c r="L97" s="21">
        <f t="shared" si="91"/>
        <v>0</v>
      </c>
      <c r="M97" s="225">
        <f t="shared" si="92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55" t="str">
        <f t="shared" si="85"/>
        <v>Helping friends</v>
      </c>
      <c r="B98" s="59">
        <f t="shared" si="81"/>
        <v>0.24452099856253373</v>
      </c>
      <c r="C98" s="59">
        <f t="shared" si="81"/>
        <v>0</v>
      </c>
      <c r="D98" s="23">
        <f t="shared" si="86"/>
        <v>0.24452099856253373</v>
      </c>
      <c r="H98" s="23">
        <f t="shared" si="87"/>
        <v>0.67272727272727284</v>
      </c>
      <c r="I98" s="21">
        <f t="shared" si="88"/>
        <v>0.16449594448752272</v>
      </c>
      <c r="J98" s="23">
        <f t="shared" si="89"/>
        <v>0.16449594448752272</v>
      </c>
      <c r="K98" s="21">
        <f t="shared" si="90"/>
        <v>0.24452099856253373</v>
      </c>
      <c r="L98" s="21">
        <f t="shared" si="91"/>
        <v>0.16449594448752272</v>
      </c>
      <c r="M98" s="225">
        <f t="shared" si="92"/>
        <v>0.16449594448752272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55" t="str">
        <f t="shared" si="85"/>
        <v>Gifts and support</v>
      </c>
      <c r="B99" s="59">
        <f t="shared" si="81"/>
        <v>0.25507586180983732</v>
      </c>
      <c r="C99" s="59">
        <f t="shared" si="81"/>
        <v>0</v>
      </c>
      <c r="D99" s="23">
        <f t="shared" si="86"/>
        <v>0.25507586180983732</v>
      </c>
      <c r="H99" s="23">
        <f t="shared" si="87"/>
        <v>0.60606060606060608</v>
      </c>
      <c r="I99" s="21">
        <f t="shared" si="88"/>
        <v>0.15459143139990142</v>
      </c>
      <c r="J99" s="23">
        <f t="shared" si="89"/>
        <v>0.15459143139990142</v>
      </c>
      <c r="K99" s="21">
        <f t="shared" si="90"/>
        <v>0.25507586180983732</v>
      </c>
      <c r="L99" s="21">
        <f t="shared" si="91"/>
        <v>0.15459143139990142</v>
      </c>
      <c r="M99" s="225">
        <f t="shared" si="92"/>
        <v>0.15459143139990142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55" t="str">
        <f t="shared" si="85"/>
        <v>Remittances: no. times per year</v>
      </c>
      <c r="B100" s="59">
        <f t="shared" si="81"/>
        <v>0</v>
      </c>
      <c r="C100" s="59">
        <f t="shared" si="81"/>
        <v>0</v>
      </c>
      <c r="D100" s="23">
        <f t="shared" si="86"/>
        <v>0</v>
      </c>
      <c r="H100" s="23">
        <f t="shared" si="87"/>
        <v>0.67272727272727284</v>
      </c>
      <c r="I100" s="21">
        <f t="shared" si="88"/>
        <v>0</v>
      </c>
      <c r="J100" s="23">
        <f t="shared" si="89"/>
        <v>0</v>
      </c>
      <c r="K100" s="21">
        <f t="shared" si="90"/>
        <v>0</v>
      </c>
      <c r="L100" s="21">
        <f t="shared" si="91"/>
        <v>0</v>
      </c>
      <c r="M100" s="225">
        <f t="shared" si="9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55" t="str">
        <f t="shared" si="85"/>
        <v/>
      </c>
      <c r="B101" s="59">
        <f t="shared" si="81"/>
        <v>0</v>
      </c>
      <c r="C101" s="59">
        <f t="shared" si="81"/>
        <v>0</v>
      </c>
      <c r="D101" s="23">
        <f t="shared" si="86"/>
        <v>0</v>
      </c>
      <c r="H101" s="23">
        <f t="shared" si="87"/>
        <v>0.60606060606060608</v>
      </c>
      <c r="I101" s="21">
        <f t="shared" si="88"/>
        <v>0</v>
      </c>
      <c r="J101" s="23">
        <f t="shared" si="89"/>
        <v>0</v>
      </c>
      <c r="K101" s="21">
        <f t="shared" si="90"/>
        <v>0</v>
      </c>
      <c r="L101" s="21">
        <f t="shared" si="91"/>
        <v>0</v>
      </c>
      <c r="M101" s="225">
        <f t="shared" si="9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55" t="str">
        <f t="shared" si="85"/>
        <v/>
      </c>
      <c r="B102" s="59">
        <f t="shared" si="81"/>
        <v>0</v>
      </c>
      <c r="C102" s="59">
        <f t="shared" si="81"/>
        <v>0</v>
      </c>
      <c r="D102" s="23">
        <f t="shared" si="86"/>
        <v>0</v>
      </c>
      <c r="H102" s="23">
        <f t="shared" si="87"/>
        <v>0.60606060606060608</v>
      </c>
      <c r="I102" s="21">
        <f t="shared" si="88"/>
        <v>0</v>
      </c>
      <c r="J102" s="23">
        <f t="shared" si="89"/>
        <v>0</v>
      </c>
      <c r="K102" s="21">
        <f t="shared" si="90"/>
        <v>0</v>
      </c>
      <c r="L102" s="21">
        <f t="shared" si="91"/>
        <v>0</v>
      </c>
      <c r="M102" s="225">
        <f t="shared" si="9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55" t="str">
        <f t="shared" si="85"/>
        <v/>
      </c>
      <c r="B103" s="59">
        <f t="shared" si="81"/>
        <v>0</v>
      </c>
      <c r="C103" s="59">
        <f t="shared" si="81"/>
        <v>0</v>
      </c>
      <c r="D103" s="23">
        <f t="shared" si="86"/>
        <v>0</v>
      </c>
      <c r="H103" s="23">
        <f t="shared" si="87"/>
        <v>0.60606060606060608</v>
      </c>
      <c r="I103" s="21">
        <f t="shared" si="88"/>
        <v>0</v>
      </c>
      <c r="J103" s="23">
        <f t="shared" si="89"/>
        <v>0</v>
      </c>
      <c r="K103" s="21">
        <f t="shared" si="90"/>
        <v>0</v>
      </c>
      <c r="L103" s="21">
        <f t="shared" si="91"/>
        <v>0</v>
      </c>
      <c r="M103" s="225">
        <f t="shared" si="9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55" t="str">
        <f t="shared" si="85"/>
        <v/>
      </c>
      <c r="B104" s="59">
        <f t="shared" si="81"/>
        <v>0</v>
      </c>
      <c r="C104" s="59">
        <f t="shared" si="81"/>
        <v>0</v>
      </c>
      <c r="D104" s="23">
        <f t="shared" si="86"/>
        <v>0</v>
      </c>
      <c r="H104" s="23">
        <f t="shared" si="87"/>
        <v>0.60606060606060608</v>
      </c>
      <c r="I104" s="21">
        <f t="shared" si="88"/>
        <v>0</v>
      </c>
      <c r="J104" s="23">
        <f t="shared" si="89"/>
        <v>0</v>
      </c>
      <c r="K104" s="21">
        <f t="shared" si="90"/>
        <v>0</v>
      </c>
      <c r="L104" s="21">
        <f t="shared" si="91"/>
        <v>0</v>
      </c>
      <c r="M104" s="225">
        <f t="shared" si="9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55" t="str">
        <f t="shared" si="85"/>
        <v/>
      </c>
      <c r="B105" s="59">
        <f t="shared" si="81"/>
        <v>0</v>
      </c>
      <c r="C105" s="59">
        <f t="shared" si="81"/>
        <v>0</v>
      </c>
      <c r="D105" s="23">
        <f t="shared" si="86"/>
        <v>0</v>
      </c>
      <c r="H105" s="23">
        <f t="shared" si="87"/>
        <v>0.60606060606060608</v>
      </c>
      <c r="I105" s="21">
        <f t="shared" si="88"/>
        <v>0</v>
      </c>
      <c r="J105" s="23">
        <f t="shared" si="89"/>
        <v>0</v>
      </c>
      <c r="K105" s="21">
        <f t="shared" si="90"/>
        <v>0</v>
      </c>
      <c r="L105" s="21">
        <f t="shared" si="91"/>
        <v>0</v>
      </c>
      <c r="M105" s="225">
        <f t="shared" si="9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55" t="str">
        <f t="shared" si="85"/>
        <v/>
      </c>
      <c r="B106" s="59">
        <f t="shared" si="81"/>
        <v>0</v>
      </c>
      <c r="C106" s="59">
        <f t="shared" si="81"/>
        <v>0</v>
      </c>
      <c r="D106" s="23">
        <f t="shared" si="86"/>
        <v>0</v>
      </c>
      <c r="H106" s="23">
        <f t="shared" si="87"/>
        <v>0.60606060606060608</v>
      </c>
      <c r="I106" s="21">
        <f t="shared" si="88"/>
        <v>0</v>
      </c>
      <c r="J106" s="23">
        <f t="shared" si="89"/>
        <v>0</v>
      </c>
      <c r="K106" s="21">
        <f t="shared" si="90"/>
        <v>0</v>
      </c>
      <c r="L106" s="21">
        <f t="shared" si="91"/>
        <v>0</v>
      </c>
      <c r="M106" s="225">
        <f t="shared" si="9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55" t="str">
        <f t="shared" si="85"/>
        <v/>
      </c>
      <c r="B107" s="59">
        <f t="shared" si="81"/>
        <v>0</v>
      </c>
      <c r="C107" s="59">
        <f t="shared" si="81"/>
        <v>0</v>
      </c>
      <c r="D107" s="23">
        <f t="shared" si="86"/>
        <v>0</v>
      </c>
      <c r="H107" s="23">
        <f t="shared" si="87"/>
        <v>0.60606060606060608</v>
      </c>
      <c r="I107" s="21">
        <f t="shared" si="88"/>
        <v>0</v>
      </c>
      <c r="J107" s="23">
        <f t="shared" si="89"/>
        <v>0</v>
      </c>
      <c r="K107" s="21">
        <f t="shared" si="90"/>
        <v>0</v>
      </c>
      <c r="L107" s="21">
        <f t="shared" si="91"/>
        <v>0</v>
      </c>
      <c r="M107" s="225">
        <f t="shared" si="9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55" t="str">
        <f t="shared" si="85"/>
        <v/>
      </c>
      <c r="B108" s="59">
        <f t="shared" si="81"/>
        <v>0</v>
      </c>
      <c r="C108" s="59">
        <f t="shared" si="81"/>
        <v>0</v>
      </c>
      <c r="D108" s="23">
        <f t="shared" si="86"/>
        <v>0</v>
      </c>
      <c r="H108" s="23">
        <f t="shared" si="87"/>
        <v>0.60606060606060608</v>
      </c>
      <c r="I108" s="21">
        <f t="shared" si="88"/>
        <v>0</v>
      </c>
      <c r="J108" s="23">
        <f t="shared" si="89"/>
        <v>0</v>
      </c>
      <c r="K108" s="21">
        <f t="shared" si="90"/>
        <v>0</v>
      </c>
      <c r="L108" s="21">
        <f t="shared" si="91"/>
        <v>0</v>
      </c>
      <c r="M108" s="225">
        <f t="shared" si="9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55" t="str">
        <f t="shared" si="85"/>
        <v/>
      </c>
      <c r="B109" s="59">
        <f t="shared" si="81"/>
        <v>0</v>
      </c>
      <c r="C109" s="59">
        <f t="shared" si="81"/>
        <v>0</v>
      </c>
      <c r="D109" s="23">
        <f t="shared" si="86"/>
        <v>0</v>
      </c>
      <c r="H109" s="23">
        <f t="shared" si="87"/>
        <v>0.60606060606060608</v>
      </c>
      <c r="I109" s="21">
        <f t="shared" si="88"/>
        <v>0</v>
      </c>
      <c r="J109" s="23">
        <f t="shared" si="89"/>
        <v>0</v>
      </c>
      <c r="K109" s="21">
        <f t="shared" si="90"/>
        <v>0</v>
      </c>
      <c r="L109" s="21">
        <f t="shared" si="91"/>
        <v>0</v>
      </c>
      <c r="M109" s="225">
        <f t="shared" si="9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55" t="str">
        <f t="shared" si="85"/>
        <v/>
      </c>
      <c r="B110" s="59">
        <f t="shared" si="81"/>
        <v>0</v>
      </c>
      <c r="C110" s="59">
        <f t="shared" si="81"/>
        <v>0</v>
      </c>
      <c r="D110" s="23">
        <f t="shared" si="86"/>
        <v>0</v>
      </c>
      <c r="H110" s="23">
        <f t="shared" si="87"/>
        <v>0.60606060606060608</v>
      </c>
      <c r="I110" s="21">
        <f t="shared" si="88"/>
        <v>0</v>
      </c>
      <c r="J110" s="23">
        <f t="shared" si="89"/>
        <v>0</v>
      </c>
      <c r="K110" s="21">
        <f t="shared" si="90"/>
        <v>0</v>
      </c>
      <c r="L110" s="21">
        <f t="shared" si="91"/>
        <v>0</v>
      </c>
      <c r="M110" s="225">
        <f t="shared" si="9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55" t="str">
        <f t="shared" si="85"/>
        <v/>
      </c>
      <c r="B111" s="59">
        <f t="shared" si="81"/>
        <v>0</v>
      </c>
      <c r="C111" s="59">
        <f t="shared" si="81"/>
        <v>0</v>
      </c>
      <c r="D111" s="23">
        <f t="shared" si="86"/>
        <v>0</v>
      </c>
      <c r="H111" s="23">
        <f t="shared" si="87"/>
        <v>0.60606060606060608</v>
      </c>
      <c r="I111" s="21">
        <f t="shared" si="88"/>
        <v>0</v>
      </c>
      <c r="J111" s="23">
        <f t="shared" si="89"/>
        <v>0</v>
      </c>
      <c r="K111" s="21">
        <f t="shared" si="90"/>
        <v>0</v>
      </c>
      <c r="L111" s="21">
        <f t="shared" si="91"/>
        <v>0</v>
      </c>
      <c r="M111" s="225">
        <f t="shared" si="9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55" t="str">
        <f t="shared" si="85"/>
        <v/>
      </c>
      <c r="B112" s="59">
        <f t="shared" si="81"/>
        <v>0</v>
      </c>
      <c r="C112" s="59">
        <f t="shared" si="81"/>
        <v>0</v>
      </c>
      <c r="D112" s="23">
        <f t="shared" si="86"/>
        <v>0</v>
      </c>
      <c r="H112" s="23">
        <f t="shared" si="87"/>
        <v>0.60606060606060608</v>
      </c>
      <c r="I112" s="21">
        <f t="shared" si="88"/>
        <v>0</v>
      </c>
      <c r="J112" s="23">
        <f t="shared" si="89"/>
        <v>0</v>
      </c>
      <c r="K112" s="21">
        <f t="shared" si="90"/>
        <v>0</v>
      </c>
      <c r="L112" s="21">
        <f t="shared" si="91"/>
        <v>0</v>
      </c>
      <c r="M112" s="225">
        <f t="shared" si="9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55" t="str">
        <f t="shared" si="85"/>
        <v/>
      </c>
      <c r="B113" s="59">
        <f t="shared" si="81"/>
        <v>0</v>
      </c>
      <c r="C113" s="59">
        <f t="shared" si="81"/>
        <v>0</v>
      </c>
      <c r="D113" s="23">
        <f t="shared" si="86"/>
        <v>0</v>
      </c>
      <c r="H113" s="23">
        <f t="shared" si="87"/>
        <v>0.60606060606060608</v>
      </c>
      <c r="I113" s="21">
        <f t="shared" si="88"/>
        <v>0</v>
      </c>
      <c r="J113" s="23">
        <f t="shared" si="89"/>
        <v>0</v>
      </c>
      <c r="K113" s="21">
        <f t="shared" si="90"/>
        <v>0</v>
      </c>
      <c r="L113" s="21">
        <f t="shared" si="91"/>
        <v>0</v>
      </c>
      <c r="M113" s="225">
        <f t="shared" si="9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55" t="str">
        <f t="shared" si="85"/>
        <v/>
      </c>
      <c r="B114" s="59">
        <f t="shared" si="81"/>
        <v>0</v>
      </c>
      <c r="C114" s="59">
        <f t="shared" si="81"/>
        <v>0</v>
      </c>
      <c r="D114" s="23">
        <f t="shared" si="86"/>
        <v>0</v>
      </c>
      <c r="H114" s="23">
        <f t="shared" si="87"/>
        <v>0.60606060606060608</v>
      </c>
      <c r="I114" s="21">
        <f t="shared" si="88"/>
        <v>0</v>
      </c>
      <c r="J114" s="23">
        <f t="shared" si="89"/>
        <v>0</v>
      </c>
      <c r="K114" s="21">
        <f t="shared" si="90"/>
        <v>0</v>
      </c>
      <c r="L114" s="21">
        <f t="shared" si="91"/>
        <v>0</v>
      </c>
      <c r="M114" s="225">
        <f t="shared" si="9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55" t="str">
        <f t="shared" si="85"/>
        <v/>
      </c>
      <c r="B115" s="59">
        <f t="shared" si="81"/>
        <v>0</v>
      </c>
      <c r="C115" s="59">
        <f t="shared" si="81"/>
        <v>0</v>
      </c>
      <c r="D115" s="23">
        <f t="shared" si="86"/>
        <v>0</v>
      </c>
      <c r="H115" s="23">
        <f t="shared" si="87"/>
        <v>0.60606060606060608</v>
      </c>
      <c r="I115" s="21">
        <f t="shared" si="88"/>
        <v>0</v>
      </c>
      <c r="J115" s="23">
        <f t="shared" si="89"/>
        <v>0</v>
      </c>
      <c r="K115" s="21">
        <f t="shared" si="90"/>
        <v>0</v>
      </c>
      <c r="L115" s="21">
        <f t="shared" si="91"/>
        <v>0</v>
      </c>
      <c r="M115" s="225">
        <f t="shared" si="9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55" t="str">
        <f t="shared" si="85"/>
        <v/>
      </c>
      <c r="B116" s="59">
        <f t="shared" si="81"/>
        <v>0</v>
      </c>
      <c r="C116" s="59">
        <f t="shared" si="81"/>
        <v>0</v>
      </c>
      <c r="D116" s="23">
        <f t="shared" si="86"/>
        <v>0</v>
      </c>
      <c r="H116" s="23">
        <f t="shared" si="87"/>
        <v>0.60606060606060608</v>
      </c>
      <c r="I116" s="21">
        <f t="shared" si="88"/>
        <v>0</v>
      </c>
      <c r="J116" s="23">
        <f t="shared" si="89"/>
        <v>0</v>
      </c>
      <c r="K116" s="21">
        <f t="shared" si="90"/>
        <v>0</v>
      </c>
      <c r="L116" s="21">
        <f t="shared" si="91"/>
        <v>0</v>
      </c>
      <c r="M116" s="225">
        <f t="shared" si="9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55" t="str">
        <f t="shared" si="85"/>
        <v/>
      </c>
      <c r="B117" s="59">
        <f t="shared" si="81"/>
        <v>0</v>
      </c>
      <c r="C117" s="59">
        <f t="shared" si="81"/>
        <v>0</v>
      </c>
      <c r="D117" s="23">
        <f t="shared" si="86"/>
        <v>0</v>
      </c>
      <c r="H117" s="23">
        <f t="shared" si="87"/>
        <v>0.60606060606060608</v>
      </c>
      <c r="I117" s="21">
        <f t="shared" si="88"/>
        <v>0</v>
      </c>
      <c r="J117" s="23">
        <f t="shared" si="89"/>
        <v>0</v>
      </c>
      <c r="K117" s="21">
        <f t="shared" si="90"/>
        <v>0</v>
      </c>
      <c r="L117" s="21">
        <f t="shared" si="91"/>
        <v>0</v>
      </c>
      <c r="M117" s="225">
        <f t="shared" si="9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55" t="str">
        <f t="shared" si="85"/>
        <v/>
      </c>
      <c r="B118" s="59">
        <f t="shared" si="81"/>
        <v>0</v>
      </c>
      <c r="C118" s="59">
        <f t="shared" si="81"/>
        <v>0</v>
      </c>
      <c r="D118" s="23">
        <f t="shared" si="86"/>
        <v>0</v>
      </c>
      <c r="H118" s="23">
        <f t="shared" si="87"/>
        <v>0.60606060606060608</v>
      </c>
      <c r="I118" s="21">
        <f t="shared" si="88"/>
        <v>0</v>
      </c>
      <c r="J118" s="23">
        <f t="shared" si="89"/>
        <v>0</v>
      </c>
      <c r="K118" s="21">
        <f t="shared" si="90"/>
        <v>0</v>
      </c>
      <c r="L118" s="21">
        <f t="shared" si="91"/>
        <v>0</v>
      </c>
      <c r="M118" s="225">
        <f t="shared" si="9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55" t="s">
        <v>30</v>
      </c>
      <c r="B119" s="28">
        <f>SUM(B91:B118)</f>
        <v>4.35036280176364</v>
      </c>
      <c r="C119" s="28">
        <f>SUM(C91:C118)</f>
        <v>0.1600820925841048</v>
      </c>
      <c r="D119" s="23">
        <f>SUM(D91:D118)</f>
        <v>4.510444894347744</v>
      </c>
      <c r="E119" s="21"/>
      <c r="F119" s="2"/>
      <c r="G119" s="2"/>
      <c r="H119" s="30"/>
      <c r="I119" s="21">
        <f>SUM(I91:I118)</f>
        <v>1.5734902269173485</v>
      </c>
      <c r="J119" s="23">
        <f>SUM(J91:J118)</f>
        <v>1.5734902269173485</v>
      </c>
      <c r="K119" s="21">
        <f>SUM(K91:K118)</f>
        <v>4.35036280176364</v>
      </c>
      <c r="L119" s="21">
        <f>SUM(L91:L118)</f>
        <v>1.4764707768663758</v>
      </c>
      <c r="M119" s="56">
        <f t="shared" si="80"/>
        <v>1.5734902269173485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60"/>
      <c r="B120" s="60"/>
      <c r="C120" s="60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54" t="str">
        <f>A67</f>
        <v>Expenditure : Q2 HHs</v>
      </c>
      <c r="B121" s="55"/>
      <c r="C121" s="55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55"/>
      <c r="B122" s="58" t="s">
        <v>6</v>
      </c>
      <c r="C122" s="55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55" t="s">
        <v>41</v>
      </c>
      <c r="B123" s="58" t="s">
        <v>32</v>
      </c>
      <c r="C123" s="55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59">
        <f>B70/B$83</f>
        <v>1.0967887552536943</v>
      </c>
      <c r="C124" s="55"/>
      <c r="D124" s="23"/>
      <c r="H124" s="95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8">
        <f>(B124)</f>
        <v>1.0967887552536943</v>
      </c>
      <c r="L124" s="28">
        <f>IF(SUMPRODUCT($B$124:$B124,$H$124:$H124)&lt;L$119,($B124*$H124),L$119)</f>
        <v>0.93060864082131645</v>
      </c>
      <c r="M124" s="238">
        <f t="shared" si="9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55"/>
      <c r="D125" s="23"/>
      <c r="H125" s="95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0.64288158609603208</v>
      </c>
      <c r="J125" s="235">
        <f>IF(SUMPRODUCT($B$124:$B125,$H$124:$H125)&lt;J$119,($B125*$H125),IF(SUMPRODUCT($B$124:$B124,$H$124:$H124)&lt;J$119,J$119-SUMPRODUCT($B$124:$B124,$H$124:$H124),0))</f>
        <v>0.64288158609603208</v>
      </c>
      <c r="K125" s="28">
        <f>(B125)</f>
        <v>1.1418798350138466</v>
      </c>
      <c r="L125" s="28">
        <f>IF(SUMPRODUCT($B$124:$B125,$H$124:$H125)&lt;L$119,($B125*$H125),IF(SUMPRODUCT($B$124:$B124,$H$124:$H124)&lt;L$119,L$119-SUMPRODUCT($B$124:$B124,$H$124:$H124),0))</f>
        <v>0.5458621360450594</v>
      </c>
      <c r="M125" s="238">
        <f t="shared" si="93"/>
        <v>0.64288158609603208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55"/>
      <c r="D126" s="23"/>
      <c r="H126" s="95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8">
        <f t="shared" ref="K126:K127" si="94">(B126)</f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3"/>
        <v>0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59">
        <f>B73/B$83</f>
        <v>0.17107674180004606</v>
      </c>
      <c r="C127" s="55"/>
      <c r="D127" s="23"/>
      <c r="H127" s="95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8">
        <f t="shared" si="94"/>
        <v>0.17107674180004606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8">
        <f>(B30)</f>
        <v>0.55751374053549196</v>
      </c>
      <c r="C128" s="55"/>
      <c r="D128" s="30"/>
      <c r="E128" s="2"/>
      <c r="F128" s="2"/>
      <c r="G128" s="2"/>
      <c r="H128" s="23"/>
      <c r="I128" s="28">
        <f>(I30)</f>
        <v>0.64288158609603208</v>
      </c>
      <c r="J128" s="226">
        <f>(J30)</f>
        <v>0.64288158609603208</v>
      </c>
      <c r="K128" s="28">
        <f>(B128)</f>
        <v>0.55751374053549196</v>
      </c>
      <c r="L128" s="28">
        <f>IF(L124=L119,0,(L119-L124)/(B119-B124)*K128)</f>
        <v>9.3535796921425426E-2</v>
      </c>
      <c r="M128" s="238">
        <f t="shared" si="93"/>
        <v>0.64288158609603208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</v>
      </c>
      <c r="C129" s="55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</v>
      </c>
      <c r="L129" s="59">
        <f>IF(SUM(L124:L128)&gt;L130,0,L130-SUM(L124:L128))</f>
        <v>0</v>
      </c>
      <c r="M129" s="238">
        <f t="shared" si="9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55" t="s">
        <v>30</v>
      </c>
      <c r="B130" s="28">
        <f>(B119)</f>
        <v>4.35036280176364</v>
      </c>
      <c r="C130" s="55"/>
      <c r="D130" s="30"/>
      <c r="E130" s="2"/>
      <c r="F130" s="2"/>
      <c r="G130" s="2"/>
      <c r="H130" s="23"/>
      <c r="I130" s="28">
        <f>(I119)</f>
        <v>1.5734902269173485</v>
      </c>
      <c r="J130" s="226">
        <f>(J119)</f>
        <v>1.5734902269173485</v>
      </c>
      <c r="K130" s="28">
        <f>(B130)</f>
        <v>4.35036280176364</v>
      </c>
      <c r="L130" s="28">
        <f>(L119)</f>
        <v>1.4764707768663758</v>
      </c>
      <c r="M130" s="238">
        <f t="shared" si="93"/>
        <v>1.5734902269173485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55" t="s">
        <v>33</v>
      </c>
      <c r="B131" s="28"/>
      <c r="C131" s="55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0.81661709413111483</v>
      </c>
      <c r="K131" s="28"/>
      <c r="L131" s="28">
        <f>IF(I131&lt;SUM(L126:L127),0,I131-(SUM(L126:L127)))</f>
        <v>0.81661709413111483</v>
      </c>
      <c r="M131" s="235">
        <f>IF(I131&lt;SUM(M126:M127),0,I131-(SUM(M126:M127)))</f>
        <v>0.81661709413111483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53"/>
      <c r="B132" s="53"/>
      <c r="C132" s="53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55"/>
      <c r="B142" s="55"/>
      <c r="C142" s="55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8"/>
      <c r="C143" s="28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8"/>
      <c r="C144" s="28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8"/>
      <c r="C145" s="28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55"/>
      <c r="C146" s="55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8"/>
      <c r="C147" s="28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8"/>
      <c r="C148" s="28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8"/>
      <c r="C149" s="28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8"/>
      <c r="C150" s="28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8"/>
      <c r="C151" s="28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8"/>
      <c r="C152" s="28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55"/>
      <c r="B153" s="55"/>
      <c r="C153" s="55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69"/>
      <c r="B154" s="55"/>
      <c r="C154" s="55"/>
      <c r="D154" s="2"/>
      <c r="E154" s="2"/>
      <c r="F154" s="2"/>
      <c r="H154" s="2"/>
      <c r="I154" s="2"/>
      <c r="J154" s="2"/>
      <c r="L154" s="2"/>
      <c r="W154" s="70"/>
    </row>
    <row r="155" spans="1:33">
      <c r="A155" s="55"/>
      <c r="B155" s="55"/>
      <c r="C155" s="55"/>
      <c r="D155" s="2"/>
      <c r="E155" s="2"/>
      <c r="F155" s="2"/>
      <c r="H155" s="2"/>
      <c r="I155" s="2"/>
      <c r="J155" s="2"/>
      <c r="L155" s="2"/>
      <c r="W155" s="70"/>
    </row>
    <row r="156" spans="1:33">
      <c r="A156" s="55"/>
      <c r="B156" s="55"/>
      <c r="C156" s="55"/>
      <c r="D156" s="2"/>
      <c r="E156" s="2"/>
      <c r="F156" s="2"/>
      <c r="H156" s="2"/>
      <c r="I156" s="2"/>
      <c r="J156" s="2"/>
      <c r="L156" s="2"/>
      <c r="W156" s="70"/>
    </row>
    <row r="157" spans="1:33">
      <c r="A157" s="28"/>
      <c r="B157" s="55"/>
      <c r="C157" s="55"/>
      <c r="D157" s="2"/>
      <c r="E157" s="2"/>
      <c r="F157" s="2"/>
      <c r="H157" s="2"/>
      <c r="I157" s="2"/>
      <c r="J157" s="2"/>
      <c r="L157" s="2"/>
      <c r="W157" s="70"/>
    </row>
    <row r="158" spans="1:33">
      <c r="A158" s="55"/>
      <c r="B158" s="55"/>
      <c r="C158" s="55"/>
      <c r="D158" s="2"/>
      <c r="E158" s="2"/>
      <c r="F158" s="2"/>
      <c r="H158" s="2"/>
      <c r="I158" s="2"/>
      <c r="J158" s="2"/>
      <c r="L158" s="2"/>
      <c r="W158" s="70"/>
    </row>
    <row r="159" spans="1:33">
      <c r="A159" s="55"/>
      <c r="B159" s="55"/>
      <c r="C159" s="55"/>
      <c r="D159" s="2"/>
      <c r="E159" s="2"/>
      <c r="F159" s="2"/>
      <c r="H159" s="2"/>
      <c r="I159" s="2"/>
      <c r="J159" s="2"/>
      <c r="L159" s="2"/>
    </row>
    <row r="160" spans="1:33">
      <c r="A160" s="55"/>
      <c r="B160" s="55"/>
      <c r="C160" s="55"/>
      <c r="D160" s="2"/>
      <c r="E160" s="2"/>
      <c r="F160" s="2"/>
      <c r="H160" s="2"/>
      <c r="I160" s="2"/>
      <c r="J160" s="2"/>
      <c r="L160" s="2"/>
    </row>
    <row r="161" spans="1:28">
      <c r="A161" s="55"/>
      <c r="B161" s="55"/>
      <c r="C161" s="55"/>
      <c r="D161" s="2"/>
      <c r="E161" s="2"/>
      <c r="F161" s="2"/>
      <c r="H161" s="2"/>
      <c r="I161" s="2"/>
      <c r="J161" s="2"/>
      <c r="L161" s="2"/>
      <c r="AB161" s="70"/>
    </row>
    <row r="162" spans="1:28">
      <c r="A162" s="55"/>
      <c r="B162" s="55"/>
      <c r="C162" s="55"/>
      <c r="D162" s="2"/>
      <c r="E162" s="2"/>
      <c r="F162" s="2"/>
      <c r="H162" s="2"/>
      <c r="I162" s="2"/>
      <c r="J162" s="2"/>
      <c r="L162" s="2"/>
      <c r="AB162" s="70"/>
    </row>
    <row r="163" spans="1:28">
      <c r="A163" s="55"/>
      <c r="B163" s="55"/>
      <c r="C163" s="55"/>
      <c r="D163" s="2"/>
      <c r="E163" s="2"/>
      <c r="F163" s="2"/>
      <c r="H163" s="2"/>
      <c r="I163" s="2"/>
      <c r="J163" s="2"/>
      <c r="L163" s="2"/>
      <c r="AB163" s="70"/>
    </row>
    <row r="164" spans="1:28">
      <c r="A164" s="55"/>
      <c r="B164" s="55"/>
      <c r="C164" s="55"/>
      <c r="D164" s="2"/>
      <c r="E164" s="2"/>
      <c r="F164" s="2"/>
      <c r="H164" s="2"/>
      <c r="I164" s="2"/>
      <c r="J164" s="2"/>
      <c r="L164" s="2"/>
      <c r="AB164" s="70"/>
    </row>
    <row r="165" spans="1:28">
      <c r="A165" s="55"/>
      <c r="B165" s="55"/>
      <c r="C165" s="55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55"/>
      <c r="B166" s="55"/>
      <c r="C166" s="55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55"/>
      <c r="B167" s="55"/>
      <c r="C167" s="55"/>
      <c r="D167" s="2"/>
      <c r="E167" s="2"/>
      <c r="F167" s="2"/>
      <c r="H167" s="2"/>
      <c r="I167" s="2"/>
      <c r="J167" s="2"/>
      <c r="L167" s="2"/>
      <c r="AB167" s="70"/>
    </row>
    <row r="168" spans="1:28">
      <c r="A168" s="55"/>
      <c r="B168" s="55"/>
      <c r="C168" s="55"/>
      <c r="D168" s="2"/>
      <c r="E168" s="2"/>
      <c r="F168" s="2"/>
      <c r="H168" s="2"/>
      <c r="I168" s="2"/>
      <c r="J168" s="2"/>
      <c r="L168" s="2"/>
      <c r="AB168" s="70"/>
    </row>
    <row r="169" spans="1:28">
      <c r="A169" s="55"/>
      <c r="B169" s="55"/>
      <c r="C169" s="55"/>
      <c r="D169" s="2"/>
      <c r="E169" s="2"/>
      <c r="F169" s="2"/>
      <c r="H169" s="2"/>
      <c r="I169" s="2"/>
      <c r="J169" s="2"/>
      <c r="L169" s="2"/>
      <c r="AB169" s="70"/>
    </row>
    <row r="170" spans="1:28">
      <c r="A170" s="55"/>
      <c r="B170" s="55"/>
      <c r="C170" s="55"/>
      <c r="D170" s="2"/>
      <c r="E170" s="2"/>
      <c r="F170" s="2"/>
      <c r="H170" s="2"/>
      <c r="I170" s="2"/>
      <c r="J170" s="2"/>
      <c r="L170" s="2"/>
    </row>
    <row r="171" spans="1:28">
      <c r="A171" s="55"/>
      <c r="B171" s="55"/>
      <c r="C171" s="55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55"/>
      <c r="B172" s="55"/>
      <c r="C172" s="55"/>
      <c r="D172" s="2"/>
      <c r="E172" s="2"/>
      <c r="F172" s="2"/>
      <c r="H172" s="2"/>
      <c r="I172" s="2"/>
      <c r="J172" s="2"/>
      <c r="L172" s="2"/>
      <c r="W172" s="71"/>
    </row>
    <row r="173" spans="1:28">
      <c r="A173" s="55"/>
      <c r="B173" s="55"/>
      <c r="C173" s="55"/>
      <c r="D173" s="2"/>
      <c r="E173" s="2"/>
      <c r="F173" s="2"/>
      <c r="H173" s="2"/>
      <c r="I173" s="2"/>
      <c r="J173" s="2"/>
      <c r="L173" s="2"/>
    </row>
    <row r="174" spans="1:28">
      <c r="A174" s="55"/>
      <c r="B174" s="55"/>
      <c r="C174" s="55"/>
      <c r="D174" s="2"/>
      <c r="E174" s="2"/>
      <c r="F174" s="2"/>
      <c r="H174" s="2"/>
      <c r="I174" s="2"/>
      <c r="J174" s="2"/>
      <c r="L174" s="2"/>
    </row>
    <row r="175" spans="1:28">
      <c r="A175" s="55"/>
      <c r="B175" s="55"/>
      <c r="C175" s="55"/>
      <c r="D175" s="2"/>
      <c r="E175" s="2"/>
      <c r="F175" s="2"/>
      <c r="H175" s="2"/>
      <c r="I175" s="2"/>
      <c r="J175" s="2"/>
      <c r="L175" s="2"/>
      <c r="AB175" s="70"/>
    </row>
    <row r="176" spans="1:28">
      <c r="A176" s="55"/>
      <c r="B176" s="55"/>
      <c r="C176" s="55"/>
      <c r="D176" s="2"/>
      <c r="E176" s="2"/>
      <c r="F176" s="2"/>
      <c r="H176" s="2"/>
      <c r="I176" s="2"/>
      <c r="J176" s="2"/>
      <c r="L176" s="2"/>
      <c r="AB176" s="70"/>
    </row>
    <row r="177" spans="1:28">
      <c r="A177" s="55"/>
      <c r="B177" s="55"/>
      <c r="C177" s="55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55"/>
      <c r="B178" s="55"/>
      <c r="C178" s="55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55"/>
      <c r="B179" s="55"/>
      <c r="C179" s="55"/>
      <c r="D179" s="2"/>
      <c r="E179" s="2"/>
      <c r="F179" s="2"/>
      <c r="H179" s="2"/>
      <c r="I179" s="2"/>
      <c r="J179" s="2"/>
      <c r="L179" s="2"/>
      <c r="AB179" s="70"/>
    </row>
    <row r="180" spans="1:28">
      <c r="A180" s="55"/>
      <c r="B180" s="55"/>
      <c r="C180" s="55"/>
      <c r="D180" s="2"/>
      <c r="E180" s="2"/>
      <c r="F180" s="2"/>
      <c r="H180" s="2"/>
      <c r="I180" s="2"/>
      <c r="J180" s="2"/>
      <c r="L180" s="2"/>
      <c r="AB180" s="70"/>
    </row>
    <row r="181" spans="1:28">
      <c r="A181" s="55"/>
      <c r="B181" s="55"/>
      <c r="C181" s="55"/>
      <c r="D181" s="2"/>
      <c r="E181" s="2"/>
      <c r="F181" s="2"/>
      <c r="H181" s="2"/>
      <c r="I181" s="2"/>
      <c r="J181" s="2"/>
      <c r="L181" s="2"/>
    </row>
    <row r="182" spans="1:28">
      <c r="A182" s="55"/>
      <c r="B182" s="55"/>
      <c r="C182" s="55"/>
      <c r="D182" s="2"/>
      <c r="E182" s="2"/>
      <c r="F182" s="2"/>
      <c r="H182" s="2"/>
      <c r="I182" s="2"/>
      <c r="J182" s="2"/>
      <c r="L182" s="2"/>
    </row>
    <row r="183" spans="1:28">
      <c r="A183" s="55"/>
      <c r="B183" s="55"/>
      <c r="C183" s="55"/>
      <c r="D183" s="2"/>
      <c r="E183" s="2"/>
      <c r="F183" s="2"/>
      <c r="H183" s="2"/>
      <c r="I183" s="2"/>
      <c r="J183" s="2"/>
      <c r="L183" s="2"/>
    </row>
    <row r="184" spans="1:28">
      <c r="A184" s="55"/>
      <c r="B184" s="55"/>
      <c r="C184" s="55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141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73" t="str">
        <f>IF('Q2'!A6=0,"",'Q2'!A6)</f>
        <v/>
      </c>
      <c r="B6" s="100">
        <f>IF([1]Summ!$H1044="",0,[1]Summ!$H1044)</f>
        <v>0</v>
      </c>
      <c r="C6" s="101">
        <f>IF([1]Summ!$I1044="",0,[1]Summ!$I1044)</f>
        <v>0</v>
      </c>
      <c r="D6" s="23">
        <f t="shared" ref="D6:D29" si="0">(B6+C6)</f>
        <v>0</v>
      </c>
      <c r="E6" s="74">
        <f>'Q2'!E6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222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73" t="str">
        <f>IF('Q2'!A7=0,"",'Q2'!A7)</f>
        <v/>
      </c>
      <c r="B7" s="100">
        <f>IF([1]Summ!$H1045="",0,[1]Summ!$H1045)</f>
        <v>0</v>
      </c>
      <c r="C7" s="101">
        <f>IF([1]Summ!$I1045="",0,[1]Summ!$I1045)</f>
        <v>0</v>
      </c>
      <c r="D7" s="23">
        <f t="shared" si="0"/>
        <v>0</v>
      </c>
      <c r="E7" s="74">
        <f>'Q2'!E7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222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73" t="str">
        <f>IF('Q2'!A8=0,"",'Q2'!A8)</f>
        <v/>
      </c>
      <c r="B8" s="100">
        <f>IF([1]Summ!$H1046="",0,[1]Summ!$H1046)</f>
        <v>0</v>
      </c>
      <c r="C8" s="101">
        <f>IF([1]Summ!$I1046="",0,[1]Summ!$I1046)</f>
        <v>0</v>
      </c>
      <c r="D8" s="23">
        <f t="shared" si="0"/>
        <v>0</v>
      </c>
      <c r="E8" s="74">
        <f>'Q2'!E8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73" t="str">
        <f>IF('Q2'!A9=0,"",'Q2'!A9)</f>
        <v/>
      </c>
      <c r="B9" s="100">
        <f>IF([1]Summ!$H1047="",0,[1]Summ!$H1047)</f>
        <v>0</v>
      </c>
      <c r="C9" s="101">
        <f>IF([1]Summ!$I1047="",0,[1]Summ!$I1047)</f>
        <v>0</v>
      </c>
      <c r="D9" s="23">
        <f t="shared" si="0"/>
        <v>0</v>
      </c>
      <c r="E9" s="74">
        <f>'Q2'!E9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73" t="str">
        <f>IF('Q2'!A10=0,"",'Q2'!A10)</f>
        <v/>
      </c>
      <c r="B10" s="100">
        <f>IF([1]Summ!$H1048="",0,[1]Summ!$H1048)</f>
        <v>0</v>
      </c>
      <c r="C10" s="101">
        <f>IF([1]Summ!$I1048="",0,[1]Summ!$I1048)</f>
        <v>0</v>
      </c>
      <c r="D10" s="23">
        <f t="shared" si="0"/>
        <v>0</v>
      </c>
      <c r="E10" s="74">
        <f>'Q2'!E10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73" t="str">
        <f>IF('Q2'!A11=0,"",'Q2'!A11)</f>
        <v/>
      </c>
      <c r="B11" s="100">
        <f>IF([1]Summ!$H1049="",0,[1]Summ!$H1049)</f>
        <v>0</v>
      </c>
      <c r="C11" s="101">
        <f>IF([1]Summ!$I1049="",0,[1]Summ!$I1049)</f>
        <v>0</v>
      </c>
      <c r="D11" s="23">
        <f t="shared" si="0"/>
        <v>0</v>
      </c>
      <c r="E11" s="74">
        <f>'Q2'!E11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73" t="str">
        <f>IF('Q2'!A12=0,"",'Q2'!A12)</f>
        <v/>
      </c>
      <c r="B12" s="100">
        <f>IF([1]Summ!$H1050="",0,[1]Summ!$H1050)</f>
        <v>0</v>
      </c>
      <c r="C12" s="101">
        <f>IF([1]Summ!$I1050="",0,[1]Summ!$I1050)</f>
        <v>0</v>
      </c>
      <c r="D12" s="23">
        <f t="shared" si="0"/>
        <v>0</v>
      </c>
      <c r="E12" s="74">
        <f>'Q2'!E12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73" t="str">
        <f>IF('Q2'!A13=0,"",'Q2'!A13)</f>
        <v/>
      </c>
      <c r="B13" s="100">
        <f>IF([1]Summ!$H1051="",0,[1]Summ!$H1051)</f>
        <v>0</v>
      </c>
      <c r="C13" s="101">
        <f>IF([1]Summ!$I1051="",0,[1]Summ!$I1051)</f>
        <v>0</v>
      </c>
      <c r="D13" s="23">
        <f t="shared" si="0"/>
        <v>0</v>
      </c>
      <c r="E13" s="74">
        <f>'Q2'!E13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20839.051002861754</v>
      </c>
      <c r="S13" s="220">
        <f>IF($B$81=0,0,(SUMIF($N$6:$N$28,$U13,L$6:L$28)+SUMIF($N$91:$N$118,$U13,L$91:L$118))*$I$83*'Q2'!$B$81/$B$81)</f>
        <v>9024.3000000000011</v>
      </c>
      <c r="T13" s="220">
        <f>IF($B$81=0,0,(SUMIF($N$6:$N$28,$U13,M$6:M$28)+SUMIF($N$91:$N$118,$U13,M$91:M$118))*$I$83*'Q2'!$B$81/$B$81)</f>
        <v>9024.3000000000011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73" t="str">
        <f>IF('Q2'!A14=0,"",'Q2'!A14)</f>
        <v/>
      </c>
      <c r="B14" s="100">
        <f>IF([1]Summ!$H1052="",0,[1]Summ!$H1052)</f>
        <v>0</v>
      </c>
      <c r="C14" s="101">
        <f>IF([1]Summ!$I1052="",0,[1]Summ!$I1052)</f>
        <v>0</v>
      </c>
      <c r="D14" s="23">
        <f t="shared" si="0"/>
        <v>0</v>
      </c>
      <c r="E14" s="74">
        <f>'Q2'!E14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13531.851300559581</v>
      </c>
      <c r="S14" s="220">
        <f>IF($B$81=0,0,(SUMIF($N$6:$N$28,$U14,L$6:L$28)+SUMIF($N$91:$N$118,$U14,L$91:L$118))*$I$83*'Q2'!$B$81/$B$81)</f>
        <v>9743.9999999999982</v>
      </c>
      <c r="T14" s="220">
        <f>IF($B$81=0,0,(SUMIF($N$6:$N$28,$U14,M$6:M$28)+SUMIF($N$91:$N$118,$U14,M$91:M$118))*$I$83*'Q2'!$B$81/$B$81)</f>
        <v>9743.9999999999982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73" t="str">
        <f>IF('Q2'!A15=0,"",'Q2'!A15)</f>
        <v/>
      </c>
      <c r="B15" s="100">
        <f>IF([1]Summ!$H1053="",0,[1]Summ!$H1053)</f>
        <v>0</v>
      </c>
      <c r="C15" s="101">
        <f>IF([1]Summ!$I1053="",0,[1]Summ!$I1053)</f>
        <v>0</v>
      </c>
      <c r="D15" s="23">
        <f t="shared" si="0"/>
        <v>0</v>
      </c>
      <c r="E15" s="74">
        <f>'Q2'!E15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73" t="str">
        <f>IF('Q2'!A16=0,"",'Q2'!A16)</f>
        <v/>
      </c>
      <c r="B16" s="100">
        <f>IF([1]Summ!$H1054="",0,[1]Summ!$H1054)</f>
        <v>0</v>
      </c>
      <c r="C16" s="101">
        <f>IF([1]Summ!$I1054="",0,[1]Summ!$I1054)</f>
        <v>0</v>
      </c>
      <c r="D16" s="23">
        <f t="shared" si="0"/>
        <v>0</v>
      </c>
      <c r="E16" s="74">
        <f>'Q2'!E16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10554.844014436472</v>
      </c>
      <c r="S16" s="220">
        <f>IF($B$81=0,0,(SUMIF($N$6:$N$28,$U16,L$6:L$28)+SUMIF($N$91:$N$118,$U16,L$91:L$118))*$I$83*'Q2'!$B$81/$B$81)</f>
        <v>7019.9999999999991</v>
      </c>
      <c r="T16" s="220">
        <f>IF($B$81=0,0,(SUMIF($N$6:$N$28,$U16,M$6:M$28)+SUMIF($N$91:$N$118,$U16,M$91:M$118))*$I$83*'Q2'!$B$81/$B$81)</f>
        <v>7295.0429868591054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73" t="str">
        <f>IF('Q2'!A17=0,"",'Q2'!A17)</f>
        <v/>
      </c>
      <c r="B17" s="100">
        <f>IF([1]Summ!$H1055="",0,[1]Summ!$H1055)</f>
        <v>0</v>
      </c>
      <c r="C17" s="101">
        <f>IF([1]Summ!$I1055="",0,[1]Summ!$I1055)</f>
        <v>0</v>
      </c>
      <c r="D17" s="23">
        <f t="shared" si="0"/>
        <v>0</v>
      </c>
      <c r="E17" s="74">
        <f>'Q2'!E17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7036.5626762909824</v>
      </c>
      <c r="S17" s="220">
        <f>IF($B$81=0,0,(SUMIF($N$6:$N$28,$U17,L$6:L$28)+SUMIF($N$91:$N$118,$U17,L$91:L$118))*$I$83*'Q2'!$B$81/$B$81)</f>
        <v>5428.8</v>
      </c>
      <c r="T17" s="220">
        <f>IF($B$81=0,0,(SUMIF($N$6:$N$28,$U17,M$6:M$28)+SUMIF($N$91:$N$118,$U17,M$91:M$118))*$I$83*'Q2'!$B$81/$B$81)</f>
        <v>5428.8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73" t="str">
        <f>IF('Q2'!A18=0,"",'Q2'!A18)</f>
        <v/>
      </c>
      <c r="B18" s="100">
        <f>IF([1]Summ!$H1056="",0,[1]Summ!$H1056)</f>
        <v>0</v>
      </c>
      <c r="C18" s="101">
        <f>IF([1]Summ!$I1056="",0,[1]Summ!$I1056)</f>
        <v>0</v>
      </c>
      <c r="D18" s="23">
        <f t="shared" ref="D18:D25" si="18">(B18+C18)</f>
        <v>0</v>
      </c>
      <c r="E18" s="74">
        <f>'Q2'!E18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1220.9989961164724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73" t="str">
        <f>IF('Q2'!A19=0,"",'Q2'!A19)</f>
        <v/>
      </c>
      <c r="B19" s="100">
        <f>IF([1]Summ!$H1057="",0,[1]Summ!$H1057)</f>
        <v>0</v>
      </c>
      <c r="C19" s="101">
        <f>IF([1]Summ!$I1057="",0,[1]Summ!$I1057)</f>
        <v>0</v>
      </c>
      <c r="D19" s="23">
        <f t="shared" si="18"/>
        <v>0</v>
      </c>
      <c r="E19" s="74">
        <f>'Q2'!E19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73" t="str">
        <f>IF('Q2'!A20=0,"",'Q2'!A20)</f>
        <v/>
      </c>
      <c r="B20" s="100">
        <f>IF([1]Summ!$H1058="",0,[1]Summ!$H1058)</f>
        <v>0</v>
      </c>
      <c r="C20" s="101">
        <f>IF([1]Summ!$I1058="",0,[1]Summ!$I1058)</f>
        <v>0</v>
      </c>
      <c r="D20" s="23">
        <f t="shared" si="18"/>
        <v>0</v>
      </c>
      <c r="E20" s="74">
        <f>'Q2'!E20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4582.7869737895116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73" t="str">
        <f>IF('Q2'!A21=0,"",'Q2'!A21)</f>
        <v/>
      </c>
      <c r="B21" s="100">
        <f>IF([1]Summ!$H1059="",0,[1]Summ!$H1059)</f>
        <v>0</v>
      </c>
      <c r="C21" s="101">
        <f>IF([1]Summ!$I1059="",0,[1]Summ!$I1059)</f>
        <v>0</v>
      </c>
      <c r="D21" s="23">
        <f t="shared" si="18"/>
        <v>0</v>
      </c>
      <c r="E21" s="74">
        <f>'Q2'!E21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3518.2813381454912</v>
      </c>
      <c r="S21" s="220">
        <f>IF($B$81=0,0,(SUMIF($N$6:$N$28,$U21,L$6:L$28)+SUMIF($N$91:$N$118,$U21,L$91:L$118))*$I$83*'Q2'!$B$81/$B$81)</f>
        <v>2340</v>
      </c>
      <c r="T21" s="220">
        <f>IF($B$81=0,0,(SUMIF($N$6:$N$28,$U21,M$6:M$28)+SUMIF($N$91:$N$118,$U21,M$91:M$118))*$I$83*'Q2'!$B$81/$B$81)</f>
        <v>2340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73" t="str">
        <f>IF('Q2'!A22=0,"",'Q2'!A22)</f>
        <v/>
      </c>
      <c r="B22" s="100">
        <f>IF([1]Summ!$H1060="",0,[1]Summ!$H1060)</f>
        <v>0</v>
      </c>
      <c r="C22" s="101">
        <f>IF([1]Summ!$I1060="",0,[1]Summ!$I1060)</f>
        <v>0</v>
      </c>
      <c r="D22" s="23">
        <f t="shared" si="18"/>
        <v>0</v>
      </c>
      <c r="E22" s="74">
        <f>'Q2'!E22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73" t="str">
        <f>IF('Q2'!A23=0,"",'Q2'!A23)</f>
        <v/>
      </c>
      <c r="B23" s="100">
        <f>IF([1]Summ!$H1061="",0,[1]Summ!$H1061)</f>
        <v>0</v>
      </c>
      <c r="C23" s="101">
        <f>IF([1]Summ!$I1061="",0,[1]Summ!$I1061)</f>
        <v>0</v>
      </c>
      <c r="D23" s="23">
        <f t="shared" si="18"/>
        <v>0</v>
      </c>
      <c r="E23" s="74">
        <f>'Q2'!E23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61284.37630220026</v>
      </c>
      <c r="S23" s="177">
        <f>SUM(S7:S22)</f>
        <v>34897.037506672117</v>
      </c>
      <c r="T23" s="177">
        <f>SUM(T7:T22)</f>
        <v>35172.080493531219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73" t="str">
        <f>IF('Q2'!A24=0,"",'Q2'!A24)</f>
        <v/>
      </c>
      <c r="B24" s="100">
        <f>IF([1]Summ!$H1062="",0,[1]Summ!$H1062)</f>
        <v>0</v>
      </c>
      <c r="C24" s="101">
        <f>IF([1]Summ!$I1062="",0,[1]Summ!$I1062)</f>
        <v>0</v>
      </c>
      <c r="D24" s="23">
        <f t="shared" si="18"/>
        <v>0</v>
      </c>
      <c r="E24" s="74">
        <f>'Q2'!E24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19201.523793975997</v>
      </c>
      <c r="S24" s="40">
        <f>IF($B$81=0,0,(SUM(($B$70*$H$70))+((1-$D$29)*$I$83))*'Q2'!$B$81/$B$81)</f>
        <v>19201.523793975997</v>
      </c>
      <c r="T24" s="40">
        <f>IF($B$81=0,0,(SUM(($B$70*$H$70))+((1-$D$29)*$I$83))*'Q2'!$B$81/$B$81)</f>
        <v>19201.523793975997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73" t="str">
        <f>IF('Q2'!A25=0,"",'Q2'!A25)</f>
        <v/>
      </c>
      <c r="B25" s="100">
        <f>IF([1]Summ!$H1063="",0,[1]Summ!$H1063)</f>
        <v>0</v>
      </c>
      <c r="C25" s="101">
        <f>IF([1]Summ!$I1063="",0,[1]Summ!$I1063)</f>
        <v>0</v>
      </c>
      <c r="D25" s="23">
        <f t="shared" si="18"/>
        <v>0</v>
      </c>
      <c r="E25" s="74">
        <f>'Q2'!E25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73" t="str">
        <f>IF('Q2'!A26=0,"",'Q2'!A26)</f>
        <v>Food aid</v>
      </c>
      <c r="B26" s="100">
        <f>IF([1]Summ!$H1064="",0,[1]Summ!$H1064)</f>
        <v>0.11904761904761904</v>
      </c>
      <c r="C26" s="101">
        <f>IF([1]Summ!$I1064="",0,[1]Summ!$I1064)</f>
        <v>0</v>
      </c>
      <c r="D26" s="23">
        <f t="shared" si="0"/>
        <v>0.11904761904761904</v>
      </c>
      <c r="E26" s="74">
        <f>'Q2'!E26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44761.897127309327</v>
      </c>
      <c r="S26" s="40">
        <f>IF($B$81=0,0,(SUM(($B$70*$H$70),($B$71*$H$71),($B$72*$H$72))+((1-$D$29)*$I$83))*'Q2'!$B$81/$B$81)</f>
        <v>44761.897127309327</v>
      </c>
      <c r="T26" s="40">
        <f>IF($B$81=0,0,(SUM(($B$70*$H$70),($B$71*$H$71),($B$72*$H$72))+((1-$D$29)*$I$83))*'Q2'!$B$81/$B$81)</f>
        <v>44761.897127309327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73" t="str">
        <f>IF('Q2'!A27=0,"",'Q2'!A27)</f>
        <v>Purchase - other</v>
      </c>
      <c r="B27" s="100">
        <f>IF([1]Summ!$H1065="",0,[1]Summ!$H1065)</f>
        <v>2.651292403486924E-2</v>
      </c>
      <c r="C27" s="101">
        <f>IF([1]Summ!$I1065="",0,[1]Summ!$I1065)</f>
        <v>-2.651292403486924E-2</v>
      </c>
      <c r="D27" s="23">
        <f>(B27+C27)</f>
        <v>0</v>
      </c>
      <c r="E27" s="74">
        <f>'Q2'!E27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2.1319053794898419E-2</v>
      </c>
      <c r="K27" s="21">
        <f t="shared" si="4"/>
        <v>2.651292403486924E-2</v>
      </c>
      <c r="L27" s="21">
        <f t="shared" si="5"/>
        <v>2.651292403486924E-2</v>
      </c>
      <c r="M27" s="224">
        <f t="shared" si="6"/>
        <v>2.1319053794898419E-2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8.5276215179593676E-2</v>
      </c>
      <c r="Z27" s="155">
        <f>'Q2'!Z27</f>
        <v>0.25</v>
      </c>
      <c r="AA27" s="120">
        <f t="shared" si="16"/>
        <v>2.1319053794898419E-2</v>
      </c>
      <c r="AB27" s="155">
        <f>'Q2'!AB27</f>
        <v>0.25</v>
      </c>
      <c r="AC27" s="120">
        <f t="shared" si="7"/>
        <v>2.1319053794898419E-2</v>
      </c>
      <c r="AD27" s="155">
        <f>'Q2'!AD27</f>
        <v>0.25</v>
      </c>
      <c r="AE27" s="120">
        <f t="shared" si="8"/>
        <v>2.1319053794898419E-2</v>
      </c>
      <c r="AF27" s="121">
        <f t="shared" si="10"/>
        <v>0.25</v>
      </c>
      <c r="AG27" s="120">
        <f t="shared" si="11"/>
        <v>2.1319053794898419E-2</v>
      </c>
      <c r="AH27" s="122">
        <f t="shared" si="12"/>
        <v>1</v>
      </c>
      <c r="AI27" s="181">
        <f t="shared" si="13"/>
        <v>2.1319053794898419E-2</v>
      </c>
      <c r="AJ27" s="119">
        <f t="shared" si="14"/>
        <v>2.1319053794898419E-2</v>
      </c>
      <c r="AK27" s="118">
        <f t="shared" si="15"/>
        <v>2.1319053794898419E-2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73" t="str">
        <f>IF('Q2'!A28=0,"",'Q2'!A28)</f>
        <v>Purchase - desirable</v>
      </c>
      <c r="B28" s="100">
        <f>IF([1]Summ!$H1066="",0,[1]Summ!$H1066)</f>
        <v>0</v>
      </c>
      <c r="C28" s="101">
        <f>IF([1]Summ!$I1066="",0,[1]Summ!$I1066)</f>
        <v>0</v>
      </c>
      <c r="D28" s="23">
        <f t="shared" si="0"/>
        <v>0</v>
      </c>
      <c r="E28" s="74">
        <f>'Q2'!E28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73" t="str">
        <f>IF('Q2'!A29=0,"",'Q2'!A29)</f>
        <v>Purchase - fpl non staple</v>
      </c>
      <c r="B29" s="100">
        <f>IF([1]Summ!$H1067="",0,[1]Summ!$H1067)</f>
        <v>0.4538676295143213</v>
      </c>
      <c r="C29" s="101">
        <f>IF([1]Summ!$I1067="",0,[1]Summ!$I1067)</f>
        <v>-0.22923085557232417</v>
      </c>
      <c r="D29" s="23">
        <f t="shared" si="0"/>
        <v>0.22463677394199713</v>
      </c>
      <c r="E29" s="74">
        <f>'Q2'!E29</f>
        <v>1</v>
      </c>
      <c r="F29" s="21"/>
      <c r="H29" s="23">
        <f t="shared" si="1"/>
        <v>1</v>
      </c>
      <c r="I29" s="21">
        <f t="shared" si="2"/>
        <v>0.22463677394199713</v>
      </c>
      <c r="J29" s="23">
        <f>IF(I$32&lt;=1+I131,I29,B29*H29+J$33*(I29-B29*H29))</f>
        <v>0.40896140501511863</v>
      </c>
      <c r="K29" s="21">
        <f t="shared" si="4"/>
        <v>0.4538676295143213</v>
      </c>
      <c r="L29" s="21">
        <f t="shared" si="5"/>
        <v>0.4538676295143213</v>
      </c>
      <c r="M29" s="222">
        <f t="shared" si="6"/>
        <v>0.40896140501511863</v>
      </c>
      <c r="N29" s="227"/>
      <c r="P29" s="21"/>
      <c r="V29" s="55"/>
      <c r="W29" s="109"/>
      <c r="X29" s="117"/>
      <c r="Y29" s="181">
        <f t="shared" si="9"/>
        <v>1.6358456200604745</v>
      </c>
      <c r="Z29" s="155">
        <f>'Q2'!Z29</f>
        <v>0.25</v>
      </c>
      <c r="AA29" s="120">
        <f t="shared" si="16"/>
        <v>0.40896140501511863</v>
      </c>
      <c r="AB29" s="155">
        <f>'Q2'!AB29</f>
        <v>0.25</v>
      </c>
      <c r="AC29" s="120">
        <f t="shared" si="7"/>
        <v>0.40896140501511863</v>
      </c>
      <c r="AD29" s="155">
        <f>'Q2'!AD29</f>
        <v>0.25</v>
      </c>
      <c r="AE29" s="120">
        <f t="shared" si="8"/>
        <v>0.40896140501511863</v>
      </c>
      <c r="AF29" s="121">
        <f t="shared" si="10"/>
        <v>0.25</v>
      </c>
      <c r="AG29" s="120">
        <f t="shared" si="11"/>
        <v>0.40896140501511863</v>
      </c>
      <c r="AH29" s="122">
        <f t="shared" si="12"/>
        <v>1</v>
      </c>
      <c r="AI29" s="181">
        <f t="shared" si="13"/>
        <v>0.40896140501511863</v>
      </c>
      <c r="AJ29" s="119">
        <f t="shared" si="14"/>
        <v>0.40896140501511863</v>
      </c>
      <c r="AK29" s="118">
        <f t="shared" si="15"/>
        <v>0.40896140501511863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IF([1]Summ!$H1068="",0,[1]Summ!$H1068)</f>
        <v>0.57900237422166878</v>
      </c>
      <c r="C30" s="102"/>
      <c r="D30" s="23">
        <f>(D119-B124)</f>
        <v>4.965221036447681</v>
      </c>
      <c r="E30" s="74">
        <f>'Q2'!E30</f>
        <v>1</v>
      </c>
      <c r="H30" s="95">
        <f>(E30*F$7/F$9)</f>
        <v>1</v>
      </c>
      <c r="I30" s="28">
        <f>IF(E30&gt;=1,I119-I124,MIN(I119-I124,B30*H30))</f>
        <v>2.1755330214287376</v>
      </c>
      <c r="J30" s="229">
        <f>IF(I$32&lt;=1,I30,1-SUM(J6:J29))</f>
        <v>0.45067192214236385</v>
      </c>
      <c r="K30" s="21">
        <f t="shared" si="4"/>
        <v>0.57900237422166878</v>
      </c>
      <c r="L30" s="21">
        <f>IF(L124=L119,0,IF(K30="",0,(L119-L124)/(B119-B124)*K30))</f>
        <v>0.2494881997055009</v>
      </c>
      <c r="M30" s="173">
        <f t="shared" si="6"/>
        <v>0.45067192214236385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1.8026876885694554</v>
      </c>
      <c r="Z30" s="121" t="e">
        <f>IF($Y30=0,0,AA30/($Y$30))</f>
        <v>#DIV/0!</v>
      </c>
      <c r="AA30" s="185" t="e">
        <f>IF(AA79*4/$I$84+SUM(AA6:AA29)&lt;1,AA79*4/$I$84,1-SUM(AA6:AA29))</f>
        <v>#DIV/0!</v>
      </c>
      <c r="AB30" s="121" t="e">
        <f>IF($Y30=0,0,AC30/($Y$30))</f>
        <v>#DIV/0!</v>
      </c>
      <c r="AC30" s="185" t="e">
        <f>IF(AC79*4/$I$84+SUM(AC6:AC29)&lt;1,AC79*4/$I$84,1-SUM(AC6:AC29))</f>
        <v>#DIV/0!</v>
      </c>
      <c r="AD30" s="121" t="e">
        <f>IF($Y30=0,0,AE30/($Y$30))</f>
        <v>#DIV/0!</v>
      </c>
      <c r="AE30" s="185" t="e">
        <f>IF(AE79*4/$I$84+SUM(AE6:AE29)&lt;1,AE79*4/$I$84,1-SUM(AE6:AE29))</f>
        <v>#DIV/0!</v>
      </c>
      <c r="AF30" s="121" t="e">
        <f>IF($Y30=0,0,AG30/($Y$30))</f>
        <v>#DIV/0!</v>
      </c>
      <c r="AG30" s="185" t="e">
        <f>IF(AG79*4/$I$84+SUM(AG6:AG29)&lt;1,AG79*4/$I$84,1-SUM(AG6:AG29))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0" t="str">
        <f>IF(1-$B$32&gt;0,1-$B$32,"")</f>
        <v/>
      </c>
      <c r="C31" s="76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0.15108362769768946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76">
        <f>SUM(B6:B30)</f>
        <v>1.1784305468184784</v>
      </c>
      <c r="C32" s="76">
        <f>SUM(C6:C31)</f>
        <v>-0.25574377960719341</v>
      </c>
      <c r="D32" s="23">
        <f>SUM(D6:D30)</f>
        <v>5.3089054294372975</v>
      </c>
      <c r="E32" s="2"/>
      <c r="F32" s="2"/>
      <c r="H32" s="16"/>
      <c r="I32" s="21">
        <f>SUM(I6:I30)</f>
        <v>2.5192174144183537</v>
      </c>
      <c r="J32" s="16"/>
      <c r="L32" s="21">
        <f>SUM(L6:L30)</f>
        <v>0.84891637230231054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9864.8596206372094</v>
      </c>
      <c r="T32" s="232">
        <f t="shared" si="24"/>
        <v>9589.8166337781076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0.19589956328996203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139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73" t="str">
        <f>IF('Q2'!A37=0,"",'Q2'!A37)</f>
        <v>Construction cash income -- see Data2</v>
      </c>
      <c r="B37" s="103">
        <f>IF([1]Summ!$H1072="",0,[1]Summ!$H1072)</f>
        <v>5700</v>
      </c>
      <c r="C37" s="103">
        <f>IF([1]Summ!$I1072="",0,[1]Summ!$I1072)</f>
        <v>0</v>
      </c>
      <c r="D37" s="37">
        <f t="shared" ref="D37:D64" si="25">B37+C37</f>
        <v>5700</v>
      </c>
      <c r="E37" s="74">
        <f>'Q2'!E37</f>
        <v>0.5</v>
      </c>
      <c r="F37" s="74">
        <f>'Q2'!F37</f>
        <v>1.1100000000000001</v>
      </c>
      <c r="G37" s="74">
        <f>'Q2'!G37</f>
        <v>1.65</v>
      </c>
      <c r="H37" s="23">
        <f t="shared" ref="H37" si="26">(E37*F37)</f>
        <v>0.55500000000000005</v>
      </c>
      <c r="I37" s="38">
        <f t="shared" ref="I37" si="27">D37*H37</f>
        <v>3163.5000000000005</v>
      </c>
      <c r="J37" s="37">
        <f>J91*I$83</f>
        <v>3163.5</v>
      </c>
      <c r="K37" s="39">
        <f>(B37/B$65)</f>
        <v>0.14268549113848003</v>
      </c>
      <c r="L37" s="21">
        <f t="shared" ref="L37" si="28">(K37*H37)</f>
        <v>7.9190447581856421E-2</v>
      </c>
      <c r="M37" s="23">
        <f>J37/B$65</f>
        <v>7.9190447581856407E-2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29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73" t="str">
        <f>IF('Q2'!A38=0,"",'Q2'!A38)</f>
        <v>Domestic work cash income -- see Data2</v>
      </c>
      <c r="B38" s="103">
        <f>IF([1]Summ!$H1073="",0,[1]Summ!$H1073)</f>
        <v>5760</v>
      </c>
      <c r="C38" s="103">
        <f>IF([1]Summ!$I1073="",0,[1]Summ!$I1073)</f>
        <v>0</v>
      </c>
      <c r="D38" s="37">
        <f t="shared" si="25"/>
        <v>5760</v>
      </c>
      <c r="E38" s="74">
        <f>'Q2'!E38</f>
        <v>0.5</v>
      </c>
      <c r="F38" s="74">
        <f>'Q2'!F38</f>
        <v>1.1100000000000001</v>
      </c>
      <c r="G38" s="74">
        <f>'Q2'!G38</f>
        <v>1.65</v>
      </c>
      <c r="H38" s="23">
        <f t="shared" ref="H38:H64" si="30">(E38*F38)</f>
        <v>0.55500000000000005</v>
      </c>
      <c r="I38" s="38">
        <f t="shared" ref="I38:I64" si="31">D38*H38</f>
        <v>3196.8</v>
      </c>
      <c r="J38" s="37">
        <f t="shared" ref="J38:J64" si="32">J92*I$83</f>
        <v>3196.8000000000006</v>
      </c>
      <c r="K38" s="39">
        <f t="shared" ref="K38:K64" si="33">(B38/B$65)</f>
        <v>0.14418744367677983</v>
      </c>
      <c r="L38" s="21">
        <f t="shared" ref="L38:L64" si="34">(K38*H38)</f>
        <v>8.0024031240612817E-2</v>
      </c>
      <c r="M38" s="23">
        <f t="shared" ref="M38:M64" si="35">J38/B$65</f>
        <v>8.0024031240612817E-2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29"/>
        <v>#DIV/0!</v>
      </c>
      <c r="AG38" s="146" t="e">
        <f t="shared" ref="AG38:AG64" si="36">$J38*AF38</f>
        <v>#DIV/0!</v>
      </c>
      <c r="AH38" s="122" t="e">
        <f t="shared" ref="AH38:AI58" si="37">SUM(Z38,AB38,AD38,AF38)</f>
        <v>#DIV/0!</v>
      </c>
      <c r="AI38" s="111" t="e">
        <f t="shared" si="37"/>
        <v>#DIV/0!</v>
      </c>
      <c r="AJ38" s="147" t="e">
        <f t="shared" ref="AJ38:AJ64" si="38">(AA38+AC38)</f>
        <v>#DIV/0!</v>
      </c>
      <c r="AK38" s="146" t="e">
        <f t="shared" ref="AK38:AK64" si="39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73" t="str">
        <f>IF('Q2'!A39=0,"",'Q2'!A39)</f>
        <v>Labour migration(formal employment): no. people per HH</v>
      </c>
      <c r="B39" s="103">
        <f>IF([1]Summ!$H1074="",0,[1]Summ!$H1074)</f>
        <v>3000</v>
      </c>
      <c r="C39" s="103">
        <f>IF([1]Summ!$I1074="",0,[1]Summ!$I1074)</f>
        <v>0</v>
      </c>
      <c r="D39" s="37">
        <f t="shared" si="25"/>
        <v>3000</v>
      </c>
      <c r="E39" s="74">
        <f>'Q2'!E39</f>
        <v>0.8</v>
      </c>
      <c r="F39" s="74">
        <f>'Q2'!F39</f>
        <v>1.1599999999999999</v>
      </c>
      <c r="G39" s="74">
        <f>'Q2'!G39</f>
        <v>1.65</v>
      </c>
      <c r="H39" s="23">
        <f t="shared" si="30"/>
        <v>0.92799999999999994</v>
      </c>
      <c r="I39" s="38">
        <f t="shared" si="31"/>
        <v>2784</v>
      </c>
      <c r="J39" s="37">
        <f t="shared" si="32"/>
        <v>2783.9999999999995</v>
      </c>
      <c r="K39" s="39">
        <f t="shared" si="33"/>
        <v>7.5097626914989488E-2</v>
      </c>
      <c r="L39" s="21">
        <f t="shared" si="34"/>
        <v>6.9690597777110244E-2</v>
      </c>
      <c r="M39" s="23">
        <f t="shared" si="35"/>
        <v>6.969059777711023E-2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92">
        <f>X8</f>
        <v>1</v>
      </c>
      <c r="Y39" s="109"/>
      <c r="Z39" s="121">
        <f>Z8</f>
        <v>0</v>
      </c>
      <c r="AA39" s="146">
        <f t="shared" ref="AA39:AA64" si="40">$J39*Z39</f>
        <v>0</v>
      </c>
      <c r="AB39" s="121">
        <f>AB8</f>
        <v>0</v>
      </c>
      <c r="AC39" s="146">
        <f t="shared" ref="AC39:AC64" si="41">$J39*AB39</f>
        <v>0</v>
      </c>
      <c r="AD39" s="121">
        <f>AD8</f>
        <v>0</v>
      </c>
      <c r="AE39" s="146">
        <f t="shared" ref="AE39:AE64" si="42">$J39*AD39</f>
        <v>0</v>
      </c>
      <c r="AF39" s="121">
        <f t="shared" si="29"/>
        <v>1</v>
      </c>
      <c r="AG39" s="146">
        <f t="shared" si="36"/>
        <v>2783.9999999999995</v>
      </c>
      <c r="AH39" s="122">
        <f t="shared" si="37"/>
        <v>1</v>
      </c>
      <c r="AI39" s="111">
        <f t="shared" si="37"/>
        <v>2783.9999999999995</v>
      </c>
      <c r="AJ39" s="147">
        <f t="shared" si="38"/>
        <v>0</v>
      </c>
      <c r="AK39" s="146">
        <f t="shared" si="39"/>
        <v>2783.9999999999995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73" t="str">
        <f>IF('Q2'!A40=0,"",'Q2'!A40)</f>
        <v>Formal Employment</v>
      </c>
      <c r="B40" s="103">
        <f>IF([1]Summ!$H1075="",0,[1]Summ!$H1075)</f>
        <v>6000</v>
      </c>
      <c r="C40" s="103">
        <f>IF([1]Summ!$I1075="",0,[1]Summ!$I1075)</f>
        <v>0</v>
      </c>
      <c r="D40" s="37">
        <f t="shared" si="25"/>
        <v>6000</v>
      </c>
      <c r="E40" s="74">
        <f>'Q2'!E40</f>
        <v>1</v>
      </c>
      <c r="F40" s="74">
        <f>'Q2'!F40</f>
        <v>1.1599999999999999</v>
      </c>
      <c r="G40" s="74">
        <f>'Q2'!G40</f>
        <v>1.65</v>
      </c>
      <c r="H40" s="23">
        <f t="shared" si="30"/>
        <v>1.1599999999999999</v>
      </c>
      <c r="I40" s="38">
        <f t="shared" si="31"/>
        <v>6959.9999999999991</v>
      </c>
      <c r="J40" s="37">
        <f t="shared" si="32"/>
        <v>6960</v>
      </c>
      <c r="K40" s="39">
        <f t="shared" si="33"/>
        <v>0.15019525382997898</v>
      </c>
      <c r="L40" s="21">
        <f t="shared" si="34"/>
        <v>0.1742264944427756</v>
      </c>
      <c r="M40" s="23">
        <f t="shared" si="35"/>
        <v>0.1742264944427756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92">
        <f>X9</f>
        <v>1</v>
      </c>
      <c r="Y40" s="109"/>
      <c r="Z40" s="121">
        <f>Z9</f>
        <v>0</v>
      </c>
      <c r="AA40" s="146">
        <f t="shared" si="40"/>
        <v>0</v>
      </c>
      <c r="AB40" s="121">
        <f>AB9</f>
        <v>0</v>
      </c>
      <c r="AC40" s="146">
        <f t="shared" si="41"/>
        <v>0</v>
      </c>
      <c r="AD40" s="121">
        <f>AD9</f>
        <v>0</v>
      </c>
      <c r="AE40" s="146">
        <f t="shared" si="42"/>
        <v>0</v>
      </c>
      <c r="AF40" s="121">
        <f t="shared" si="29"/>
        <v>1</v>
      </c>
      <c r="AG40" s="146">
        <f t="shared" si="36"/>
        <v>6960</v>
      </c>
      <c r="AH40" s="122">
        <f t="shared" si="37"/>
        <v>1</v>
      </c>
      <c r="AI40" s="111">
        <f t="shared" si="37"/>
        <v>6960</v>
      </c>
      <c r="AJ40" s="147">
        <f t="shared" si="38"/>
        <v>0</v>
      </c>
      <c r="AK40" s="146">
        <f t="shared" si="39"/>
        <v>6960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73" t="str">
        <f>IF('Q2'!A41=0,"",'Q2'!A41)</f>
        <v>Self-employment -- see Data2</v>
      </c>
      <c r="B41" s="103">
        <f>IF([1]Summ!$H1076="",0,[1]Summ!$H1076)</f>
        <v>7020</v>
      </c>
      <c r="C41" s="103">
        <f>IF([1]Summ!$I1076="",0,[1]Summ!$I1076)</f>
        <v>1404</v>
      </c>
      <c r="D41" s="37">
        <f t="shared" si="25"/>
        <v>8424</v>
      </c>
      <c r="E41" s="74">
        <f>'Q2'!E41</f>
        <v>1</v>
      </c>
      <c r="F41" s="74">
        <f>'Q2'!F41</f>
        <v>1</v>
      </c>
      <c r="G41" s="74">
        <f>'Q2'!G41</f>
        <v>1.65</v>
      </c>
      <c r="H41" s="23">
        <f t="shared" si="30"/>
        <v>1</v>
      </c>
      <c r="I41" s="38">
        <f t="shared" si="31"/>
        <v>8424</v>
      </c>
      <c r="J41" s="37">
        <f t="shared" si="32"/>
        <v>7295.0429868591054</v>
      </c>
      <c r="K41" s="39">
        <f t="shared" si="33"/>
        <v>0.1757284469810754</v>
      </c>
      <c r="L41" s="21">
        <f t="shared" si="34"/>
        <v>0.1757284469810754</v>
      </c>
      <c r="M41" s="23">
        <f t="shared" si="35"/>
        <v>0.18261347218531854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92">
        <f>X11</f>
        <v>1</v>
      </c>
      <c r="Y41" s="109"/>
      <c r="Z41" s="121">
        <f>Z11</f>
        <v>0</v>
      </c>
      <c r="AA41" s="146">
        <f t="shared" si="40"/>
        <v>0</v>
      </c>
      <c r="AB41" s="121">
        <f>AB11</f>
        <v>0</v>
      </c>
      <c r="AC41" s="146">
        <f t="shared" si="41"/>
        <v>0</v>
      </c>
      <c r="AD41" s="121">
        <f>AD11</f>
        <v>0</v>
      </c>
      <c r="AE41" s="146">
        <f t="shared" si="42"/>
        <v>0</v>
      </c>
      <c r="AF41" s="121">
        <f t="shared" si="29"/>
        <v>1</v>
      </c>
      <c r="AG41" s="146">
        <f t="shared" si="36"/>
        <v>7295.0429868591054</v>
      </c>
      <c r="AH41" s="122">
        <f t="shared" si="37"/>
        <v>1</v>
      </c>
      <c r="AI41" s="111">
        <f t="shared" si="37"/>
        <v>7295.0429868591054</v>
      </c>
      <c r="AJ41" s="147">
        <f t="shared" si="38"/>
        <v>0</v>
      </c>
      <c r="AK41" s="146">
        <f t="shared" si="39"/>
        <v>7295.0429868591054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73" t="str">
        <f>IF('Q2'!A42=0,"",'Q2'!A42)</f>
        <v>Small business -- see Data2</v>
      </c>
      <c r="B42" s="103">
        <f>IF([1]Summ!$H1077="",0,[1]Summ!$H1077)</f>
        <v>4680</v>
      </c>
      <c r="C42" s="103">
        <f>IF([1]Summ!$I1077="",0,[1]Summ!$I1077)</f>
        <v>0</v>
      </c>
      <c r="D42" s="37">
        <f t="shared" si="25"/>
        <v>4680</v>
      </c>
      <c r="E42" s="74">
        <f>'Q2'!E42</f>
        <v>1</v>
      </c>
      <c r="F42" s="74">
        <f>'Q2'!F42</f>
        <v>1.1599999999999999</v>
      </c>
      <c r="G42" s="74">
        <f>'Q2'!G42</f>
        <v>1.65</v>
      </c>
      <c r="H42" s="23">
        <f t="shared" si="30"/>
        <v>1.1599999999999999</v>
      </c>
      <c r="I42" s="38">
        <f t="shared" si="31"/>
        <v>5428.7999999999993</v>
      </c>
      <c r="J42" s="37">
        <f t="shared" si="32"/>
        <v>5428.8</v>
      </c>
      <c r="K42" s="39">
        <f t="shared" si="33"/>
        <v>0.11715229798738359</v>
      </c>
      <c r="L42" s="21">
        <f t="shared" si="34"/>
        <v>0.13589666566536496</v>
      </c>
      <c r="M42" s="23">
        <f t="shared" si="35"/>
        <v>0.13589666566536499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si="40"/>
        <v>1357.2</v>
      </c>
      <c r="AB42" s="155">
        <f>'Q2'!AB42</f>
        <v>0</v>
      </c>
      <c r="AC42" s="146">
        <f t="shared" si="41"/>
        <v>0</v>
      </c>
      <c r="AD42" s="155">
        <f>'Q2'!AD42</f>
        <v>0.5</v>
      </c>
      <c r="AE42" s="146">
        <f t="shared" si="42"/>
        <v>2714.4</v>
      </c>
      <c r="AF42" s="121">
        <f t="shared" si="29"/>
        <v>0.25</v>
      </c>
      <c r="AG42" s="146">
        <f t="shared" si="36"/>
        <v>1357.2</v>
      </c>
      <c r="AH42" s="122">
        <f t="shared" si="37"/>
        <v>1</v>
      </c>
      <c r="AI42" s="111">
        <f t="shared" si="37"/>
        <v>5428.8</v>
      </c>
      <c r="AJ42" s="147">
        <f t="shared" si="38"/>
        <v>1357.2</v>
      </c>
      <c r="AK42" s="146">
        <f t="shared" si="39"/>
        <v>4071.6000000000004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73" t="str">
        <f>IF('Q2'!A43=0,"",'Q2'!A43)</f>
        <v>Social development -- see Data2</v>
      </c>
      <c r="B43" s="103">
        <f>IF([1]Summ!$H1078="",0,[1]Summ!$H1078)</f>
        <v>3048.0000000000005</v>
      </c>
      <c r="C43" s="103">
        <f>IF([1]Summ!$I1078="",0,[1]Summ!$I1078)</f>
        <v>0</v>
      </c>
      <c r="D43" s="37">
        <f t="shared" si="25"/>
        <v>3048.0000000000005</v>
      </c>
      <c r="E43" s="74">
        <f>'Q2'!E43</f>
        <v>0</v>
      </c>
      <c r="F43" s="74">
        <f>'Q2'!F43</f>
        <v>1.18</v>
      </c>
      <c r="G43" s="74">
        <f>'Q2'!G43</f>
        <v>1.65</v>
      </c>
      <c r="H43" s="23">
        <f t="shared" si="30"/>
        <v>0</v>
      </c>
      <c r="I43" s="38">
        <f t="shared" si="31"/>
        <v>0</v>
      </c>
      <c r="J43" s="37">
        <f t="shared" si="32"/>
        <v>0</v>
      </c>
      <c r="K43" s="39">
        <f t="shared" si="33"/>
        <v>7.6299188945629329E-2</v>
      </c>
      <c r="L43" s="21">
        <f t="shared" si="34"/>
        <v>0</v>
      </c>
      <c r="M43" s="23">
        <f t="shared" si="35"/>
        <v>0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40"/>
        <v>0</v>
      </c>
      <c r="AB43" s="155">
        <f>'Q2'!AB43</f>
        <v>0.25</v>
      </c>
      <c r="AC43" s="146">
        <f t="shared" si="41"/>
        <v>0</v>
      </c>
      <c r="AD43" s="155">
        <f>'Q2'!AD43</f>
        <v>0.25</v>
      </c>
      <c r="AE43" s="146">
        <f t="shared" si="42"/>
        <v>0</v>
      </c>
      <c r="AF43" s="121">
        <f t="shared" si="29"/>
        <v>0.25</v>
      </c>
      <c r="AG43" s="146">
        <f t="shared" si="36"/>
        <v>0</v>
      </c>
      <c r="AH43" s="122">
        <f t="shared" si="37"/>
        <v>1</v>
      </c>
      <c r="AI43" s="111">
        <f t="shared" si="37"/>
        <v>0</v>
      </c>
      <c r="AJ43" s="147">
        <f t="shared" si="38"/>
        <v>0</v>
      </c>
      <c r="AK43" s="146">
        <f t="shared" si="39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73" t="str">
        <f>IF('Q2'!A44=0,"",'Q2'!A44)</f>
        <v>Helping friends</v>
      </c>
      <c r="B44" s="103">
        <f>IF([1]Summ!$H1079="",0,[1]Summ!$H1079)</f>
        <v>2400</v>
      </c>
      <c r="C44" s="103">
        <f>IF([1]Summ!$I1079="",0,[1]Summ!$I1079)</f>
        <v>0</v>
      </c>
      <c r="D44" s="37">
        <f t="shared" si="25"/>
        <v>2400</v>
      </c>
      <c r="E44" s="74">
        <f>'Q2'!E44</f>
        <v>1</v>
      </c>
      <c r="F44" s="74">
        <f>'Q2'!F44</f>
        <v>1.1100000000000001</v>
      </c>
      <c r="G44" s="74">
        <f>'Q2'!G44</f>
        <v>1.65</v>
      </c>
      <c r="H44" s="23">
        <f t="shared" si="30"/>
        <v>1.1100000000000001</v>
      </c>
      <c r="I44" s="38">
        <f t="shared" si="31"/>
        <v>2664.0000000000005</v>
      </c>
      <c r="J44" s="37">
        <f t="shared" si="32"/>
        <v>2664</v>
      </c>
      <c r="K44" s="39">
        <f t="shared" si="33"/>
        <v>6.0078101531991591E-2</v>
      </c>
      <c r="L44" s="21">
        <f t="shared" si="34"/>
        <v>6.6686692700510669E-2</v>
      </c>
      <c r="M44" s="23">
        <f t="shared" si="35"/>
        <v>6.6686692700510669E-2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40"/>
        <v>666</v>
      </c>
      <c r="AB44" s="155">
        <f>'Q2'!AB44</f>
        <v>0.25</v>
      </c>
      <c r="AC44" s="146">
        <f t="shared" si="41"/>
        <v>666</v>
      </c>
      <c r="AD44" s="155">
        <f>'Q2'!AD44</f>
        <v>0.25</v>
      </c>
      <c r="AE44" s="146">
        <f t="shared" si="42"/>
        <v>666</v>
      </c>
      <c r="AF44" s="121">
        <f t="shared" si="29"/>
        <v>0.25</v>
      </c>
      <c r="AG44" s="146">
        <f t="shared" si="36"/>
        <v>666</v>
      </c>
      <c r="AH44" s="122">
        <f t="shared" si="37"/>
        <v>1</v>
      </c>
      <c r="AI44" s="111">
        <f t="shared" si="37"/>
        <v>2664</v>
      </c>
      <c r="AJ44" s="147">
        <f t="shared" si="38"/>
        <v>1332</v>
      </c>
      <c r="AK44" s="146">
        <f t="shared" si="39"/>
        <v>1332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73" t="str">
        <f>IF('Q2'!A45=0,"",'Q2'!A45)</f>
        <v>Gifts and support</v>
      </c>
      <c r="B45" s="103">
        <f>IF([1]Summ!$H1080="",0,[1]Summ!$H1080)</f>
        <v>2340</v>
      </c>
      <c r="C45" s="103">
        <f>IF([1]Summ!$I1080="",0,[1]Summ!$I1080)</f>
        <v>0</v>
      </c>
      <c r="D45" s="37">
        <f t="shared" si="25"/>
        <v>2340</v>
      </c>
      <c r="E45" s="74">
        <f>'Q2'!E45</f>
        <v>1</v>
      </c>
      <c r="F45" s="74">
        <f>'Q2'!F45</f>
        <v>1</v>
      </c>
      <c r="G45" s="74">
        <f>'Q2'!G45</f>
        <v>1.65</v>
      </c>
      <c r="H45" s="23">
        <f t="shared" si="30"/>
        <v>1</v>
      </c>
      <c r="I45" s="38">
        <f t="shared" si="31"/>
        <v>2340</v>
      </c>
      <c r="J45" s="37">
        <f t="shared" si="32"/>
        <v>2340</v>
      </c>
      <c r="K45" s="39">
        <f t="shared" si="33"/>
        <v>5.8576148993691797E-2</v>
      </c>
      <c r="L45" s="21">
        <f t="shared" si="34"/>
        <v>5.8576148993691797E-2</v>
      </c>
      <c r="M45" s="23">
        <f t="shared" si="35"/>
        <v>5.8576148993691797E-2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40"/>
        <v>585</v>
      </c>
      <c r="AB45" s="155">
        <f>'Q2'!AB45</f>
        <v>0.25</v>
      </c>
      <c r="AC45" s="146">
        <f t="shared" si="41"/>
        <v>585</v>
      </c>
      <c r="AD45" s="155">
        <f>'Q2'!AD45</f>
        <v>0.25</v>
      </c>
      <c r="AE45" s="146">
        <f t="shared" si="42"/>
        <v>585</v>
      </c>
      <c r="AF45" s="121">
        <f t="shared" si="29"/>
        <v>0.25</v>
      </c>
      <c r="AG45" s="146">
        <f t="shared" si="36"/>
        <v>585</v>
      </c>
      <c r="AH45" s="122">
        <f t="shared" si="37"/>
        <v>1</v>
      </c>
      <c r="AI45" s="111">
        <f t="shared" si="37"/>
        <v>2340</v>
      </c>
      <c r="AJ45" s="147">
        <f t="shared" si="38"/>
        <v>1170</v>
      </c>
      <c r="AK45" s="146">
        <f t="shared" si="39"/>
        <v>1170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73" t="str">
        <f>IF('Q2'!A46=0,"",'Q2'!A46)</f>
        <v>Remittances: no. times per year</v>
      </c>
      <c r="B46" s="103">
        <f>IF([1]Summ!$H1081="",0,[1]Summ!$H1081)</f>
        <v>0</v>
      </c>
      <c r="C46" s="103">
        <f>IF([1]Summ!$I1081="",0,[1]Summ!$I1081)</f>
        <v>0</v>
      </c>
      <c r="D46" s="37">
        <f t="shared" si="25"/>
        <v>0</v>
      </c>
      <c r="E46" s="74">
        <f>'Q2'!E46</f>
        <v>1</v>
      </c>
      <c r="F46" s="74">
        <f>'Q2'!F46</f>
        <v>1.1100000000000001</v>
      </c>
      <c r="G46" s="74">
        <f>'Q2'!G46</f>
        <v>1.65</v>
      </c>
      <c r="H46" s="23">
        <f t="shared" si="30"/>
        <v>1.1100000000000001</v>
      </c>
      <c r="I46" s="38">
        <f t="shared" si="31"/>
        <v>0</v>
      </c>
      <c r="J46" s="37">
        <f t="shared" si="32"/>
        <v>0</v>
      </c>
      <c r="K46" s="39">
        <f t="shared" si="33"/>
        <v>0</v>
      </c>
      <c r="L46" s="21">
        <f t="shared" si="34"/>
        <v>0</v>
      </c>
      <c r="M46" s="23">
        <f t="shared" si="35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40"/>
        <v>0</v>
      </c>
      <c r="AB46" s="155">
        <f>'Q2'!AB46</f>
        <v>0.25</v>
      </c>
      <c r="AC46" s="146">
        <f t="shared" si="41"/>
        <v>0</v>
      </c>
      <c r="AD46" s="155">
        <f>'Q2'!AD46</f>
        <v>0.25</v>
      </c>
      <c r="AE46" s="146">
        <f t="shared" si="42"/>
        <v>0</v>
      </c>
      <c r="AF46" s="121">
        <f t="shared" si="29"/>
        <v>0.25</v>
      </c>
      <c r="AG46" s="146">
        <f t="shared" si="36"/>
        <v>0</v>
      </c>
      <c r="AH46" s="122">
        <f t="shared" si="37"/>
        <v>1</v>
      </c>
      <c r="AI46" s="111">
        <f t="shared" si="37"/>
        <v>0</v>
      </c>
      <c r="AJ46" s="147">
        <f t="shared" si="38"/>
        <v>0</v>
      </c>
      <c r="AK46" s="146">
        <f t="shared" si="39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73" t="str">
        <f>IF('Q2'!A47=0,"",'Q2'!A47)</f>
        <v/>
      </c>
      <c r="B47" s="103">
        <f>IF([1]Summ!$H1082="",0,[1]Summ!$H1082)</f>
        <v>0</v>
      </c>
      <c r="C47" s="103">
        <f>IF([1]Summ!$I1082="",0,[1]Summ!$I1082)</f>
        <v>0</v>
      </c>
      <c r="D47" s="37">
        <f t="shared" si="25"/>
        <v>0</v>
      </c>
      <c r="E47" s="74">
        <f>'Q2'!E47</f>
        <v>1</v>
      </c>
      <c r="F47" s="74">
        <f>'Q2'!F47</f>
        <v>1</v>
      </c>
      <c r="G47" s="74">
        <f>'Q2'!G47</f>
        <v>1.65</v>
      </c>
      <c r="H47" s="23">
        <f t="shared" si="30"/>
        <v>1</v>
      </c>
      <c r="I47" s="38">
        <f t="shared" si="31"/>
        <v>0</v>
      </c>
      <c r="J47" s="37">
        <f t="shared" si="32"/>
        <v>0</v>
      </c>
      <c r="K47" s="39">
        <f t="shared" si="33"/>
        <v>0</v>
      </c>
      <c r="L47" s="21">
        <f t="shared" si="34"/>
        <v>0</v>
      </c>
      <c r="M47" s="23">
        <f t="shared" si="35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40"/>
        <v>0</v>
      </c>
      <c r="AB47" s="155">
        <f>'Q2'!AB47</f>
        <v>0.25</v>
      </c>
      <c r="AC47" s="146">
        <f t="shared" si="41"/>
        <v>0</v>
      </c>
      <c r="AD47" s="155">
        <f>'Q2'!AD47</f>
        <v>0.25</v>
      </c>
      <c r="AE47" s="146">
        <f t="shared" si="42"/>
        <v>0</v>
      </c>
      <c r="AF47" s="121">
        <f t="shared" si="29"/>
        <v>0.25</v>
      </c>
      <c r="AG47" s="146">
        <f t="shared" si="36"/>
        <v>0</v>
      </c>
      <c r="AH47" s="122">
        <f t="shared" si="37"/>
        <v>1</v>
      </c>
      <c r="AI47" s="111">
        <f t="shared" si="37"/>
        <v>0</v>
      </c>
      <c r="AJ47" s="147">
        <f t="shared" si="38"/>
        <v>0</v>
      </c>
      <c r="AK47" s="146">
        <f t="shared" si="39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73" t="str">
        <f>IF('Q2'!A48=0,"",'Q2'!A48)</f>
        <v/>
      </c>
      <c r="B48" s="103">
        <f>IF([1]Summ!$H1083="",0,[1]Summ!$H1083)</f>
        <v>0</v>
      </c>
      <c r="C48" s="103">
        <f>IF([1]Summ!$I1083="",0,[1]Summ!$I1083)</f>
        <v>0</v>
      </c>
      <c r="D48" s="37">
        <f t="shared" si="25"/>
        <v>0</v>
      </c>
      <c r="E48" s="74">
        <f>'Q2'!E48</f>
        <v>1</v>
      </c>
      <c r="F48" s="74">
        <f>'Q2'!F48</f>
        <v>1</v>
      </c>
      <c r="G48" s="74">
        <f>'Q2'!G48</f>
        <v>1.65</v>
      </c>
      <c r="H48" s="23">
        <f t="shared" si="30"/>
        <v>1</v>
      </c>
      <c r="I48" s="38">
        <f t="shared" si="31"/>
        <v>0</v>
      </c>
      <c r="J48" s="37">
        <f t="shared" si="32"/>
        <v>0</v>
      </c>
      <c r="K48" s="39">
        <f t="shared" si="33"/>
        <v>0</v>
      </c>
      <c r="L48" s="21">
        <f t="shared" si="34"/>
        <v>0</v>
      </c>
      <c r="M48" s="23">
        <f t="shared" si="35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40"/>
        <v>0</v>
      </c>
      <c r="AB48" s="155">
        <f>'Q2'!AB48</f>
        <v>0.25</v>
      </c>
      <c r="AC48" s="146">
        <f t="shared" si="41"/>
        <v>0</v>
      </c>
      <c r="AD48" s="155">
        <f>'Q2'!AD48</f>
        <v>0.25</v>
      </c>
      <c r="AE48" s="146">
        <f t="shared" si="42"/>
        <v>0</v>
      </c>
      <c r="AF48" s="121">
        <f t="shared" si="29"/>
        <v>0.25</v>
      </c>
      <c r="AG48" s="146">
        <f t="shared" si="36"/>
        <v>0</v>
      </c>
      <c r="AH48" s="122">
        <f t="shared" si="37"/>
        <v>1</v>
      </c>
      <c r="AI48" s="111">
        <f t="shared" si="37"/>
        <v>0</v>
      </c>
      <c r="AJ48" s="147">
        <f t="shared" si="38"/>
        <v>0</v>
      </c>
      <c r="AK48" s="146">
        <f t="shared" si="39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73" t="str">
        <f>IF('Q2'!A49=0,"",'Q2'!A49)</f>
        <v/>
      </c>
      <c r="B49" s="103">
        <f>IF([1]Summ!$H1084="",0,[1]Summ!$H1084)</f>
        <v>0</v>
      </c>
      <c r="C49" s="103">
        <f>IF([1]Summ!$I1084="",0,[1]Summ!$I1084)</f>
        <v>0</v>
      </c>
      <c r="D49" s="37">
        <f t="shared" si="25"/>
        <v>0</v>
      </c>
      <c r="E49" s="74">
        <f>'Q2'!E49</f>
        <v>1</v>
      </c>
      <c r="F49" s="74">
        <f>'Q2'!F49</f>
        <v>1</v>
      </c>
      <c r="G49" s="74">
        <f>'Q2'!G49</f>
        <v>1.65</v>
      </c>
      <c r="H49" s="23">
        <f t="shared" si="30"/>
        <v>1</v>
      </c>
      <c r="I49" s="38">
        <f t="shared" si="31"/>
        <v>0</v>
      </c>
      <c r="J49" s="37">
        <f t="shared" si="32"/>
        <v>0</v>
      </c>
      <c r="K49" s="39">
        <f t="shared" si="33"/>
        <v>0</v>
      </c>
      <c r="L49" s="21">
        <f t="shared" si="34"/>
        <v>0</v>
      </c>
      <c r="M49" s="23">
        <f t="shared" si="35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40"/>
        <v>0</v>
      </c>
      <c r="AB49" s="155">
        <f>'Q2'!AB49</f>
        <v>0.25</v>
      </c>
      <c r="AC49" s="146">
        <f t="shared" si="41"/>
        <v>0</v>
      </c>
      <c r="AD49" s="155">
        <f>'Q2'!AD49</f>
        <v>0.25</v>
      </c>
      <c r="AE49" s="146">
        <f t="shared" si="42"/>
        <v>0</v>
      </c>
      <c r="AF49" s="121">
        <f t="shared" si="29"/>
        <v>0.25</v>
      </c>
      <c r="AG49" s="146">
        <f t="shared" si="36"/>
        <v>0</v>
      </c>
      <c r="AH49" s="122">
        <f t="shared" si="37"/>
        <v>1</v>
      </c>
      <c r="AI49" s="111">
        <f t="shared" si="37"/>
        <v>0</v>
      </c>
      <c r="AJ49" s="147">
        <f t="shared" si="38"/>
        <v>0</v>
      </c>
      <c r="AK49" s="146">
        <f t="shared" si="39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73" t="str">
        <f>IF('Q2'!A50=0,"",'Q2'!A50)</f>
        <v/>
      </c>
      <c r="B50" s="103">
        <f>IF([1]Summ!$H1085="",0,[1]Summ!$H1085)</f>
        <v>0</v>
      </c>
      <c r="C50" s="103">
        <f>IF([1]Summ!$I1085="",0,[1]Summ!$I1085)</f>
        <v>0</v>
      </c>
      <c r="D50" s="37">
        <f t="shared" si="25"/>
        <v>0</v>
      </c>
      <c r="E50" s="74">
        <f>'Q2'!E50</f>
        <v>1</v>
      </c>
      <c r="F50" s="74">
        <f>'Q2'!F50</f>
        <v>1</v>
      </c>
      <c r="G50" s="74">
        <f>'Q2'!G50</f>
        <v>1.65</v>
      </c>
      <c r="H50" s="23">
        <f t="shared" si="30"/>
        <v>1</v>
      </c>
      <c r="I50" s="38">
        <f t="shared" si="31"/>
        <v>0</v>
      </c>
      <c r="J50" s="37">
        <f t="shared" si="32"/>
        <v>0</v>
      </c>
      <c r="K50" s="39">
        <f t="shared" si="33"/>
        <v>0</v>
      </c>
      <c r="L50" s="21">
        <f t="shared" si="34"/>
        <v>0</v>
      </c>
      <c r="M50" s="23">
        <f t="shared" si="35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40"/>
        <v>0</v>
      </c>
      <c r="AB50" s="155">
        <f>'Q2'!AB55</f>
        <v>0.25</v>
      </c>
      <c r="AC50" s="146">
        <f t="shared" si="41"/>
        <v>0</v>
      </c>
      <c r="AD50" s="155">
        <f>'Q2'!AD55</f>
        <v>0.25</v>
      </c>
      <c r="AE50" s="146">
        <f t="shared" si="42"/>
        <v>0</v>
      </c>
      <c r="AF50" s="121">
        <f t="shared" si="29"/>
        <v>0.25</v>
      </c>
      <c r="AG50" s="146">
        <f t="shared" si="36"/>
        <v>0</v>
      </c>
      <c r="AH50" s="122">
        <f t="shared" si="37"/>
        <v>1</v>
      </c>
      <c r="AI50" s="111">
        <f t="shared" si="37"/>
        <v>0</v>
      </c>
      <c r="AJ50" s="147">
        <f t="shared" si="38"/>
        <v>0</v>
      </c>
      <c r="AK50" s="146">
        <f t="shared" si="39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73" t="str">
        <f>IF('Q2'!A51=0,"",'Q2'!A51)</f>
        <v/>
      </c>
      <c r="B51" s="103">
        <f>IF([1]Summ!$H1086="",0,[1]Summ!$H1086)</f>
        <v>0</v>
      </c>
      <c r="C51" s="103">
        <f>IF([1]Summ!$I1086="",0,[1]Summ!$I1086)</f>
        <v>0</v>
      </c>
      <c r="D51" s="37">
        <f t="shared" si="25"/>
        <v>0</v>
      </c>
      <c r="E51" s="74">
        <f>'Q2'!E51</f>
        <v>1</v>
      </c>
      <c r="F51" s="74">
        <f>'Q2'!F51</f>
        <v>1</v>
      </c>
      <c r="G51" s="74">
        <f>'Q2'!G51</f>
        <v>1.65</v>
      </c>
      <c r="H51" s="23">
        <f t="shared" si="30"/>
        <v>1</v>
      </c>
      <c r="I51" s="38">
        <f t="shared" si="31"/>
        <v>0</v>
      </c>
      <c r="J51" s="37">
        <f t="shared" si="32"/>
        <v>0</v>
      </c>
      <c r="K51" s="39">
        <f t="shared" si="33"/>
        <v>0</v>
      </c>
      <c r="L51" s="21">
        <f t="shared" si="34"/>
        <v>0</v>
      </c>
      <c r="M51" s="23">
        <f t="shared" si="35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40"/>
        <v>0</v>
      </c>
      <c r="AB51" s="155">
        <f>'Q2'!AB56</f>
        <v>0.25</v>
      </c>
      <c r="AC51" s="146">
        <f t="shared" si="41"/>
        <v>0</v>
      </c>
      <c r="AD51" s="155">
        <f>'Q2'!AD56</f>
        <v>0.25</v>
      </c>
      <c r="AE51" s="146">
        <f t="shared" si="42"/>
        <v>0</v>
      </c>
      <c r="AF51" s="121">
        <f t="shared" si="29"/>
        <v>0.25</v>
      </c>
      <c r="AG51" s="146">
        <f t="shared" si="36"/>
        <v>0</v>
      </c>
      <c r="AH51" s="122">
        <f t="shared" si="37"/>
        <v>1</v>
      </c>
      <c r="AI51" s="111">
        <f t="shared" si="37"/>
        <v>0</v>
      </c>
      <c r="AJ51" s="147">
        <f t="shared" si="38"/>
        <v>0</v>
      </c>
      <c r="AK51" s="146">
        <f t="shared" si="39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73" t="str">
        <f>IF('Q2'!A52=0,"",'Q2'!A52)</f>
        <v/>
      </c>
      <c r="B52" s="103">
        <f>IF([1]Summ!$H1087="",0,[1]Summ!$H1087)</f>
        <v>0</v>
      </c>
      <c r="C52" s="103">
        <f>IF([1]Summ!$I1087="",0,[1]Summ!$I1087)</f>
        <v>0</v>
      </c>
      <c r="D52" s="37">
        <f t="shared" si="25"/>
        <v>0</v>
      </c>
      <c r="E52" s="74">
        <f>'Q2'!E52</f>
        <v>1</v>
      </c>
      <c r="F52" s="74">
        <f>'Q2'!F52</f>
        <v>1</v>
      </c>
      <c r="G52" s="74">
        <f>'Q2'!G52</f>
        <v>1.65</v>
      </c>
      <c r="H52" s="23">
        <f t="shared" si="30"/>
        <v>1</v>
      </c>
      <c r="I52" s="38">
        <f t="shared" si="31"/>
        <v>0</v>
      </c>
      <c r="J52" s="37">
        <f t="shared" si="32"/>
        <v>0</v>
      </c>
      <c r="K52" s="39">
        <f t="shared" si="33"/>
        <v>0</v>
      </c>
      <c r="L52" s="21">
        <f t="shared" si="34"/>
        <v>0</v>
      </c>
      <c r="M52" s="23">
        <f t="shared" si="35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40"/>
        <v>0</v>
      </c>
      <c r="AB52" s="155">
        <f>'Q2'!AB57</f>
        <v>0.25</v>
      </c>
      <c r="AC52" s="146">
        <f t="shared" si="41"/>
        <v>0</v>
      </c>
      <c r="AD52" s="155">
        <f>'Q2'!AD57</f>
        <v>0.25</v>
      </c>
      <c r="AE52" s="146">
        <f t="shared" si="42"/>
        <v>0</v>
      </c>
      <c r="AF52" s="121">
        <f t="shared" si="29"/>
        <v>0.25</v>
      </c>
      <c r="AG52" s="146">
        <f t="shared" si="36"/>
        <v>0</v>
      </c>
      <c r="AH52" s="122">
        <f t="shared" si="37"/>
        <v>1</v>
      </c>
      <c r="AI52" s="111">
        <f t="shared" si="37"/>
        <v>0</v>
      </c>
      <c r="AJ52" s="147">
        <f t="shared" si="38"/>
        <v>0</v>
      </c>
      <c r="AK52" s="146">
        <f t="shared" si="39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73" t="str">
        <f>IF('Q2'!A53=0,"",'Q2'!A53)</f>
        <v/>
      </c>
      <c r="B53" s="103">
        <f>IF([1]Summ!$H1088="",0,[1]Summ!$H1088)</f>
        <v>0</v>
      </c>
      <c r="C53" s="103">
        <f>IF([1]Summ!$I1088="",0,[1]Summ!$I1088)</f>
        <v>0</v>
      </c>
      <c r="D53" s="37">
        <f t="shared" si="25"/>
        <v>0</v>
      </c>
      <c r="E53" s="74">
        <f>'Q2'!E53</f>
        <v>1</v>
      </c>
      <c r="F53" s="74">
        <f>'Q2'!F53</f>
        <v>1</v>
      </c>
      <c r="G53" s="74">
        <f>'Q2'!G53</f>
        <v>1.65</v>
      </c>
      <c r="H53" s="23">
        <f t="shared" si="30"/>
        <v>1</v>
      </c>
      <c r="I53" s="38">
        <f t="shared" si="31"/>
        <v>0</v>
      </c>
      <c r="J53" s="37">
        <f t="shared" si="32"/>
        <v>0</v>
      </c>
      <c r="K53" s="39">
        <f t="shared" si="33"/>
        <v>0</v>
      </c>
      <c r="L53" s="21">
        <f t="shared" si="34"/>
        <v>0</v>
      </c>
      <c r="M53" s="23">
        <f t="shared" si="35"/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73" t="str">
        <f>IF('Q2'!A54=0,"",'Q2'!A54)</f>
        <v/>
      </c>
      <c r="B54" s="103">
        <f>IF([1]Summ!$H1089="",0,[1]Summ!$H1089)</f>
        <v>0</v>
      </c>
      <c r="C54" s="103">
        <f>IF([1]Summ!$I1089="",0,[1]Summ!$I1089)</f>
        <v>0</v>
      </c>
      <c r="D54" s="37">
        <f t="shared" si="25"/>
        <v>0</v>
      </c>
      <c r="E54" s="74">
        <f>'Q2'!E54</f>
        <v>1</v>
      </c>
      <c r="F54" s="74">
        <f>'Q2'!F54</f>
        <v>1</v>
      </c>
      <c r="G54" s="74">
        <f>'Q2'!G54</f>
        <v>1.65</v>
      </c>
      <c r="H54" s="23">
        <f t="shared" si="30"/>
        <v>1</v>
      </c>
      <c r="I54" s="38">
        <f t="shared" si="31"/>
        <v>0</v>
      </c>
      <c r="J54" s="37">
        <f t="shared" si="32"/>
        <v>0</v>
      </c>
      <c r="K54" s="39">
        <f t="shared" si="33"/>
        <v>0</v>
      </c>
      <c r="L54" s="21">
        <f t="shared" si="34"/>
        <v>0</v>
      </c>
      <c r="M54" s="23">
        <f t="shared" si="3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73" t="str">
        <f>IF('Q2'!A55=0,"",'Q2'!A55)</f>
        <v/>
      </c>
      <c r="B55" s="103">
        <f>IF([1]Summ!$H1090="",0,[1]Summ!$H1090)</f>
        <v>0</v>
      </c>
      <c r="C55" s="103">
        <f>IF([1]Summ!$I1090="",0,[1]Summ!$I1090)</f>
        <v>0</v>
      </c>
      <c r="D55" s="37">
        <f t="shared" si="25"/>
        <v>0</v>
      </c>
      <c r="E55" s="74">
        <f>'Q2'!E55</f>
        <v>1</v>
      </c>
      <c r="F55" s="74">
        <f>'Q2'!F55</f>
        <v>1</v>
      </c>
      <c r="G55" s="74">
        <f>'Q2'!G55</f>
        <v>1.65</v>
      </c>
      <c r="H55" s="23">
        <f t="shared" si="30"/>
        <v>1</v>
      </c>
      <c r="I55" s="38">
        <f t="shared" si="31"/>
        <v>0</v>
      </c>
      <c r="J55" s="37">
        <f t="shared" si="32"/>
        <v>0</v>
      </c>
      <c r="K55" s="39">
        <f t="shared" si="33"/>
        <v>0</v>
      </c>
      <c r="L55" s="21">
        <f t="shared" si="34"/>
        <v>0</v>
      </c>
      <c r="M55" s="23">
        <f t="shared" si="3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73" t="str">
        <f>IF('Q2'!A56=0,"",'Q2'!A56)</f>
        <v/>
      </c>
      <c r="B56" s="103">
        <f>IF([1]Summ!$H1091="",0,[1]Summ!$H1091)</f>
        <v>0</v>
      </c>
      <c r="C56" s="103">
        <f>IF([1]Summ!$I1091="",0,[1]Summ!$I1091)</f>
        <v>0</v>
      </c>
      <c r="D56" s="37">
        <f t="shared" si="25"/>
        <v>0</v>
      </c>
      <c r="E56" s="74">
        <f>'Q2'!E56</f>
        <v>1</v>
      </c>
      <c r="F56" s="74">
        <f>'Q2'!F56</f>
        <v>1</v>
      </c>
      <c r="G56" s="74">
        <f>'Q2'!G56</f>
        <v>1.65</v>
      </c>
      <c r="H56" s="23">
        <f t="shared" si="30"/>
        <v>1</v>
      </c>
      <c r="I56" s="38">
        <f t="shared" si="31"/>
        <v>0</v>
      </c>
      <c r="J56" s="37">
        <f t="shared" si="32"/>
        <v>0</v>
      </c>
      <c r="K56" s="39">
        <f t="shared" si="33"/>
        <v>0</v>
      </c>
      <c r="L56" s="21">
        <f t="shared" si="34"/>
        <v>0</v>
      </c>
      <c r="M56" s="23">
        <f t="shared" si="3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73" t="str">
        <f>IF('Q2'!A57=0,"",'Q2'!A57)</f>
        <v/>
      </c>
      <c r="B57" s="103">
        <f>IF([1]Summ!$H1092="",0,[1]Summ!$H1092)</f>
        <v>0</v>
      </c>
      <c r="C57" s="103">
        <f>IF([1]Summ!$I1092="",0,[1]Summ!$I1092)</f>
        <v>0</v>
      </c>
      <c r="D57" s="37">
        <f t="shared" si="25"/>
        <v>0</v>
      </c>
      <c r="E57" s="74">
        <f>'Q2'!E57</f>
        <v>1</v>
      </c>
      <c r="F57" s="74">
        <f>'Q2'!F57</f>
        <v>1</v>
      </c>
      <c r="G57" s="74">
        <f>'Q2'!G57</f>
        <v>1.65</v>
      </c>
      <c r="H57" s="23">
        <f t="shared" si="30"/>
        <v>1</v>
      </c>
      <c r="I57" s="38">
        <f t="shared" si="31"/>
        <v>0</v>
      </c>
      <c r="J57" s="37">
        <f t="shared" si="32"/>
        <v>0</v>
      </c>
      <c r="K57" s="39">
        <f t="shared" si="33"/>
        <v>0</v>
      </c>
      <c r="L57" s="21">
        <f t="shared" si="34"/>
        <v>0</v>
      </c>
      <c r="M57" s="23">
        <f t="shared" si="3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73" t="str">
        <f>IF('Q2'!A58=0,"",'Q2'!A58)</f>
        <v/>
      </c>
      <c r="B58" s="103">
        <f>IF([1]Summ!$H1093="",0,[1]Summ!$H1093)</f>
        <v>0</v>
      </c>
      <c r="C58" s="103">
        <f>IF([1]Summ!$I1093="",0,[1]Summ!$I1093)</f>
        <v>0</v>
      </c>
      <c r="D58" s="37">
        <f t="shared" si="25"/>
        <v>0</v>
      </c>
      <c r="E58" s="74">
        <f>'Q2'!E58</f>
        <v>1</v>
      </c>
      <c r="F58" s="74">
        <f>'Q2'!F58</f>
        <v>1</v>
      </c>
      <c r="G58" s="74">
        <f>'Q2'!G58</f>
        <v>1.65</v>
      </c>
      <c r="H58" s="23">
        <f t="shared" si="30"/>
        <v>1</v>
      </c>
      <c r="I58" s="38">
        <f t="shared" si="31"/>
        <v>0</v>
      </c>
      <c r="J58" s="37">
        <f t="shared" si="32"/>
        <v>0</v>
      </c>
      <c r="K58" s="39">
        <f t="shared" si="33"/>
        <v>0</v>
      </c>
      <c r="L58" s="21">
        <f t="shared" si="34"/>
        <v>0</v>
      </c>
      <c r="M58" s="23">
        <f t="shared" si="3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40"/>
        <v>0</v>
      </c>
      <c r="AB58" s="155">
        <f>'Q2'!AB58</f>
        <v>0.25</v>
      </c>
      <c r="AC58" s="146">
        <f t="shared" si="41"/>
        <v>0</v>
      </c>
      <c r="AD58" s="155">
        <f>'Q2'!AD58</f>
        <v>0.25</v>
      </c>
      <c r="AE58" s="146">
        <f t="shared" si="42"/>
        <v>0</v>
      </c>
      <c r="AF58" s="121">
        <f t="shared" si="29"/>
        <v>0.25</v>
      </c>
      <c r="AG58" s="146">
        <f t="shared" si="36"/>
        <v>0</v>
      </c>
      <c r="AH58" s="122">
        <f t="shared" si="37"/>
        <v>1</v>
      </c>
      <c r="AI58" s="111">
        <f t="shared" si="37"/>
        <v>0</v>
      </c>
      <c r="AJ58" s="147">
        <f t="shared" si="38"/>
        <v>0</v>
      </c>
      <c r="AK58" s="146">
        <f t="shared" si="39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73" t="str">
        <f>IF('Q2'!A59=0,"",'Q2'!A59)</f>
        <v/>
      </c>
      <c r="B59" s="103">
        <f>IF([1]Summ!$H1094="",0,[1]Summ!$H1094)</f>
        <v>0</v>
      </c>
      <c r="C59" s="103">
        <f>IF([1]Summ!$I1094="",0,[1]Summ!$I1094)</f>
        <v>0</v>
      </c>
      <c r="D59" s="37">
        <f t="shared" si="25"/>
        <v>0</v>
      </c>
      <c r="E59" s="74">
        <f>'Q2'!E59</f>
        <v>1</v>
      </c>
      <c r="F59" s="74">
        <f>'Q2'!F59</f>
        <v>1</v>
      </c>
      <c r="G59" s="74">
        <f>'Q2'!G59</f>
        <v>1.65</v>
      </c>
      <c r="H59" s="23">
        <f t="shared" si="30"/>
        <v>1</v>
      </c>
      <c r="I59" s="38">
        <f t="shared" si="31"/>
        <v>0</v>
      </c>
      <c r="J59" s="37">
        <f t="shared" si="32"/>
        <v>0</v>
      </c>
      <c r="K59" s="39">
        <f t="shared" si="33"/>
        <v>0</v>
      </c>
      <c r="L59" s="21">
        <f t="shared" si="34"/>
        <v>0</v>
      </c>
      <c r="M59" s="23">
        <f t="shared" si="3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40"/>
        <v>0</v>
      </c>
      <c r="AB59" s="155">
        <f>'Q2'!AB59</f>
        <v>0.25</v>
      </c>
      <c r="AC59" s="146">
        <f t="shared" si="41"/>
        <v>0</v>
      </c>
      <c r="AD59" s="155">
        <f>'Q2'!AD59</f>
        <v>0.25</v>
      </c>
      <c r="AE59" s="146">
        <f t="shared" si="42"/>
        <v>0</v>
      </c>
      <c r="AF59" s="121">
        <f t="shared" si="29"/>
        <v>0.25</v>
      </c>
      <c r="AG59" s="146">
        <f t="shared" si="36"/>
        <v>0</v>
      </c>
      <c r="AH59" s="122">
        <f t="shared" ref="AH59:AI64" si="43">SUM(Z59,AB59,AD59,AF59)</f>
        <v>1</v>
      </c>
      <c r="AI59" s="111">
        <f t="shared" si="43"/>
        <v>0</v>
      </c>
      <c r="AJ59" s="147">
        <f t="shared" si="38"/>
        <v>0</v>
      </c>
      <c r="AK59" s="146">
        <f t="shared" si="39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73" t="str">
        <f>IF('Q2'!A60=0,"",'Q2'!A60)</f>
        <v/>
      </c>
      <c r="B60" s="103">
        <f>IF([1]Summ!$H1095="",0,[1]Summ!$H1095)</f>
        <v>0</v>
      </c>
      <c r="C60" s="103">
        <f>IF([1]Summ!$I1095="",0,[1]Summ!$I1095)</f>
        <v>0</v>
      </c>
      <c r="D60" s="37">
        <f t="shared" si="25"/>
        <v>0</v>
      </c>
      <c r="E60" s="74">
        <f>'Q2'!E60</f>
        <v>1</v>
      </c>
      <c r="F60" s="74">
        <f>'Q2'!F60</f>
        <v>1</v>
      </c>
      <c r="G60" s="74">
        <f>'Q2'!G60</f>
        <v>1.65</v>
      </c>
      <c r="H60" s="23">
        <f t="shared" si="30"/>
        <v>1</v>
      </c>
      <c r="I60" s="38">
        <f t="shared" si="31"/>
        <v>0</v>
      </c>
      <c r="J60" s="37">
        <f t="shared" si="32"/>
        <v>0</v>
      </c>
      <c r="K60" s="39">
        <f t="shared" si="33"/>
        <v>0</v>
      </c>
      <c r="L60" s="21">
        <f t="shared" si="34"/>
        <v>0</v>
      </c>
      <c r="M60" s="23">
        <f t="shared" si="3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40"/>
        <v>0</v>
      </c>
      <c r="AB60" s="155">
        <f>'Q2'!AB60</f>
        <v>0.25</v>
      </c>
      <c r="AC60" s="146">
        <f t="shared" si="41"/>
        <v>0</v>
      </c>
      <c r="AD60" s="155">
        <f>'Q2'!AD60</f>
        <v>0.25</v>
      </c>
      <c r="AE60" s="146">
        <f t="shared" si="42"/>
        <v>0</v>
      </c>
      <c r="AF60" s="121">
        <f t="shared" si="29"/>
        <v>0.25</v>
      </c>
      <c r="AG60" s="146">
        <f t="shared" si="36"/>
        <v>0</v>
      </c>
      <c r="AH60" s="122">
        <f t="shared" si="43"/>
        <v>1</v>
      </c>
      <c r="AI60" s="111">
        <f t="shared" si="43"/>
        <v>0</v>
      </c>
      <c r="AJ60" s="147">
        <f t="shared" si="38"/>
        <v>0</v>
      </c>
      <c r="AK60" s="146">
        <f t="shared" si="39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73" t="str">
        <f>IF('Q2'!A61=0,"",'Q2'!A61)</f>
        <v/>
      </c>
      <c r="B61" s="103">
        <f>IF([1]Summ!$H1096="",0,[1]Summ!$H1096)</f>
        <v>0</v>
      </c>
      <c r="C61" s="103">
        <f>IF([1]Summ!$I1096="",0,[1]Summ!$I1096)</f>
        <v>0</v>
      </c>
      <c r="D61" s="37">
        <f t="shared" si="25"/>
        <v>0</v>
      </c>
      <c r="E61" s="74">
        <f>'Q2'!E61</f>
        <v>1</v>
      </c>
      <c r="F61" s="74">
        <f>'Q2'!F61</f>
        <v>1</v>
      </c>
      <c r="G61" s="74">
        <f>'Q2'!G61</f>
        <v>1.65</v>
      </c>
      <c r="H61" s="23">
        <f t="shared" si="30"/>
        <v>1</v>
      </c>
      <c r="I61" s="38">
        <f t="shared" si="31"/>
        <v>0</v>
      </c>
      <c r="J61" s="37">
        <f t="shared" si="32"/>
        <v>0</v>
      </c>
      <c r="K61" s="39">
        <f t="shared" si="33"/>
        <v>0</v>
      </c>
      <c r="L61" s="21">
        <f t="shared" si="34"/>
        <v>0</v>
      </c>
      <c r="M61" s="23">
        <f t="shared" si="3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40"/>
        <v>0</v>
      </c>
      <c r="AB61" s="155">
        <f>'Q2'!AB61</f>
        <v>0.25</v>
      </c>
      <c r="AC61" s="146">
        <f t="shared" si="41"/>
        <v>0</v>
      </c>
      <c r="AD61" s="155">
        <f>'Q2'!AD61</f>
        <v>0.25</v>
      </c>
      <c r="AE61" s="146">
        <f t="shared" si="42"/>
        <v>0</v>
      </c>
      <c r="AF61" s="121">
        <f t="shared" si="29"/>
        <v>0.25</v>
      </c>
      <c r="AG61" s="146">
        <f t="shared" si="36"/>
        <v>0</v>
      </c>
      <c r="AH61" s="122">
        <f t="shared" si="43"/>
        <v>1</v>
      </c>
      <c r="AI61" s="111">
        <f t="shared" si="43"/>
        <v>0</v>
      </c>
      <c r="AJ61" s="147">
        <f t="shared" si="38"/>
        <v>0</v>
      </c>
      <c r="AK61" s="146">
        <f t="shared" si="39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73" t="str">
        <f>IF('Q2'!A62=0,"",'Q2'!A62)</f>
        <v/>
      </c>
      <c r="B62" s="103">
        <f>IF([1]Summ!$H1097="",0,[1]Summ!$H1097)</f>
        <v>0</v>
      </c>
      <c r="C62" s="103">
        <f>IF([1]Summ!$I1097="",0,[1]Summ!$I1097)</f>
        <v>0</v>
      </c>
      <c r="D62" s="37">
        <f t="shared" si="25"/>
        <v>0</v>
      </c>
      <c r="E62" s="74">
        <f>'Q2'!E62</f>
        <v>1</v>
      </c>
      <c r="F62" s="74">
        <f>'Q2'!F62</f>
        <v>1</v>
      </c>
      <c r="G62" s="74">
        <f>'Q2'!G62</f>
        <v>1.65</v>
      </c>
      <c r="H62" s="23">
        <f t="shared" si="30"/>
        <v>1</v>
      </c>
      <c r="I62" s="38">
        <f t="shared" si="31"/>
        <v>0</v>
      </c>
      <c r="J62" s="37">
        <f t="shared" si="32"/>
        <v>0</v>
      </c>
      <c r="K62" s="39">
        <f t="shared" si="33"/>
        <v>0</v>
      </c>
      <c r="L62" s="21">
        <f t="shared" si="34"/>
        <v>0</v>
      </c>
      <c r="M62" s="23">
        <f t="shared" si="3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40"/>
        <v>0</v>
      </c>
      <c r="AB62" s="155">
        <f>'Q2'!AB62</f>
        <v>0.25</v>
      </c>
      <c r="AC62" s="146">
        <f t="shared" si="41"/>
        <v>0</v>
      </c>
      <c r="AD62" s="155">
        <f>'Q2'!AD62</f>
        <v>0.25</v>
      </c>
      <c r="AE62" s="146">
        <f t="shared" si="42"/>
        <v>0</v>
      </c>
      <c r="AF62" s="121">
        <f t="shared" si="29"/>
        <v>0.25</v>
      </c>
      <c r="AG62" s="146">
        <f t="shared" si="36"/>
        <v>0</v>
      </c>
      <c r="AH62" s="122">
        <f t="shared" si="43"/>
        <v>1</v>
      </c>
      <c r="AI62" s="111">
        <f t="shared" si="43"/>
        <v>0</v>
      </c>
      <c r="AJ62" s="147">
        <f t="shared" si="38"/>
        <v>0</v>
      </c>
      <c r="AK62" s="146">
        <f t="shared" si="39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73" t="str">
        <f>IF('Q2'!A63=0,"",'Q2'!A63)</f>
        <v/>
      </c>
      <c r="B63" s="103">
        <f>IF([1]Summ!$H1098="",0,[1]Summ!$H1098)</f>
        <v>0</v>
      </c>
      <c r="C63" s="103">
        <f>IF([1]Summ!$I1098="",0,[1]Summ!$I1098)</f>
        <v>0</v>
      </c>
      <c r="D63" s="37">
        <f t="shared" si="25"/>
        <v>0</v>
      </c>
      <c r="E63" s="74">
        <f>'Q2'!E63</f>
        <v>1</v>
      </c>
      <c r="F63" s="74">
        <f>'Q2'!F63</f>
        <v>1</v>
      </c>
      <c r="G63" s="74">
        <f>'Q2'!G63</f>
        <v>1.65</v>
      </c>
      <c r="H63" s="23">
        <f t="shared" si="30"/>
        <v>1</v>
      </c>
      <c r="I63" s="38">
        <f t="shared" si="31"/>
        <v>0</v>
      </c>
      <c r="J63" s="37">
        <f t="shared" si="32"/>
        <v>0</v>
      </c>
      <c r="K63" s="39">
        <f t="shared" si="33"/>
        <v>0</v>
      </c>
      <c r="L63" s="21">
        <f t="shared" si="34"/>
        <v>0</v>
      </c>
      <c r="M63" s="23">
        <f t="shared" si="3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40"/>
        <v>0</v>
      </c>
      <c r="AB63" s="155">
        <f>'Q2'!AB63</f>
        <v>0.25</v>
      </c>
      <c r="AC63" s="146">
        <f t="shared" si="41"/>
        <v>0</v>
      </c>
      <c r="AD63" s="155">
        <f>'Q2'!AD63</f>
        <v>0.25</v>
      </c>
      <c r="AE63" s="146">
        <f t="shared" si="42"/>
        <v>0</v>
      </c>
      <c r="AF63" s="121">
        <f t="shared" si="29"/>
        <v>0.25</v>
      </c>
      <c r="AG63" s="146">
        <f t="shared" si="36"/>
        <v>0</v>
      </c>
      <c r="AH63" s="122">
        <f t="shared" si="43"/>
        <v>1</v>
      </c>
      <c r="AI63" s="111">
        <f t="shared" si="43"/>
        <v>0</v>
      </c>
      <c r="AJ63" s="147">
        <f t="shared" si="38"/>
        <v>0</v>
      </c>
      <c r="AK63" s="146">
        <f t="shared" si="39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73" t="str">
        <f>IF('Q2'!A64=0,"",'Q2'!A64)</f>
        <v/>
      </c>
      <c r="B64" s="103">
        <f>IF([1]Summ!$H1099="",0,[1]Summ!$H1099)</f>
        <v>0</v>
      </c>
      <c r="C64" s="103">
        <f>IF([1]Summ!$I1099="",0,[1]Summ!$I1099)</f>
        <v>0</v>
      </c>
      <c r="D64" s="37">
        <f t="shared" si="25"/>
        <v>0</v>
      </c>
      <c r="E64" s="74">
        <f>'Q2'!E64</f>
        <v>1</v>
      </c>
      <c r="F64" s="74">
        <f>'Q2'!F64</f>
        <v>1</v>
      </c>
      <c r="G64" s="74">
        <f>'Q2'!G64</f>
        <v>1.65</v>
      </c>
      <c r="H64" s="23">
        <f t="shared" si="30"/>
        <v>1</v>
      </c>
      <c r="I64" s="38">
        <f t="shared" si="31"/>
        <v>0</v>
      </c>
      <c r="J64" s="37">
        <f t="shared" si="32"/>
        <v>0</v>
      </c>
      <c r="K64" s="39">
        <f t="shared" si="33"/>
        <v>0</v>
      </c>
      <c r="L64" s="21">
        <f t="shared" si="34"/>
        <v>0</v>
      </c>
      <c r="M64" s="23">
        <f t="shared" si="3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40"/>
        <v>0</v>
      </c>
      <c r="AB64" s="155">
        <f>'Q2'!AB64</f>
        <v>0.25</v>
      </c>
      <c r="AC64" s="148">
        <f t="shared" si="41"/>
        <v>0</v>
      </c>
      <c r="AD64" s="155">
        <f>'Q2'!AD64</f>
        <v>0.25</v>
      </c>
      <c r="AE64" s="148">
        <f t="shared" si="42"/>
        <v>0</v>
      </c>
      <c r="AF64" s="149">
        <f t="shared" si="29"/>
        <v>0.25</v>
      </c>
      <c r="AG64" s="148">
        <f t="shared" si="36"/>
        <v>0</v>
      </c>
      <c r="AH64" s="122">
        <f t="shared" si="43"/>
        <v>1</v>
      </c>
      <c r="AI64" s="111">
        <f t="shared" si="43"/>
        <v>0</v>
      </c>
      <c r="AJ64" s="150">
        <f t="shared" si="38"/>
        <v>0</v>
      </c>
      <c r="AK64" s="148">
        <f t="shared" si="39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39948</v>
      </c>
      <c r="C65" s="38">
        <f>SUM(C37:C64)</f>
        <v>1404</v>
      </c>
      <c r="D65" s="41">
        <f>SUM(D37:D64)</f>
        <v>41352</v>
      </c>
      <c r="E65" s="31"/>
      <c r="F65" s="31"/>
      <c r="G65" s="31"/>
      <c r="H65" s="30"/>
      <c r="I65" s="38">
        <f>SUM(I37:I64)</f>
        <v>34961.1</v>
      </c>
      <c r="J65" s="38">
        <f>SUM(J37:J64)</f>
        <v>33832.142986859108</v>
      </c>
      <c r="K65" s="39">
        <f>SUM(K37:K64)</f>
        <v>1</v>
      </c>
      <c r="L65" s="21">
        <f>SUM(L37:L64)</f>
        <v>0.84001952538299784</v>
      </c>
      <c r="M65" s="23">
        <f>SUM(M37:M64)</f>
        <v>0.84690455058724101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140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[1]Summ!$H1031</f>
        <v>7481.7445312178415</v>
      </c>
      <c r="C70" s="38"/>
      <c r="D70" s="37"/>
      <c r="E70" s="74">
        <f>'Q2'!E70</f>
        <v>1</v>
      </c>
      <c r="F70" s="74">
        <f>'Q2'!F70</f>
        <v>1.4</v>
      </c>
      <c r="G70" s="21"/>
      <c r="H70" s="23">
        <f>(E70*F70)</f>
        <v>1.4</v>
      </c>
      <c r="I70" s="38">
        <f>I124*I$83</f>
        <v>10474.442343704977</v>
      </c>
      <c r="J70" s="50">
        <f t="shared" ref="J70:J77" si="44">J124*I$83</f>
        <v>10474.442343704977</v>
      </c>
      <c r="K70" s="39">
        <f>B70/B$76</f>
        <v>0.18728708649288678</v>
      </c>
      <c r="L70" s="21">
        <f t="shared" ref="L70:L75" si="45">(L124*G$37*F$9/F$7)/B$130</f>
        <v>0.26220192109004148</v>
      </c>
      <c r="M70" s="23">
        <f>J70/B$76</f>
        <v>0.26220192109004148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[1]Summ!$H1032</f>
        <v>7789.3333333333339</v>
      </c>
      <c r="C71" s="38"/>
      <c r="D71" s="37"/>
      <c r="E71" s="74">
        <f>'Q2'!E71</f>
        <v>1</v>
      </c>
      <c r="F71" s="74">
        <f>'Q2'!F71</f>
        <v>1.18</v>
      </c>
      <c r="G71" s="21"/>
      <c r="H71" s="23">
        <f t="shared" ref="H71:H72" si="46">(E71*F71)</f>
        <v>1.18</v>
      </c>
      <c r="I71" s="38">
        <f>I125*I$83</f>
        <v>9191.4133333333339</v>
      </c>
      <c r="J71" s="50">
        <f t="shared" si="44"/>
        <v>9191.4133333333339</v>
      </c>
      <c r="K71" s="39">
        <f t="shared" ref="K71:K72" si="47">B71/B$76</f>
        <v>0.19498681619438604</v>
      </c>
      <c r="L71" s="21">
        <f t="shared" si="45"/>
        <v>0.23008444310937554</v>
      </c>
      <c r="M71" s="23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[1]Summ!$H1033</f>
        <v>13872</v>
      </c>
      <c r="C72" s="38"/>
      <c r="D72" s="37"/>
      <c r="E72" s="74">
        <f>'Q2'!E72</f>
        <v>1</v>
      </c>
      <c r="F72" s="74">
        <f>'Q2'!F72</f>
        <v>1.18</v>
      </c>
      <c r="G72" s="21"/>
      <c r="H72" s="23">
        <f t="shared" si="46"/>
        <v>1.18</v>
      </c>
      <c r="I72" s="38">
        <f>I126*I$83</f>
        <v>0</v>
      </c>
      <c r="J72" s="50">
        <f t="shared" si="44"/>
        <v>9093.7607316872181</v>
      </c>
      <c r="K72" s="39">
        <f t="shared" si="47"/>
        <v>0.34725142685491139</v>
      </c>
      <c r="L72" s="21">
        <f t="shared" si="45"/>
        <v>0.27743907365571896</v>
      </c>
      <c r="M72" s="23">
        <f t="shared" si="48"/>
        <v>0.22763995022747618</v>
      </c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[1]Summ!$H1034</f>
        <v>1680</v>
      </c>
      <c r="C73" s="38"/>
      <c r="D73" s="37"/>
      <c r="E73" s="74">
        <f>'Q2'!E73</f>
        <v>1</v>
      </c>
      <c r="F73" s="74">
        <f>'Q2'!F73</f>
        <v>1.18</v>
      </c>
      <c r="G73" s="21"/>
      <c r="H73" s="23">
        <f>(E73*F73)</f>
        <v>1.18</v>
      </c>
      <c r="I73" s="38">
        <f>I127*I$83</f>
        <v>0</v>
      </c>
      <c r="J73" s="50">
        <f t="shared" si="44"/>
        <v>0</v>
      </c>
      <c r="K73" s="39">
        <f>B73/B$76</f>
        <v>4.2054671072394113E-2</v>
      </c>
      <c r="L73" s="21">
        <f t="shared" si="45"/>
        <v>0</v>
      </c>
      <c r="M73" s="23">
        <f>J73/B$76</f>
        <v>0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178.41599999999997</v>
      </c>
      <c r="AB73" s="155">
        <f>'Q2'!AB73</f>
        <v>0.09</v>
      </c>
      <c r="AC73" s="146">
        <f>$H$73*$B$73*AB73</f>
        <v>178.41599999999997</v>
      </c>
      <c r="AD73" s="155">
        <f>'Q2'!AD73</f>
        <v>0.23</v>
      </c>
      <c r="AE73" s="146">
        <f>$H$73*$B$73*AD73</f>
        <v>455.952</v>
      </c>
      <c r="AF73" s="155">
        <f>'Q2'!AF73</f>
        <v>0.59</v>
      </c>
      <c r="AG73" s="146">
        <f>$H$73*$B$73*AF73</f>
        <v>1169.6159999999998</v>
      </c>
      <c r="AH73" s="154">
        <f>SUM(Z73,AB73,AD73,AF73)</f>
        <v>1</v>
      </c>
      <c r="AI73" s="146">
        <f>SUM(AA73,AC73,AE73,AG73)</f>
        <v>1982.3999999999996</v>
      </c>
      <c r="AJ73" s="147">
        <f>(AA73+AC73)</f>
        <v>356.83199999999994</v>
      </c>
      <c r="AK73" s="146">
        <f>(AE73+AG73)</f>
        <v>1625.5679999999998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3949.6647154201619</v>
      </c>
      <c r="C74" s="38"/>
      <c r="D74" s="37"/>
      <c r="E74" s="31"/>
      <c r="F74" s="31"/>
      <c r="G74" s="31"/>
      <c r="H74" s="30"/>
      <c r="I74" s="38">
        <f>I128*I$83</f>
        <v>24486.657656295025</v>
      </c>
      <c r="J74" s="50">
        <f t="shared" si="44"/>
        <v>5072.5265781335738</v>
      </c>
      <c r="K74" s="39">
        <f>B74/B$76</f>
        <v>9.8870149079307149E-2</v>
      </c>
      <c r="L74" s="21">
        <f t="shared" si="45"/>
        <v>7.029408752786194E-2</v>
      </c>
      <c r="M74" s="23">
        <f>J74/B$76</f>
        <v>0.12697823616034778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AA30*$I$84/4</f>
        <v>#DIV/0!</v>
      </c>
      <c r="AB74" s="155"/>
      <c r="AC74" s="146" t="e">
        <f>AC30*$I$84/4</f>
        <v>#DIV/0!</v>
      </c>
      <c r="AD74" s="155"/>
      <c r="AE74" s="146" t="e">
        <f>AE30*$I$84/4</f>
        <v>#DIV/0!</v>
      </c>
      <c r="AF74" s="155"/>
      <c r="AG74" s="146" t="e">
        <f>AG30*$I$84/4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5175.2574200286635</v>
      </c>
      <c r="C75" s="38"/>
      <c r="D75" s="37"/>
      <c r="E75" s="31"/>
      <c r="F75" s="31"/>
      <c r="G75" s="31"/>
      <c r="H75" s="30"/>
      <c r="I75" s="46"/>
      <c r="J75" s="50">
        <f t="shared" si="44"/>
        <v>0</v>
      </c>
      <c r="K75" s="39">
        <f>B75/B$76</f>
        <v>0.12954985030611454</v>
      </c>
      <c r="L75" s="21">
        <f t="shared" si="45"/>
        <v>0</v>
      </c>
      <c r="M75" s="23">
        <f>J75/B$76</f>
        <v>0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39948</v>
      </c>
      <c r="C76" s="38"/>
      <c r="D76" s="37"/>
      <c r="E76" s="31"/>
      <c r="F76" s="31"/>
      <c r="G76" s="31"/>
      <c r="H76" s="30"/>
      <c r="I76" s="38">
        <f>I130*I$83</f>
        <v>34961.1</v>
      </c>
      <c r="J76" s="50">
        <f t="shared" si="44"/>
        <v>33832.142986859108</v>
      </c>
      <c r="K76" s="39">
        <f>SUM(K70:K75)</f>
        <v>1</v>
      </c>
      <c r="L76" s="21">
        <f>SUM(L70:L75)</f>
        <v>0.84001952538299784</v>
      </c>
      <c r="M76" s="23">
        <f>SUM(M70:M75)</f>
        <v>0.84690455058724101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9191.4133333333357</v>
      </c>
      <c r="J77" s="99">
        <f t="shared" si="44"/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AA31*$I$84/4</f>
        <v>#DIV/0!</v>
      </c>
      <c r="AB77" s="111"/>
      <c r="AC77" s="110" t="e">
        <f>AC31*$I$84/4</f>
        <v>#DIV/0!</v>
      </c>
      <c r="AD77" s="111"/>
      <c r="AE77" s="110" t="e">
        <f>AE31*$I$84/4</f>
        <v>#DIV/0!</v>
      </c>
      <c r="AF77" s="111"/>
      <c r="AG77" s="110" t="e">
        <f>AG31*$I$84/4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228" t="str">
        <f>[1]Summ!$H1037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[1]Summ!$H1038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[1]Summ!$H1039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[1]Summ!$H1040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$I$84*Z82/4</f>
        <v>4800.3809484939993</v>
      </c>
      <c r="AB83" s="111"/>
      <c r="AC83" s="164">
        <f>$I$84*AB82/4</f>
        <v>4800.3809484939993</v>
      </c>
      <c r="AD83" s="111"/>
      <c r="AE83" s="164">
        <f>$I$84*AD82/4</f>
        <v>4800.3809484939993</v>
      </c>
      <c r="AF83" s="111"/>
      <c r="AG83" s="164">
        <f>$I$84*AF82/4</f>
        <v>4800.3809484939993</v>
      </c>
      <c r="AH83" s="164">
        <f>SUM(AA83,AC83,AE83,AG83)</f>
        <v>19201.523793975997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</v>
      </c>
      <c r="C84" s="45"/>
      <c r="D84" s="233"/>
      <c r="E84" s="63"/>
      <c r="F84" s="63"/>
      <c r="G84" s="63"/>
      <c r="H84" s="234">
        <f>IF(B84=0,0,I84/B84)</f>
        <v>1.503539033395509</v>
      </c>
      <c r="I84" s="232">
        <f>(B70*H70)+((1-(D29*H29))*I83)</f>
        <v>19201.523793975997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Q3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49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49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 t="shared" ref="B91:C118" si="50">(B37/$B$83)</f>
        <v>0.8355933404115361</v>
      </c>
      <c r="C91" s="74">
        <f t="shared" si="50"/>
        <v>0</v>
      </c>
      <c r="D91" s="23">
        <f t="shared" ref="D91" si="51">(B91+C91)</f>
        <v>0.8355933404115361</v>
      </c>
      <c r="H91" s="23">
        <f>(E37*F37/G37*F$7/F$9)</f>
        <v>0.33636363636363642</v>
      </c>
      <c r="I91" s="21">
        <f t="shared" ref="I91" si="52">(D91*H91)</f>
        <v>0.28106321450206218</v>
      </c>
      <c r="J91" s="23">
        <f>IF(I$32&lt;=1+I$131,I91,L91+J$33*(I91-L91))</f>
        <v>0.28106321450206218</v>
      </c>
      <c r="K91" s="21">
        <f t="shared" ref="K91" si="53">(B91)</f>
        <v>0.8355933404115361</v>
      </c>
      <c r="L91" s="21">
        <f t="shared" ref="L91" si="54">(K91*H91)</f>
        <v>0.28106321450206218</v>
      </c>
      <c r="M91" s="225">
        <f t="shared" si="49"/>
        <v>0.28106321450206218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si="50"/>
        <v>0.84438905978428913</v>
      </c>
      <c r="C92" s="74">
        <f t="shared" si="50"/>
        <v>0</v>
      </c>
      <c r="D92" s="23">
        <f t="shared" ref="D92:D118" si="56">(B92+C92)</f>
        <v>0.84438905978428913</v>
      </c>
      <c r="H92" s="23">
        <f t="shared" ref="H92:H118" si="57">(E38*F38/G38*F$7/F$9)</f>
        <v>0.33636363636363642</v>
      </c>
      <c r="I92" s="21">
        <f t="shared" ref="I92:I118" si="58">(D92*H92)</f>
        <v>0.28402177465471551</v>
      </c>
      <c r="J92" s="23">
        <f t="shared" ref="J92:J118" si="59">IF(I$32&lt;=1+I$131,I92,L92+J$33*(I92-L92))</f>
        <v>0.28402177465471551</v>
      </c>
      <c r="K92" s="21">
        <f t="shared" ref="K92:K118" si="60">(B92)</f>
        <v>0.84438905978428913</v>
      </c>
      <c r="L92" s="21">
        <f t="shared" ref="L92:L118" si="61">(K92*H92)</f>
        <v>0.28402177465471551</v>
      </c>
      <c r="M92" s="225">
        <f t="shared" ref="M92:M118" si="62">(J92)</f>
        <v>0.28402177465471551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si="50"/>
        <v>0.43978596863765057</v>
      </c>
      <c r="C93" s="74">
        <f t="shared" si="50"/>
        <v>0</v>
      </c>
      <c r="D93" s="23">
        <f t="shared" si="56"/>
        <v>0.43978596863765057</v>
      </c>
      <c r="H93" s="23">
        <f t="shared" si="57"/>
        <v>0.56242424242424238</v>
      </c>
      <c r="I93" s="21">
        <f t="shared" si="58"/>
        <v>0.24734629023984225</v>
      </c>
      <c r="J93" s="23">
        <f t="shared" si="59"/>
        <v>0.24734629023984225</v>
      </c>
      <c r="K93" s="21">
        <f t="shared" si="60"/>
        <v>0.43978596863765057</v>
      </c>
      <c r="L93" s="21">
        <f t="shared" si="61"/>
        <v>0.24734629023984225</v>
      </c>
      <c r="M93" s="225">
        <f t="shared" si="62"/>
        <v>0.24734629023984225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si="50"/>
        <v>0.87957193727530114</v>
      </c>
      <c r="C94" s="74">
        <f t="shared" si="50"/>
        <v>0</v>
      </c>
      <c r="D94" s="23">
        <f t="shared" si="56"/>
        <v>0.87957193727530114</v>
      </c>
      <c r="H94" s="23">
        <f t="shared" si="57"/>
        <v>0.70303030303030301</v>
      </c>
      <c r="I94" s="21">
        <f t="shared" si="58"/>
        <v>0.61836572559960568</v>
      </c>
      <c r="J94" s="23">
        <f t="shared" si="59"/>
        <v>0.61836572559960568</v>
      </c>
      <c r="K94" s="21">
        <f t="shared" si="60"/>
        <v>0.87957193727530114</v>
      </c>
      <c r="L94" s="21">
        <f t="shared" si="61"/>
        <v>0.61836572559960568</v>
      </c>
      <c r="M94" s="225">
        <f t="shared" si="62"/>
        <v>0.61836572559960568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si="50"/>
        <v>1.0290991666121023</v>
      </c>
      <c r="C95" s="74">
        <f t="shared" si="50"/>
        <v>0.20581983332242046</v>
      </c>
      <c r="D95" s="23">
        <f t="shared" si="56"/>
        <v>1.2349189999345227</v>
      </c>
      <c r="H95" s="23">
        <f t="shared" si="57"/>
        <v>0.60606060606060608</v>
      </c>
      <c r="I95" s="21">
        <f t="shared" si="58"/>
        <v>0.74843575753607439</v>
      </c>
      <c r="J95" s="23">
        <f t="shared" si="59"/>
        <v>0.64813283762204676</v>
      </c>
      <c r="K95" s="21">
        <f t="shared" si="60"/>
        <v>1.0290991666121023</v>
      </c>
      <c r="L95" s="21">
        <f t="shared" si="61"/>
        <v>0.62369646461339534</v>
      </c>
      <c r="M95" s="225">
        <f t="shared" si="62"/>
        <v>0.64813283762204676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si="50"/>
        <v>0.68606611107473492</v>
      </c>
      <c r="C96" s="74">
        <f t="shared" si="50"/>
        <v>0</v>
      </c>
      <c r="D96" s="23">
        <f t="shared" si="56"/>
        <v>0.68606611107473492</v>
      </c>
      <c r="H96" s="23">
        <f t="shared" si="57"/>
        <v>0.70303030303030301</v>
      </c>
      <c r="I96" s="21">
        <f t="shared" si="58"/>
        <v>0.48232526596769243</v>
      </c>
      <c r="J96" s="23">
        <f t="shared" si="59"/>
        <v>0.48232526596769243</v>
      </c>
      <c r="K96" s="21">
        <f t="shared" si="60"/>
        <v>0.68606611107473492</v>
      </c>
      <c r="L96" s="21">
        <f t="shared" si="61"/>
        <v>0.48232526596769243</v>
      </c>
      <c r="M96" s="225">
        <f t="shared" si="62"/>
        <v>0.48232526596769243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si="50"/>
        <v>0.44682254413585304</v>
      </c>
      <c r="C97" s="74">
        <f t="shared" si="50"/>
        <v>0</v>
      </c>
      <c r="D97" s="23">
        <f t="shared" si="56"/>
        <v>0.44682254413585304</v>
      </c>
      <c r="H97" s="23">
        <f t="shared" si="57"/>
        <v>0</v>
      </c>
      <c r="I97" s="21">
        <f t="shared" si="58"/>
        <v>0</v>
      </c>
      <c r="J97" s="23">
        <f t="shared" si="59"/>
        <v>0</v>
      </c>
      <c r="K97" s="21">
        <f t="shared" si="60"/>
        <v>0.44682254413585304</v>
      </c>
      <c r="L97" s="21">
        <f t="shared" si="61"/>
        <v>0</v>
      </c>
      <c r="M97" s="225">
        <f t="shared" si="62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si="50"/>
        <v>0.35182877491012043</v>
      </c>
      <c r="C98" s="74">
        <f t="shared" si="50"/>
        <v>0</v>
      </c>
      <c r="D98" s="23">
        <f t="shared" si="56"/>
        <v>0.35182877491012043</v>
      </c>
      <c r="H98" s="23">
        <f t="shared" si="57"/>
        <v>0.67272727272727284</v>
      </c>
      <c r="I98" s="21">
        <f t="shared" si="58"/>
        <v>0.23668481221226287</v>
      </c>
      <c r="J98" s="23">
        <f t="shared" si="59"/>
        <v>0.23668481221226287</v>
      </c>
      <c r="K98" s="21">
        <f t="shared" si="60"/>
        <v>0.35182877491012043</v>
      </c>
      <c r="L98" s="21">
        <f t="shared" si="61"/>
        <v>0.23668481221226287</v>
      </c>
      <c r="M98" s="225">
        <f t="shared" si="62"/>
        <v>0.23668481221226287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si="50"/>
        <v>0.34303305553736746</v>
      </c>
      <c r="C99" s="74">
        <f t="shared" si="50"/>
        <v>0</v>
      </c>
      <c r="D99" s="23">
        <f t="shared" si="56"/>
        <v>0.34303305553736746</v>
      </c>
      <c r="H99" s="23">
        <f t="shared" si="57"/>
        <v>0.60606060606060608</v>
      </c>
      <c r="I99" s="21">
        <f t="shared" si="58"/>
        <v>0.20789882153779846</v>
      </c>
      <c r="J99" s="23">
        <f t="shared" si="59"/>
        <v>0.20789882153779846</v>
      </c>
      <c r="K99" s="21">
        <f t="shared" si="60"/>
        <v>0.34303305553736746</v>
      </c>
      <c r="L99" s="21">
        <f t="shared" si="61"/>
        <v>0.20789882153779846</v>
      </c>
      <c r="M99" s="225">
        <f t="shared" si="62"/>
        <v>0.20789882153779846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si="50"/>
        <v>0</v>
      </c>
      <c r="C100" s="74">
        <f t="shared" si="50"/>
        <v>0</v>
      </c>
      <c r="D100" s="23">
        <f t="shared" si="56"/>
        <v>0</v>
      </c>
      <c r="H100" s="23">
        <f t="shared" si="57"/>
        <v>0.67272727272727284</v>
      </c>
      <c r="I100" s="21">
        <f t="shared" si="58"/>
        <v>0</v>
      </c>
      <c r="J100" s="23">
        <f t="shared" si="59"/>
        <v>0</v>
      </c>
      <c r="K100" s="21">
        <f t="shared" si="60"/>
        <v>0</v>
      </c>
      <c r="L100" s="21">
        <f t="shared" si="61"/>
        <v>0</v>
      </c>
      <c r="M100" s="225">
        <f t="shared" si="62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si="50"/>
        <v>0</v>
      </c>
      <c r="C101" s="74">
        <f t="shared" si="50"/>
        <v>0</v>
      </c>
      <c r="D101" s="23">
        <f t="shared" si="56"/>
        <v>0</v>
      </c>
      <c r="H101" s="23">
        <f t="shared" si="57"/>
        <v>0.60606060606060608</v>
      </c>
      <c r="I101" s="21">
        <f t="shared" si="58"/>
        <v>0</v>
      </c>
      <c r="J101" s="23">
        <f t="shared" si="59"/>
        <v>0</v>
      </c>
      <c r="K101" s="21">
        <f t="shared" si="60"/>
        <v>0</v>
      </c>
      <c r="L101" s="21">
        <f t="shared" si="61"/>
        <v>0</v>
      </c>
      <c r="M101" s="225">
        <f t="shared" si="62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si="50"/>
        <v>0</v>
      </c>
      <c r="C102" s="74">
        <f t="shared" si="50"/>
        <v>0</v>
      </c>
      <c r="D102" s="23">
        <f t="shared" si="56"/>
        <v>0</v>
      </c>
      <c r="H102" s="23">
        <f t="shared" si="57"/>
        <v>0.60606060606060608</v>
      </c>
      <c r="I102" s="21">
        <f t="shared" si="58"/>
        <v>0</v>
      </c>
      <c r="J102" s="23">
        <f t="shared" si="59"/>
        <v>0</v>
      </c>
      <c r="K102" s="21">
        <f t="shared" si="60"/>
        <v>0</v>
      </c>
      <c r="L102" s="21">
        <f t="shared" si="61"/>
        <v>0</v>
      </c>
      <c r="M102" s="225">
        <f t="shared" si="62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si="50"/>
        <v>0</v>
      </c>
      <c r="C103" s="74">
        <f t="shared" si="50"/>
        <v>0</v>
      </c>
      <c r="D103" s="23">
        <f t="shared" si="56"/>
        <v>0</v>
      </c>
      <c r="H103" s="23">
        <f t="shared" si="57"/>
        <v>0.60606060606060608</v>
      </c>
      <c r="I103" s="21">
        <f t="shared" si="58"/>
        <v>0</v>
      </c>
      <c r="J103" s="23">
        <f t="shared" si="59"/>
        <v>0</v>
      </c>
      <c r="K103" s="21">
        <f t="shared" si="60"/>
        <v>0</v>
      </c>
      <c r="L103" s="21">
        <f t="shared" si="61"/>
        <v>0</v>
      </c>
      <c r="M103" s="225">
        <f t="shared" si="62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si="50"/>
        <v>0</v>
      </c>
      <c r="C104" s="74">
        <f t="shared" si="50"/>
        <v>0</v>
      </c>
      <c r="D104" s="23">
        <f t="shared" si="56"/>
        <v>0</v>
      </c>
      <c r="H104" s="23">
        <f t="shared" si="57"/>
        <v>0.60606060606060608</v>
      </c>
      <c r="I104" s="21">
        <f t="shared" si="58"/>
        <v>0</v>
      </c>
      <c r="J104" s="23">
        <f t="shared" si="59"/>
        <v>0</v>
      </c>
      <c r="K104" s="21">
        <f t="shared" si="60"/>
        <v>0</v>
      </c>
      <c r="L104" s="21">
        <f t="shared" si="61"/>
        <v>0</v>
      </c>
      <c r="M104" s="225">
        <f t="shared" si="62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si="50"/>
        <v>0</v>
      </c>
      <c r="C105" s="74">
        <f t="shared" si="50"/>
        <v>0</v>
      </c>
      <c r="D105" s="23">
        <f t="shared" si="56"/>
        <v>0</v>
      </c>
      <c r="H105" s="23">
        <f t="shared" si="57"/>
        <v>0.60606060606060608</v>
      </c>
      <c r="I105" s="21">
        <f t="shared" si="58"/>
        <v>0</v>
      </c>
      <c r="J105" s="23">
        <f t="shared" si="59"/>
        <v>0</v>
      </c>
      <c r="K105" s="21">
        <f t="shared" si="60"/>
        <v>0</v>
      </c>
      <c r="L105" s="21">
        <f t="shared" si="61"/>
        <v>0</v>
      </c>
      <c r="M105" s="225">
        <f t="shared" si="62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si="50"/>
        <v>0</v>
      </c>
      <c r="C106" s="74">
        <f t="shared" si="50"/>
        <v>0</v>
      </c>
      <c r="D106" s="23">
        <f t="shared" si="56"/>
        <v>0</v>
      </c>
      <c r="H106" s="23">
        <f t="shared" si="57"/>
        <v>0.60606060606060608</v>
      </c>
      <c r="I106" s="21">
        <f t="shared" si="58"/>
        <v>0</v>
      </c>
      <c r="J106" s="23">
        <f t="shared" si="59"/>
        <v>0</v>
      </c>
      <c r="K106" s="21">
        <f t="shared" si="60"/>
        <v>0</v>
      </c>
      <c r="L106" s="21">
        <f t="shared" si="61"/>
        <v>0</v>
      </c>
      <c r="M106" s="225">
        <f t="shared" si="62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si="50"/>
        <v>0</v>
      </c>
      <c r="C107" s="74">
        <f t="shared" si="50"/>
        <v>0</v>
      </c>
      <c r="D107" s="23">
        <f t="shared" si="56"/>
        <v>0</v>
      </c>
      <c r="H107" s="23">
        <f t="shared" si="57"/>
        <v>0.60606060606060608</v>
      </c>
      <c r="I107" s="21">
        <f t="shared" si="58"/>
        <v>0</v>
      </c>
      <c r="J107" s="23">
        <f t="shared" si="59"/>
        <v>0</v>
      </c>
      <c r="K107" s="21">
        <f t="shared" si="60"/>
        <v>0</v>
      </c>
      <c r="L107" s="21">
        <f t="shared" si="61"/>
        <v>0</v>
      </c>
      <c r="M107" s="225">
        <f t="shared" si="62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si="50"/>
        <v>0</v>
      </c>
      <c r="C108" s="74">
        <f t="shared" si="50"/>
        <v>0</v>
      </c>
      <c r="D108" s="23">
        <f t="shared" si="56"/>
        <v>0</v>
      </c>
      <c r="H108" s="23">
        <f t="shared" si="57"/>
        <v>0.60606060606060608</v>
      </c>
      <c r="I108" s="21">
        <f t="shared" si="58"/>
        <v>0</v>
      </c>
      <c r="J108" s="23">
        <f t="shared" si="59"/>
        <v>0</v>
      </c>
      <c r="K108" s="21">
        <f t="shared" si="60"/>
        <v>0</v>
      </c>
      <c r="L108" s="21">
        <f t="shared" si="61"/>
        <v>0</v>
      </c>
      <c r="M108" s="225">
        <f t="shared" si="6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si="50"/>
        <v>0</v>
      </c>
      <c r="C109" s="74">
        <f t="shared" si="50"/>
        <v>0</v>
      </c>
      <c r="D109" s="23">
        <f t="shared" si="56"/>
        <v>0</v>
      </c>
      <c r="H109" s="23">
        <f t="shared" si="57"/>
        <v>0.60606060606060608</v>
      </c>
      <c r="I109" s="21">
        <f t="shared" si="58"/>
        <v>0</v>
      </c>
      <c r="J109" s="23">
        <f t="shared" si="59"/>
        <v>0</v>
      </c>
      <c r="K109" s="21">
        <f t="shared" si="60"/>
        <v>0</v>
      </c>
      <c r="L109" s="21">
        <f t="shared" si="61"/>
        <v>0</v>
      </c>
      <c r="M109" s="225">
        <f t="shared" si="6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si="50"/>
        <v>0</v>
      </c>
      <c r="C110" s="74">
        <f t="shared" si="50"/>
        <v>0</v>
      </c>
      <c r="D110" s="23">
        <f t="shared" si="56"/>
        <v>0</v>
      </c>
      <c r="H110" s="23">
        <f t="shared" si="57"/>
        <v>0.60606060606060608</v>
      </c>
      <c r="I110" s="21">
        <f t="shared" si="58"/>
        <v>0</v>
      </c>
      <c r="J110" s="23">
        <f t="shared" si="59"/>
        <v>0</v>
      </c>
      <c r="K110" s="21">
        <f t="shared" si="60"/>
        <v>0</v>
      </c>
      <c r="L110" s="21">
        <f t="shared" si="61"/>
        <v>0</v>
      </c>
      <c r="M110" s="225">
        <f t="shared" si="6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si="50"/>
        <v>0</v>
      </c>
      <c r="C111" s="74">
        <f t="shared" si="50"/>
        <v>0</v>
      </c>
      <c r="D111" s="23">
        <f t="shared" si="56"/>
        <v>0</v>
      </c>
      <c r="H111" s="23">
        <f t="shared" si="57"/>
        <v>0.60606060606060608</v>
      </c>
      <c r="I111" s="21">
        <f t="shared" si="58"/>
        <v>0</v>
      </c>
      <c r="J111" s="23">
        <f t="shared" si="59"/>
        <v>0</v>
      </c>
      <c r="K111" s="21">
        <f t="shared" si="60"/>
        <v>0</v>
      </c>
      <c r="L111" s="21">
        <f t="shared" si="61"/>
        <v>0</v>
      </c>
      <c r="M111" s="225">
        <f t="shared" si="6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si="50"/>
        <v>0</v>
      </c>
      <c r="C112" s="74">
        <f t="shared" si="50"/>
        <v>0</v>
      </c>
      <c r="D112" s="23">
        <f t="shared" si="56"/>
        <v>0</v>
      </c>
      <c r="H112" s="23">
        <f t="shared" si="57"/>
        <v>0.60606060606060608</v>
      </c>
      <c r="I112" s="21">
        <f t="shared" si="58"/>
        <v>0</v>
      </c>
      <c r="J112" s="23">
        <f t="shared" si="59"/>
        <v>0</v>
      </c>
      <c r="K112" s="21">
        <f t="shared" si="60"/>
        <v>0</v>
      </c>
      <c r="L112" s="21">
        <f t="shared" si="61"/>
        <v>0</v>
      </c>
      <c r="M112" s="225">
        <f t="shared" si="6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si="50"/>
        <v>0</v>
      </c>
      <c r="C113" s="74">
        <f t="shared" si="50"/>
        <v>0</v>
      </c>
      <c r="D113" s="23">
        <f t="shared" si="56"/>
        <v>0</v>
      </c>
      <c r="H113" s="23">
        <f t="shared" si="57"/>
        <v>0.60606060606060608</v>
      </c>
      <c r="I113" s="21">
        <f t="shared" si="58"/>
        <v>0</v>
      </c>
      <c r="J113" s="23">
        <f t="shared" si="59"/>
        <v>0</v>
      </c>
      <c r="K113" s="21">
        <f t="shared" si="60"/>
        <v>0</v>
      </c>
      <c r="L113" s="21">
        <f t="shared" si="61"/>
        <v>0</v>
      </c>
      <c r="M113" s="225">
        <f t="shared" si="6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si="50"/>
        <v>0</v>
      </c>
      <c r="C114" s="74">
        <f t="shared" si="50"/>
        <v>0</v>
      </c>
      <c r="D114" s="23">
        <f t="shared" si="56"/>
        <v>0</v>
      </c>
      <c r="H114" s="23">
        <f t="shared" si="57"/>
        <v>0.60606060606060608</v>
      </c>
      <c r="I114" s="21">
        <f t="shared" si="58"/>
        <v>0</v>
      </c>
      <c r="J114" s="23">
        <f t="shared" si="59"/>
        <v>0</v>
      </c>
      <c r="K114" s="21">
        <f t="shared" si="60"/>
        <v>0</v>
      </c>
      <c r="L114" s="21">
        <f t="shared" si="61"/>
        <v>0</v>
      </c>
      <c r="M114" s="225">
        <f t="shared" si="6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si="50"/>
        <v>0</v>
      </c>
      <c r="C115" s="74">
        <f t="shared" si="50"/>
        <v>0</v>
      </c>
      <c r="D115" s="23">
        <f t="shared" si="56"/>
        <v>0</v>
      </c>
      <c r="H115" s="23">
        <f t="shared" si="57"/>
        <v>0.60606060606060608</v>
      </c>
      <c r="I115" s="21">
        <f t="shared" si="58"/>
        <v>0</v>
      </c>
      <c r="J115" s="23">
        <f t="shared" si="59"/>
        <v>0</v>
      </c>
      <c r="K115" s="21">
        <f t="shared" si="60"/>
        <v>0</v>
      </c>
      <c r="L115" s="21">
        <f t="shared" si="61"/>
        <v>0</v>
      </c>
      <c r="M115" s="225">
        <f t="shared" si="6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si="50"/>
        <v>0</v>
      </c>
      <c r="C116" s="74">
        <f t="shared" si="50"/>
        <v>0</v>
      </c>
      <c r="D116" s="23">
        <f t="shared" si="56"/>
        <v>0</v>
      </c>
      <c r="H116" s="23">
        <f t="shared" si="57"/>
        <v>0.60606060606060608</v>
      </c>
      <c r="I116" s="21">
        <f t="shared" si="58"/>
        <v>0</v>
      </c>
      <c r="J116" s="23">
        <f t="shared" si="59"/>
        <v>0</v>
      </c>
      <c r="K116" s="21">
        <f t="shared" si="60"/>
        <v>0</v>
      </c>
      <c r="L116" s="21">
        <f t="shared" si="61"/>
        <v>0</v>
      </c>
      <c r="M116" s="225">
        <f t="shared" si="6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si="50"/>
        <v>0</v>
      </c>
      <c r="C117" s="74">
        <f t="shared" si="50"/>
        <v>0</v>
      </c>
      <c r="D117" s="23">
        <f t="shared" si="56"/>
        <v>0</v>
      </c>
      <c r="H117" s="23">
        <f t="shared" si="57"/>
        <v>0.60606060606060608</v>
      </c>
      <c r="I117" s="21">
        <f t="shared" si="58"/>
        <v>0</v>
      </c>
      <c r="J117" s="23">
        <f t="shared" si="59"/>
        <v>0</v>
      </c>
      <c r="K117" s="21">
        <f t="shared" si="60"/>
        <v>0</v>
      </c>
      <c r="L117" s="21">
        <f t="shared" si="61"/>
        <v>0</v>
      </c>
      <c r="M117" s="225">
        <f t="shared" si="6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si="50"/>
        <v>0</v>
      </c>
      <c r="C118" s="74">
        <f t="shared" si="50"/>
        <v>0</v>
      </c>
      <c r="D118" s="23">
        <f t="shared" si="56"/>
        <v>0</v>
      </c>
      <c r="H118" s="23">
        <f t="shared" si="57"/>
        <v>0.60606060606060608</v>
      </c>
      <c r="I118" s="21">
        <f t="shared" si="58"/>
        <v>0</v>
      </c>
      <c r="J118" s="23">
        <f t="shared" si="59"/>
        <v>0</v>
      </c>
      <c r="K118" s="21">
        <f t="shared" si="60"/>
        <v>0</v>
      </c>
      <c r="L118" s="21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5.8561899583789554</v>
      </c>
      <c r="C119" s="21">
        <f>SUM(C91:C118)</f>
        <v>0.20581983332242046</v>
      </c>
      <c r="D119" s="23">
        <f>SUM(D91:D118)</f>
        <v>6.0620097917013753</v>
      </c>
      <c r="E119" s="21"/>
      <c r="F119" s="2"/>
      <c r="G119" s="2"/>
      <c r="H119" s="30"/>
      <c r="I119" s="21">
        <f>SUM(I91:I118)</f>
        <v>3.1061416622500539</v>
      </c>
      <c r="J119" s="23">
        <f>SUM(J91:J118)</f>
        <v>3.0058387423360262</v>
      </c>
      <c r="K119" s="21">
        <f>SUM(K91:K118)</f>
        <v>5.8561899583789554</v>
      </c>
      <c r="L119" s="21">
        <f>SUM(L91:L118)</f>
        <v>2.981402369327375</v>
      </c>
      <c r="M119" s="56">
        <f t="shared" si="49"/>
        <v>3.0058387423360262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Q3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63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63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63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59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64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65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59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0.80794108524123098</v>
      </c>
      <c r="K126" s="21">
        <f t="shared" si="64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0.98468843466944289</v>
      </c>
      <c r="M126" s="56">
        <f t="shared" si="65"/>
        <v>0.80794108524123098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0.24628014243708432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1">
        <f>(B127)</f>
        <v>0.24628014243708432</v>
      </c>
      <c r="L127" s="28">
        <f>IF(SUMPRODUCT($B$124:$B127,$H$124:$H127)&lt;(L$119-L$128),($B127*$H127),IF(SUMPRODUCT($B$124:$B126,$H$124:$H126)&lt;(L$119-L128),L$119-L$128-SUMPRODUCT($B$124:$B126,$H$124:$H126),0))</f>
        <v>0</v>
      </c>
      <c r="M127" s="56">
        <f t="shared" si="63"/>
        <v>0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0.57900237422166878</v>
      </c>
      <c r="C128" s="2"/>
      <c r="D128" s="30"/>
      <c r="E128" s="2"/>
      <c r="F128" s="2"/>
      <c r="G128" s="2"/>
      <c r="H128" s="23"/>
      <c r="I128" s="28">
        <f>(I30)</f>
        <v>2.1755330214287376</v>
      </c>
      <c r="J128" s="226">
        <f>(J30)</f>
        <v>0.45067192214236385</v>
      </c>
      <c r="K128" s="21">
        <f>(B128)</f>
        <v>0.57900237422166878</v>
      </c>
      <c r="L128" s="21">
        <f>IF(L124=L119,0,(L119-L124)/(B119-B124)*K128)</f>
        <v>0.2494881997055009</v>
      </c>
      <c r="M128" s="56">
        <f t="shared" si="63"/>
        <v>0.45067192214236385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0.7586685324721647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0</v>
      </c>
      <c r="K129" s="28">
        <f>(B129)</f>
        <v>0.7586685324721647</v>
      </c>
      <c r="L129" s="59">
        <f>IF(SUM(L124:L128)&gt;L130,0,L130-SUM(L124:L128))</f>
        <v>0</v>
      </c>
      <c r="M129" s="56">
        <f t="shared" si="63"/>
        <v>0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5.8561899583789554</v>
      </c>
      <c r="C130" s="2"/>
      <c r="D130" s="30"/>
      <c r="E130" s="2"/>
      <c r="F130" s="2"/>
      <c r="G130" s="2"/>
      <c r="H130" s="23"/>
      <c r="I130" s="28">
        <f>(I119)</f>
        <v>3.1061416622500539</v>
      </c>
      <c r="J130" s="226">
        <f>(J119)</f>
        <v>3.0058387423360262</v>
      </c>
      <c r="K130" s="21">
        <f>(B130)</f>
        <v>5.8561899583789554</v>
      </c>
      <c r="L130" s="21">
        <f>(L119)</f>
        <v>2.981402369327375</v>
      </c>
      <c r="M130" s="56">
        <f t="shared" si="63"/>
        <v>3.0058387423360262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0.81661709413111483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8.6760088898838461E-3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8" sqref="A6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4" t="str">
        <f>'Q2'!A1</f>
        <v>ZA UP: 59899</v>
      </c>
      <c r="B1" s="2"/>
      <c r="C1" s="2"/>
      <c r="D1" s="2"/>
      <c r="E1" s="2" t="s">
        <v>42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5"/>
      <c r="V1" s="55"/>
      <c r="W1" s="109"/>
      <c r="X1" s="113" t="s">
        <v>55</v>
      </c>
      <c r="Y1" s="114" t="s">
        <v>46</v>
      </c>
      <c r="Z1" s="178" t="str">
        <f>'Q2'!Z1</f>
        <v>Apr-Jun</v>
      </c>
      <c r="AA1" s="179"/>
      <c r="AB1" s="178" t="str">
        <f>'Q2'!AB1</f>
        <v>Jul-Sep</v>
      </c>
      <c r="AC1" s="179"/>
      <c r="AD1" s="178" t="str">
        <f>'Q2'!AD1</f>
        <v>Oct-Dec</v>
      </c>
      <c r="AE1" s="179"/>
      <c r="AF1" s="178" t="str">
        <f>'Q2'!AF1</f>
        <v>Jan-Mar</v>
      </c>
      <c r="AG1" s="179"/>
      <c r="AH1" s="116"/>
      <c r="AI1" s="109"/>
      <c r="AJ1" s="178" t="str">
        <f>LEFT(Z1,4) &amp; MID(AB1,5,3)</f>
        <v>Apr-Sep</v>
      </c>
      <c r="AK1" s="17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5"/>
      <c r="V2" s="55"/>
      <c r="W2" s="109"/>
      <c r="X2" s="117" t="s">
        <v>47</v>
      </c>
      <c r="Y2" s="114" t="s">
        <v>48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6"/>
      <c r="AI2" s="109"/>
      <c r="AJ2" s="195" t="str">
        <f>'Q2'!AJ2</f>
        <v>H1</v>
      </c>
      <c r="AK2" s="196" t="str">
        <f>'Q2'!AK2</f>
        <v>H2</v>
      </c>
      <c r="CM2" s="6"/>
    </row>
    <row r="3" spans="1:91">
      <c r="A3" s="72" t="s">
        <v>142</v>
      </c>
      <c r="B3" s="2"/>
      <c r="C3" s="18"/>
      <c r="D3" s="15"/>
      <c r="E3" s="2"/>
      <c r="F3" s="2"/>
      <c r="H3" s="16"/>
      <c r="I3" s="2"/>
      <c r="J3" s="17"/>
      <c r="L3" s="2"/>
      <c r="O3" s="3" t="s">
        <v>5</v>
      </c>
      <c r="P3" s="18"/>
      <c r="Q3" s="55" t="s">
        <v>56</v>
      </c>
      <c r="R3" s="55"/>
      <c r="S3" s="66"/>
      <c r="T3" s="55"/>
      <c r="U3" s="55"/>
      <c r="V3" s="55"/>
      <c r="W3" s="109"/>
      <c r="X3" s="117"/>
      <c r="Y3" s="114" t="s">
        <v>49</v>
      </c>
      <c r="Z3" s="119"/>
      <c r="AA3" s="118"/>
      <c r="AB3" s="119"/>
      <c r="AC3" s="118"/>
      <c r="AD3" s="119"/>
      <c r="AE3" s="118"/>
      <c r="AF3" s="119"/>
      <c r="AG3" s="118"/>
      <c r="AH3" s="116"/>
      <c r="AI3" s="109"/>
      <c r="AJ3" s="119"/>
      <c r="AK3" s="118"/>
      <c r="AU3" s="20"/>
      <c r="AV3" s="20"/>
      <c r="AW3" s="20"/>
      <c r="AX3" s="20"/>
      <c r="AY3" s="19"/>
      <c r="BB3" s="20"/>
      <c r="BC3" s="20"/>
      <c r="BD3" s="20"/>
      <c r="BE3" s="20"/>
      <c r="BF3" s="20"/>
      <c r="BK3" s="20"/>
      <c r="BL3" s="20"/>
      <c r="BM3" s="20"/>
      <c r="BN3" s="20"/>
      <c r="BO3" s="19"/>
      <c r="BR3" s="20"/>
      <c r="BS3" s="20"/>
      <c r="BT3" s="20"/>
      <c r="BU3" s="20"/>
      <c r="BV3" s="20"/>
      <c r="BZ3" s="20"/>
      <c r="CA3" s="20"/>
      <c r="CB3" s="20"/>
      <c r="CC3" s="20"/>
      <c r="CD3" s="19"/>
      <c r="CG3" s="20"/>
      <c r="CH3" s="20"/>
      <c r="CI3" s="20"/>
      <c r="CJ3" s="20"/>
      <c r="CK3" s="20"/>
      <c r="CM3" s="6"/>
    </row>
    <row r="4" spans="1:91" ht="14" customHeight="1">
      <c r="A4" s="2"/>
      <c r="B4" s="18" t="s">
        <v>6</v>
      </c>
      <c r="C4" s="18" t="s">
        <v>7</v>
      </c>
      <c r="D4" s="15" t="s">
        <v>8</v>
      </c>
      <c r="E4" s="18" t="s">
        <v>9</v>
      </c>
      <c r="F4" s="2" t="s">
        <v>10</v>
      </c>
      <c r="H4" s="15" t="s">
        <v>11</v>
      </c>
      <c r="I4" s="18" t="s">
        <v>12</v>
      </c>
      <c r="J4" s="15" t="s">
        <v>13</v>
      </c>
      <c r="K4" s="18" t="s">
        <v>6</v>
      </c>
      <c r="L4" s="18" t="s">
        <v>14</v>
      </c>
      <c r="M4" s="18" t="str">
        <f>(J4)</f>
        <v>Curr.</v>
      </c>
      <c r="O4" s="18" t="s">
        <v>6</v>
      </c>
      <c r="P4" s="18"/>
      <c r="Q4" s="55" t="s">
        <v>57</v>
      </c>
      <c r="R4" s="55"/>
      <c r="S4" s="28"/>
      <c r="T4" s="55"/>
      <c r="U4" s="55"/>
      <c r="V4" s="55"/>
      <c r="W4" s="109"/>
      <c r="X4" s="117"/>
      <c r="Y4" s="114" t="s">
        <v>50</v>
      </c>
      <c r="Z4" s="119"/>
      <c r="AA4" s="118"/>
      <c r="AB4" s="119"/>
      <c r="AC4" s="118"/>
      <c r="AD4" s="119"/>
      <c r="AE4" s="118"/>
      <c r="AF4" s="119"/>
      <c r="AG4" s="118"/>
      <c r="AH4" s="116"/>
      <c r="AI4" s="109"/>
      <c r="AJ4" s="119"/>
      <c r="AK4" s="118"/>
      <c r="AU4" s="20"/>
      <c r="AV4" s="20"/>
      <c r="AW4" s="20"/>
      <c r="AX4" s="20"/>
      <c r="AY4" s="19"/>
      <c r="BB4" s="20"/>
      <c r="BC4" s="20"/>
      <c r="BD4" s="20"/>
      <c r="BE4" s="20"/>
      <c r="BF4" s="20"/>
      <c r="BK4" s="20"/>
      <c r="BL4" s="20"/>
      <c r="BM4" s="20"/>
      <c r="BN4" s="20"/>
      <c r="BO4" s="19"/>
      <c r="BR4" s="20"/>
      <c r="BS4" s="20"/>
      <c r="BT4" s="20"/>
      <c r="BU4" s="20"/>
      <c r="BV4" s="20"/>
      <c r="BZ4" s="20"/>
      <c r="CA4" s="20"/>
      <c r="CB4" s="20"/>
      <c r="CC4" s="20"/>
      <c r="CD4" s="19"/>
      <c r="CG4" s="20"/>
      <c r="CH4" s="20"/>
      <c r="CI4" s="20"/>
      <c r="CJ4" s="20"/>
      <c r="CK4" s="20"/>
      <c r="CM4" s="6"/>
    </row>
    <row r="5" spans="1:91" ht="14" customHeight="1">
      <c r="A5" s="2"/>
      <c r="B5" s="18" t="s">
        <v>15</v>
      </c>
      <c r="C5" s="18" t="s">
        <v>16</v>
      </c>
      <c r="D5" s="15" t="s">
        <v>15</v>
      </c>
      <c r="E5" s="18" t="s">
        <v>17</v>
      </c>
      <c r="F5" s="55" t="s">
        <v>109</v>
      </c>
      <c r="H5" s="15" t="s">
        <v>17</v>
      </c>
      <c r="I5" s="18" t="s">
        <v>15</v>
      </c>
      <c r="J5" s="15" t="s">
        <v>15</v>
      </c>
      <c r="K5" s="18" t="s">
        <v>15</v>
      </c>
      <c r="L5" s="18" t="s">
        <v>18</v>
      </c>
      <c r="M5" s="22" t="str">
        <f>(J5)</f>
        <v>Access</v>
      </c>
      <c r="O5" s="2" t="s">
        <v>19</v>
      </c>
      <c r="P5" s="18"/>
      <c r="Q5" s="55"/>
      <c r="R5" s="55"/>
      <c r="S5" s="28"/>
      <c r="T5" s="55"/>
      <c r="U5" s="55"/>
      <c r="V5" s="55"/>
      <c r="W5" s="109"/>
      <c r="X5" s="117"/>
      <c r="Y5" s="114"/>
      <c r="Z5" s="119"/>
      <c r="AA5" s="118"/>
      <c r="AB5" s="119"/>
      <c r="AC5" s="118"/>
      <c r="AD5" s="119"/>
      <c r="AE5" s="118"/>
      <c r="AF5" s="119"/>
      <c r="AG5" s="118"/>
      <c r="AH5" s="116"/>
      <c r="AI5" s="109"/>
      <c r="AJ5" s="119"/>
      <c r="AK5" s="118"/>
      <c r="AV5" s="20"/>
      <c r="AW5" s="20"/>
      <c r="AX5" s="20"/>
      <c r="BC5" s="20"/>
      <c r="BD5" s="20"/>
      <c r="BE5" s="20"/>
      <c r="BL5" s="20"/>
      <c r="BM5" s="20"/>
      <c r="BN5" s="20"/>
      <c r="BS5" s="20"/>
      <c r="BT5" s="20"/>
      <c r="BU5" s="20"/>
      <c r="CA5" s="20"/>
      <c r="CB5" s="20"/>
      <c r="CC5" s="20"/>
      <c r="CH5" s="20"/>
      <c r="CI5" s="20"/>
      <c r="CJ5" s="20"/>
    </row>
    <row r="6" spans="1:91" ht="14" customHeight="1">
      <c r="A6" s="84" t="str">
        <f>IF('Q2'!A6=0,"",'Q2'!A6)</f>
        <v/>
      </c>
      <c r="B6" s="100">
        <f>IF([1]Summ!$J1044="",0,[1]Summ!$J1044)</f>
        <v>0</v>
      </c>
      <c r="C6" s="101">
        <f>IF([1]Summ!$K1044="",0,[1]Summ!$K1044)</f>
        <v>0</v>
      </c>
      <c r="D6" s="23">
        <f t="shared" ref="D6:D29" si="0">(B6+C6)</f>
        <v>0</v>
      </c>
      <c r="E6" s="74">
        <f>'Q3'!E6</f>
        <v>1</v>
      </c>
      <c r="F6" s="2" t="s">
        <v>20</v>
      </c>
      <c r="H6" s="23">
        <f t="shared" ref="H6:H29" si="1">(E6*F$7/F$9)</f>
        <v>1</v>
      </c>
      <c r="I6" s="21">
        <f t="shared" ref="I6:I29" si="2">(D6*H6)</f>
        <v>0</v>
      </c>
      <c r="J6" s="23">
        <f t="shared" ref="J6:J13" si="3">IF(I$32&lt;=1+I$131,I6,B6*H6+J$33*(I6-B6*H6))</f>
        <v>0</v>
      </c>
      <c r="K6" s="21">
        <f t="shared" ref="K6:K31" si="4">B6</f>
        <v>0</v>
      </c>
      <c r="L6" s="21">
        <f t="shared" ref="L6:L29" si="5">IF(K6="","",K6*H6)</f>
        <v>0</v>
      </c>
      <c r="M6" s="175">
        <f t="shared" ref="M6:M31" si="6">J6</f>
        <v>0</v>
      </c>
      <c r="N6" s="227"/>
      <c r="O6" s="21" t="s">
        <v>21</v>
      </c>
      <c r="P6" s="21"/>
      <c r="Q6" s="55"/>
      <c r="R6" s="69" t="s">
        <v>6</v>
      </c>
      <c r="S6" s="69" t="s">
        <v>58</v>
      </c>
      <c r="T6" s="69" t="s">
        <v>21</v>
      </c>
      <c r="U6" s="55"/>
      <c r="V6" s="55"/>
      <c r="W6" s="114"/>
      <c r="X6" s="117"/>
      <c r="Y6" s="181">
        <f>M6*4</f>
        <v>0</v>
      </c>
      <c r="Z6" s="155">
        <f>'Q2'!Z6</f>
        <v>0.17</v>
      </c>
      <c r="AA6" s="120">
        <f>$M6*Z6*4</f>
        <v>0</v>
      </c>
      <c r="AB6" s="155">
        <f>'Q2'!AB6</f>
        <v>0.17</v>
      </c>
      <c r="AC6" s="120">
        <f t="shared" ref="AC6:AC29" si="7">$M6*AB6*4</f>
        <v>0</v>
      </c>
      <c r="AD6" s="155">
        <f>'Q2'!AD6</f>
        <v>0.33</v>
      </c>
      <c r="AE6" s="120">
        <f t="shared" ref="AE6:AE29" si="8">$M6*AD6*4</f>
        <v>0</v>
      </c>
      <c r="AF6" s="121">
        <f>1-SUM(Z6,AB6,AD6)</f>
        <v>0.32999999999999996</v>
      </c>
      <c r="AG6" s="120">
        <f>$M6*AF6*4</f>
        <v>0</v>
      </c>
      <c r="AH6" s="122">
        <f>SUM(Z6,AB6,AD6,AF6)</f>
        <v>1</v>
      </c>
      <c r="AI6" s="181">
        <f>SUM(AA6,AC6,AE6,AG6)/4</f>
        <v>0</v>
      </c>
      <c r="AJ6" s="119">
        <f>(AA6+AC6)/2</f>
        <v>0</v>
      </c>
      <c r="AK6" s="118">
        <f>(AE6+AG6)/2</f>
        <v>0</v>
      </c>
      <c r="AS6" s="24"/>
      <c r="AT6" s="24"/>
      <c r="AU6" s="24"/>
      <c r="AV6" s="24"/>
      <c r="AW6" s="24"/>
      <c r="AX6" s="24"/>
      <c r="AZ6" s="24"/>
      <c r="BA6" s="24"/>
      <c r="BB6" s="24"/>
      <c r="BC6" s="24"/>
      <c r="BD6" s="24"/>
      <c r="BE6" s="24"/>
      <c r="BF6" s="24"/>
      <c r="BI6" s="24"/>
      <c r="BJ6" s="24"/>
      <c r="BK6" s="24"/>
      <c r="BL6" s="24"/>
      <c r="BM6" s="24"/>
      <c r="BN6" s="24"/>
      <c r="BP6" s="24"/>
      <c r="BQ6" s="24"/>
      <c r="BR6" s="24"/>
      <c r="BS6" s="24"/>
      <c r="BT6" s="24"/>
      <c r="BU6" s="24"/>
      <c r="BV6" s="24"/>
      <c r="BX6" s="24"/>
      <c r="BY6" s="24"/>
      <c r="BZ6" s="24"/>
      <c r="CA6" s="24"/>
      <c r="CB6" s="24"/>
      <c r="CC6" s="24"/>
      <c r="CE6" s="24"/>
      <c r="CF6" s="24"/>
      <c r="CG6" s="24"/>
      <c r="CH6" s="24"/>
      <c r="CI6" s="24"/>
      <c r="CJ6" s="24"/>
      <c r="CK6" s="24"/>
    </row>
    <row r="7" spans="1:91" ht="14" customHeight="1">
      <c r="A7" s="84" t="str">
        <f>IF('Q2'!A7=0,"",'Q2'!A7)</f>
        <v/>
      </c>
      <c r="B7" s="100">
        <f>IF([1]Summ!$J1045="",0,[1]Summ!$J1045)</f>
        <v>0</v>
      </c>
      <c r="C7" s="101">
        <f>IF([1]Summ!$K1045="",0,[1]Summ!$K1045)</f>
        <v>0</v>
      </c>
      <c r="D7" s="23">
        <f t="shared" si="0"/>
        <v>0</v>
      </c>
      <c r="E7" s="74">
        <f>'Q3'!E7</f>
        <v>1</v>
      </c>
      <c r="F7" s="26">
        <v>8800</v>
      </c>
      <c r="H7" s="23">
        <f t="shared" si="1"/>
        <v>1</v>
      </c>
      <c r="I7" s="21">
        <f t="shared" si="2"/>
        <v>0</v>
      </c>
      <c r="J7" s="23">
        <f t="shared" si="3"/>
        <v>0</v>
      </c>
      <c r="K7" s="21">
        <f t="shared" si="4"/>
        <v>0</v>
      </c>
      <c r="L7" s="21">
        <f t="shared" si="5"/>
        <v>0</v>
      </c>
      <c r="M7" s="175">
        <f t="shared" si="6"/>
        <v>0</v>
      </c>
      <c r="N7" s="227"/>
      <c r="O7" s="2"/>
      <c r="P7" s="21"/>
      <c r="Q7" s="58" t="s">
        <v>59</v>
      </c>
      <c r="R7" s="220">
        <f>IF($B$81=0,0,(SUMIF($N$6:$N$28,$U7,K$6:K$28)+SUMIF($N$91:$N$118,$U7,K$91:K$118))*$B$83*$H$84*'Q2'!$B$81/$B$81)</f>
        <v>0</v>
      </c>
      <c r="S7" s="220">
        <f>IF($B$81=0,0,(SUMIF($N$6:$N$28,$U7,L$6:L$28)+SUMIF($N$91:$N$118,$U7,L$91:L$118))*$I$83*'Q2'!$B$81/$B$81)</f>
        <v>0</v>
      </c>
      <c r="T7" s="220">
        <f>IF($B$81=0,0,(SUMIF($N$6:$N$28,$U7,M$6:M$28)+SUMIF($N$91:$N$118,$U7,M$91:M$118))*$I$83*'Q2'!$B$81/$B$81)</f>
        <v>0</v>
      </c>
      <c r="U7" s="221">
        <v>1</v>
      </c>
      <c r="V7" s="55"/>
      <c r="W7" s="114"/>
      <c r="X7" s="117">
        <f>'Q2'!X7</f>
        <v>4</v>
      </c>
      <c r="Y7" s="181">
        <f t="shared" ref="Y7:Y29" si="9">M7*4</f>
        <v>0</v>
      </c>
      <c r="Z7" s="124">
        <f>IF($Y7=0,0,AA7/$Y7)</f>
        <v>0</v>
      </c>
      <c r="AA7" s="120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4">
        <f>IF($Y7=0,0,AC7/$Y7)</f>
        <v>0</v>
      </c>
      <c r="AC7" s="120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4">
        <f>IF($Y7=0,0,AE7/$Y7)</f>
        <v>0</v>
      </c>
      <c r="AE7" s="120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1">
        <f t="shared" ref="AF7:AF29" si="10">1-SUM(Z7,AB7,AD7)</f>
        <v>1</v>
      </c>
      <c r="AG7" s="120">
        <f t="shared" ref="AG7:AG29" si="11">$M7*AF7*4</f>
        <v>0</v>
      </c>
      <c r="AH7" s="122">
        <f t="shared" ref="AH7:AH30" si="12">SUM(Z7,AB7,AD7,AF7)</f>
        <v>1</v>
      </c>
      <c r="AI7" s="181">
        <f t="shared" ref="AI7:AI30" si="13">SUM(AA7,AC7,AE7,AG7)/4</f>
        <v>0</v>
      </c>
      <c r="AJ7" s="119">
        <f t="shared" ref="AJ7:AJ31" si="14">(AA7+AC7)/2</f>
        <v>0</v>
      </c>
      <c r="AK7" s="118">
        <f t="shared" ref="AK7:AK31" si="15">(AE7+AG7)/2</f>
        <v>0</v>
      </c>
      <c r="AS7" s="24"/>
      <c r="AT7" s="24"/>
      <c r="AU7" s="24"/>
      <c r="AV7" s="24"/>
      <c r="AW7" s="24"/>
      <c r="AX7" s="24"/>
      <c r="AZ7" s="24"/>
      <c r="BA7" s="24"/>
      <c r="BB7" s="24"/>
      <c r="BC7" s="24"/>
      <c r="BD7" s="24"/>
      <c r="BE7" s="24"/>
      <c r="BF7" s="24"/>
      <c r="BI7" s="24"/>
      <c r="BJ7" s="24"/>
      <c r="BK7" s="24"/>
      <c r="BL7" s="24"/>
      <c r="BM7" s="24"/>
      <c r="BN7" s="24"/>
      <c r="BP7" s="24"/>
      <c r="BQ7" s="24"/>
      <c r="BR7" s="24"/>
      <c r="BS7" s="24"/>
      <c r="BT7" s="24"/>
      <c r="BU7" s="24"/>
      <c r="BV7" s="24"/>
      <c r="BX7" s="24"/>
      <c r="BY7" s="24"/>
      <c r="BZ7" s="24"/>
      <c r="CA7" s="24"/>
      <c r="CB7" s="24"/>
      <c r="CC7" s="24"/>
      <c r="CE7" s="24"/>
      <c r="CF7" s="24"/>
      <c r="CG7" s="24"/>
      <c r="CH7" s="24"/>
      <c r="CI7" s="24"/>
      <c r="CJ7" s="24"/>
      <c r="CK7" s="24"/>
    </row>
    <row r="8" spans="1:91" ht="14" customHeight="1">
      <c r="A8" s="84" t="str">
        <f>IF('Q2'!A8=0,"",'Q2'!A8)</f>
        <v/>
      </c>
      <c r="B8" s="100">
        <f>IF([1]Summ!$J1046="",0,[1]Summ!$J1046)</f>
        <v>0</v>
      </c>
      <c r="C8" s="101">
        <f>IF([1]Summ!$K1046="",0,[1]Summ!$K1046)</f>
        <v>0</v>
      </c>
      <c r="D8" s="23">
        <f t="shared" si="0"/>
        <v>0</v>
      </c>
      <c r="E8" s="74">
        <f>'Q3'!E8</f>
        <v>1</v>
      </c>
      <c r="F8" s="21" t="s">
        <v>22</v>
      </c>
      <c r="H8" s="23">
        <f t="shared" si="1"/>
        <v>1</v>
      </c>
      <c r="I8" s="21">
        <f t="shared" si="2"/>
        <v>0</v>
      </c>
      <c r="J8" s="23">
        <f t="shared" si="3"/>
        <v>0</v>
      </c>
      <c r="K8" s="21">
        <f t="shared" si="4"/>
        <v>0</v>
      </c>
      <c r="L8" s="21">
        <f t="shared" si="5"/>
        <v>0</v>
      </c>
      <c r="M8" s="222">
        <f t="shared" si="6"/>
        <v>0</v>
      </c>
      <c r="N8" s="227"/>
      <c r="O8" s="2"/>
      <c r="P8" s="21"/>
      <c r="Q8" s="58" t="s">
        <v>60</v>
      </c>
      <c r="R8" s="220">
        <f>IF($B$81=0,0,(SUMIF($N$6:$N$28,$U8,K$6:K$28)+SUMIF($N$91:$N$118,$U8,K$91:K$118))*$B$83*$H$84*'Q2'!$B$81/$B$81)</f>
        <v>0</v>
      </c>
      <c r="S8" s="220">
        <f>IF($B$81=0,0,(SUMIF($N$6:$N$28,$U8,L$6:L$28)+SUMIF($N$91:$N$118,$U8,L$91:L$118))*$I$83*'Q2'!$B$81/$B$81)</f>
        <v>0</v>
      </c>
      <c r="T8" s="220">
        <f>IF($B$81=0,0,(SUMIF($N$6:$N$28,$U8,M$6:M$28)+SUMIF($N$91:$N$118,$U8,M$91:M$118))*$I$83*'Q2'!$B$81/$B$81)</f>
        <v>0</v>
      </c>
      <c r="U8" s="221">
        <v>2</v>
      </c>
      <c r="V8" s="55"/>
      <c r="W8" s="114"/>
      <c r="X8" s="117">
        <f>'Q2'!X8</f>
        <v>1</v>
      </c>
      <c r="Y8" s="181">
        <f t="shared" si="9"/>
        <v>0</v>
      </c>
      <c r="Z8" s="124">
        <f>IF($Y8=0,0,AA8/$Y8)</f>
        <v>0</v>
      </c>
      <c r="AA8" s="120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4">
        <f>IF($Y8=0,0,AC8/$Y8)</f>
        <v>0</v>
      </c>
      <c r="AC8" s="120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4">
        <f>IF($Y8=0,0,AE8/$Y8)</f>
        <v>0</v>
      </c>
      <c r="AE8" s="120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1">
        <f t="shared" si="10"/>
        <v>1</v>
      </c>
      <c r="AG8" s="120">
        <f t="shared" si="11"/>
        <v>0</v>
      </c>
      <c r="AH8" s="122">
        <f t="shared" si="12"/>
        <v>1</v>
      </c>
      <c r="AI8" s="181" t="e">
        <f t="shared" si="13"/>
        <v>#DIV/0!</v>
      </c>
      <c r="AJ8" s="119" t="e">
        <f t="shared" si="14"/>
        <v>#DIV/0!</v>
      </c>
      <c r="AK8" s="118" t="e">
        <f t="shared" si="15"/>
        <v>#DIV/0!</v>
      </c>
      <c r="AS8" s="24"/>
      <c r="AT8" s="24"/>
      <c r="AU8" s="24"/>
      <c r="AV8" s="24"/>
      <c r="AW8" s="24"/>
      <c r="AX8" s="24"/>
      <c r="AZ8" s="24"/>
      <c r="BA8" s="24"/>
      <c r="BB8" s="24"/>
      <c r="BC8" s="24"/>
      <c r="BD8" s="24"/>
      <c r="BE8" s="24"/>
      <c r="BF8" s="24"/>
      <c r="BI8" s="24"/>
      <c r="BJ8" s="24"/>
      <c r="BK8" s="24"/>
      <c r="BL8" s="24"/>
      <c r="BM8" s="24"/>
      <c r="BN8" s="24"/>
      <c r="BP8" s="24"/>
      <c r="BQ8" s="24"/>
      <c r="BR8" s="24"/>
      <c r="BS8" s="24"/>
      <c r="BT8" s="24"/>
      <c r="BU8" s="24"/>
      <c r="BV8" s="24"/>
      <c r="BX8" s="24"/>
      <c r="BY8" s="24"/>
      <c r="BZ8" s="24"/>
      <c r="CA8" s="24"/>
      <c r="CB8" s="24"/>
      <c r="CC8" s="24"/>
      <c r="CE8" s="24"/>
      <c r="CF8" s="24"/>
      <c r="CG8" s="24"/>
      <c r="CH8" s="24"/>
      <c r="CI8" s="24"/>
      <c r="CJ8" s="24"/>
      <c r="CK8" s="24"/>
    </row>
    <row r="9" spans="1:91" ht="14" customHeight="1">
      <c r="A9" s="84" t="str">
        <f>IF('Q2'!A9=0,"",'Q2'!A9)</f>
        <v/>
      </c>
      <c r="B9" s="100">
        <f>IF([1]Summ!$J1047="",0,[1]Summ!$J1047)</f>
        <v>0</v>
      </c>
      <c r="C9" s="101">
        <f>IF([1]Summ!$K1047="",0,[1]Summ!$K1047)</f>
        <v>0</v>
      </c>
      <c r="D9" s="23">
        <f t="shared" si="0"/>
        <v>0</v>
      </c>
      <c r="E9" s="74">
        <f>'Q3'!E9</f>
        <v>1</v>
      </c>
      <c r="F9" s="75">
        <f>'Q2'!F9</f>
        <v>8800</v>
      </c>
      <c r="H9" s="23">
        <f t="shared" si="1"/>
        <v>1</v>
      </c>
      <c r="I9" s="21">
        <f t="shared" si="2"/>
        <v>0</v>
      </c>
      <c r="J9" s="23">
        <f t="shared" si="3"/>
        <v>0</v>
      </c>
      <c r="K9" s="21">
        <f t="shared" si="4"/>
        <v>0</v>
      </c>
      <c r="L9" s="21">
        <f t="shared" si="5"/>
        <v>0</v>
      </c>
      <c r="M9" s="222">
        <f t="shared" si="6"/>
        <v>0</v>
      </c>
      <c r="N9" s="227"/>
      <c r="O9" s="2"/>
      <c r="P9" s="21"/>
      <c r="Q9" s="58" t="s">
        <v>61</v>
      </c>
      <c r="R9" s="220">
        <f>IF($B$81=0,0,(SUMIF($N$6:$N$28,$U9,K$6:K$28)+SUMIF($N$91:$N$118,$U9,K$91:K$118))*$B$83*$H$84*'Q2'!$B$81/$B$81)</f>
        <v>0</v>
      </c>
      <c r="S9" s="220">
        <f>IF($B$81=0,0,(SUMIF($N$6:$N$28,$U9,L$6:L$28)+SUMIF($N$91:$N$118,$U9,L$91:L$118))*$I$83*'Q2'!$B$81/$B$81)</f>
        <v>0</v>
      </c>
      <c r="T9" s="220">
        <f>IF($B$81=0,0,(SUMIF($N$6:$N$28,$U9,M$6:M$28)+SUMIF($N$91:$N$118,$U9,M$91:M$118))*$I$83*'Q2'!$B$81/$B$81)</f>
        <v>0</v>
      </c>
      <c r="U9" s="221">
        <v>3</v>
      </c>
      <c r="V9" s="55"/>
      <c r="W9" s="114"/>
      <c r="X9" s="117">
        <f>'Q2'!X9</f>
        <v>1</v>
      </c>
      <c r="Y9" s="181">
        <f t="shared" si="9"/>
        <v>0</v>
      </c>
      <c r="Z9" s="124">
        <f>IF($Y9=0,0,AA9/$Y9)</f>
        <v>0</v>
      </c>
      <c r="AA9" s="120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4">
        <f>IF($Y9=0,0,AC9/$Y9)</f>
        <v>0</v>
      </c>
      <c r="AC9" s="120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4">
        <f>IF($Y9=0,0,AE9/$Y9)</f>
        <v>0</v>
      </c>
      <c r="AE9" s="120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1">
        <f t="shared" si="10"/>
        <v>1</v>
      </c>
      <c r="AG9" s="120">
        <f t="shared" si="11"/>
        <v>0</v>
      </c>
      <c r="AH9" s="122">
        <f t="shared" si="12"/>
        <v>1</v>
      </c>
      <c r="AI9" s="181" t="e">
        <f t="shared" si="13"/>
        <v>#DIV/0!</v>
      </c>
      <c r="AJ9" s="119" t="e">
        <f t="shared" si="14"/>
        <v>#DIV/0!</v>
      </c>
      <c r="AK9" s="118" t="e">
        <f t="shared" si="15"/>
        <v>#DIV/0!</v>
      </c>
      <c r="AS9" s="24"/>
      <c r="AT9" s="24"/>
      <c r="AU9" s="24"/>
      <c r="AV9" s="24"/>
      <c r="AW9" s="24"/>
      <c r="AX9" s="24"/>
      <c r="AZ9" s="24"/>
      <c r="BA9" s="24"/>
      <c r="BB9" s="24"/>
      <c r="BC9" s="24"/>
      <c r="BD9" s="24"/>
      <c r="BE9" s="24"/>
      <c r="BF9" s="24"/>
      <c r="BI9" s="24"/>
      <c r="BJ9" s="24"/>
      <c r="BK9" s="24"/>
      <c r="BL9" s="24"/>
      <c r="BM9" s="24"/>
      <c r="BN9" s="24"/>
      <c r="BP9" s="24"/>
      <c r="BQ9" s="24"/>
      <c r="BR9" s="24"/>
      <c r="BS9" s="24"/>
      <c r="BT9" s="24"/>
      <c r="BU9" s="24"/>
      <c r="BV9" s="24"/>
      <c r="BX9" s="24"/>
      <c r="BY9" s="24"/>
      <c r="BZ9" s="24"/>
      <c r="CA9" s="24"/>
      <c r="CB9" s="24"/>
      <c r="CC9" s="24"/>
      <c r="CE9" s="24"/>
      <c r="CF9" s="24"/>
      <c r="CG9" s="24"/>
      <c r="CH9" s="24"/>
      <c r="CI9" s="24"/>
      <c r="CJ9" s="24"/>
      <c r="CK9" s="24"/>
    </row>
    <row r="10" spans="1:91" ht="14" customHeight="1">
      <c r="A10" s="84" t="str">
        <f>IF('Q2'!A10=0,"",'Q2'!A10)</f>
        <v/>
      </c>
      <c r="B10" s="100">
        <f>IF([1]Summ!$J1048="",0,[1]Summ!$J1048)</f>
        <v>0</v>
      </c>
      <c r="C10" s="101">
        <f>IF([1]Summ!$K1048="",0,[1]Summ!$K1048)</f>
        <v>0</v>
      </c>
      <c r="D10" s="23">
        <f t="shared" si="0"/>
        <v>0</v>
      </c>
      <c r="E10" s="74">
        <f>'Q3'!E10</f>
        <v>1</v>
      </c>
      <c r="H10" s="23">
        <f t="shared" si="1"/>
        <v>1</v>
      </c>
      <c r="I10" s="21">
        <f t="shared" si="2"/>
        <v>0</v>
      </c>
      <c r="J10" s="23">
        <f t="shared" si="3"/>
        <v>0</v>
      </c>
      <c r="K10" s="21">
        <f t="shared" si="4"/>
        <v>0</v>
      </c>
      <c r="L10" s="21">
        <f t="shared" si="5"/>
        <v>0</v>
      </c>
      <c r="M10" s="222">
        <f t="shared" si="6"/>
        <v>0</v>
      </c>
      <c r="N10" s="227"/>
      <c r="O10" s="2"/>
      <c r="P10" s="21"/>
      <c r="Q10" s="58" t="s">
        <v>62</v>
      </c>
      <c r="R10" s="220">
        <f>IF($B$81=0,0,(SUMIF($N$6:$N$28,$U10,K$6:K$28)+SUMIF($N$91:$N$118,$U10,K$91:K$118))*$B$83*$H$84*'Q2'!$B$81/$B$81)</f>
        <v>0</v>
      </c>
      <c r="S10" s="220">
        <f>IF($B$81=0,0,(SUMIF($N$6:$N$28,$U10,L$6:L$28)+SUMIF($N$91:$N$118,$U10,L$91:L$118))*$I$83*'Q2'!$B$81/$B$81)</f>
        <v>0</v>
      </c>
      <c r="T10" s="220">
        <f>IF($B$81=0,0,(SUMIF($N$6:$N$28,$U10,M$6:M$28)+SUMIF($N$91:$N$118,$U10,M$91:M$118))*$I$83*'Q2'!$B$81/$B$81)</f>
        <v>0</v>
      </c>
      <c r="U10" s="221">
        <v>4</v>
      </c>
      <c r="V10" s="55"/>
      <c r="W10" s="114"/>
      <c r="X10" s="117">
        <f>'Q2'!X10</f>
        <v>1</v>
      </c>
      <c r="Y10" s="181">
        <f t="shared" si="9"/>
        <v>0</v>
      </c>
      <c r="Z10" s="124">
        <f>IF($Y10=0,0,AA10/$Y10)</f>
        <v>0</v>
      </c>
      <c r="AA10" s="120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4">
        <f>IF($Y10=0,0,AC10/$Y10)</f>
        <v>0</v>
      </c>
      <c r="AC10" s="120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4">
        <f>IF($Y10=0,0,AE10/$Y10)</f>
        <v>0</v>
      </c>
      <c r="AE10" s="120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1">
        <f t="shared" si="10"/>
        <v>1</v>
      </c>
      <c r="AG10" s="120">
        <f t="shared" si="11"/>
        <v>0</v>
      </c>
      <c r="AH10" s="122">
        <f t="shared" si="12"/>
        <v>1</v>
      </c>
      <c r="AI10" s="181" t="e">
        <f t="shared" si="13"/>
        <v>#DIV/0!</v>
      </c>
      <c r="AJ10" s="119" t="e">
        <f t="shared" si="14"/>
        <v>#DIV/0!</v>
      </c>
      <c r="AK10" s="118" t="e">
        <f t="shared" si="15"/>
        <v>#DIV/0!</v>
      </c>
      <c r="AS10" s="24"/>
      <c r="AT10" s="24"/>
      <c r="AU10" s="24"/>
      <c r="AV10" s="24"/>
      <c r="AW10" s="24"/>
      <c r="AX10" s="24"/>
      <c r="AZ10" s="24"/>
      <c r="BA10" s="24"/>
      <c r="BB10" s="24"/>
      <c r="BC10" s="24"/>
      <c r="BD10" s="24"/>
      <c r="BE10" s="24"/>
      <c r="BF10" s="24"/>
      <c r="BI10" s="24"/>
      <c r="BJ10" s="24"/>
      <c r="BK10" s="24"/>
      <c r="BL10" s="24"/>
      <c r="BM10" s="24"/>
      <c r="BN10" s="24"/>
      <c r="BP10" s="24"/>
      <c r="BQ10" s="24"/>
      <c r="BR10" s="24"/>
      <c r="BS10" s="24"/>
      <c r="BT10" s="24"/>
      <c r="BU10" s="24"/>
      <c r="BV10" s="24"/>
      <c r="BX10" s="24"/>
      <c r="BY10" s="24"/>
      <c r="BZ10" s="24"/>
      <c r="CA10" s="24"/>
      <c r="CB10" s="24"/>
      <c r="CC10" s="24"/>
      <c r="CE10" s="24"/>
      <c r="CF10" s="24"/>
      <c r="CG10" s="24"/>
      <c r="CH10" s="24"/>
      <c r="CI10" s="24"/>
      <c r="CJ10" s="24"/>
      <c r="CK10" s="24"/>
    </row>
    <row r="11" spans="1:91" ht="14" customHeight="1">
      <c r="A11" s="84" t="str">
        <f>IF('Q2'!A11=0,"",'Q2'!A11)</f>
        <v/>
      </c>
      <c r="B11" s="100">
        <f>IF([1]Summ!$J1049="",0,[1]Summ!$J1049)</f>
        <v>0</v>
      </c>
      <c r="C11" s="101">
        <f>IF([1]Summ!$K1049="",0,[1]Summ!$K1049)</f>
        <v>0</v>
      </c>
      <c r="D11" s="23">
        <f t="shared" si="0"/>
        <v>0</v>
      </c>
      <c r="E11" s="74">
        <f>'Q3'!E11</f>
        <v>1</v>
      </c>
      <c r="H11" s="23">
        <f t="shared" si="1"/>
        <v>1</v>
      </c>
      <c r="I11" s="21">
        <f t="shared" si="2"/>
        <v>0</v>
      </c>
      <c r="J11" s="23">
        <f t="shared" si="3"/>
        <v>0</v>
      </c>
      <c r="K11" s="21">
        <f t="shared" si="4"/>
        <v>0</v>
      </c>
      <c r="L11" s="21">
        <f t="shared" si="5"/>
        <v>0</v>
      </c>
      <c r="M11" s="222">
        <f t="shared" si="6"/>
        <v>0</v>
      </c>
      <c r="N11" s="227"/>
      <c r="O11" s="2"/>
      <c r="P11" s="21"/>
      <c r="Q11" s="58" t="s">
        <v>63</v>
      </c>
      <c r="R11" s="220">
        <f>IF($B$81=0,0,(SUMIF($N$6:$N$28,$U11,K$6:K$28)+SUMIF($N$91:$N$118,$U11,K$91:K$118))*$B$83*$H$84*'Q2'!$B$81/$B$81)</f>
        <v>0</v>
      </c>
      <c r="S11" s="220">
        <f>IF($B$81=0,0,(SUMIF($N$6:$N$28,$U11,L$6:L$28)+SUMIF($N$91:$N$118,$U11,L$91:L$118))*$I$83*'Q2'!$B$81/$B$81)</f>
        <v>0</v>
      </c>
      <c r="T11" s="220">
        <f>IF($B$81=0,0,(SUMIF($N$6:$N$28,$U11,M$6:M$28)+SUMIF($N$91:$N$118,$U11,M$91:M$118))*$I$83*'Q2'!$B$81/$B$81)</f>
        <v>0</v>
      </c>
      <c r="U11" s="221">
        <v>5</v>
      </c>
      <c r="V11" s="55"/>
      <c r="W11" s="114"/>
      <c r="X11" s="117">
        <f>'Q2'!X11</f>
        <v>1</v>
      </c>
      <c r="Y11" s="181">
        <f t="shared" si="9"/>
        <v>0</v>
      </c>
      <c r="Z11" s="124">
        <f>IF($Y11=0,0,AA11/$Y11)</f>
        <v>0</v>
      </c>
      <c r="AA11" s="120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4">
        <f>IF($Y11=0,0,AC11/$Y11)</f>
        <v>0</v>
      </c>
      <c r="AC11" s="120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4">
        <f>IF($Y11=0,0,AE11/$Y11)</f>
        <v>0</v>
      </c>
      <c r="AE11" s="120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1">
        <f t="shared" si="10"/>
        <v>1</v>
      </c>
      <c r="AG11" s="120">
        <f t="shared" si="11"/>
        <v>0</v>
      </c>
      <c r="AH11" s="122">
        <f t="shared" si="12"/>
        <v>1</v>
      </c>
      <c r="AI11" s="181" t="e">
        <f t="shared" si="13"/>
        <v>#DIV/0!</v>
      </c>
      <c r="AJ11" s="119" t="e">
        <f t="shared" si="14"/>
        <v>#DIV/0!</v>
      </c>
      <c r="AK11" s="118" t="e">
        <f t="shared" si="15"/>
        <v>#DIV/0!</v>
      </c>
      <c r="AS11" s="24"/>
      <c r="AT11" s="24"/>
      <c r="AU11" s="24"/>
      <c r="AV11" s="24"/>
      <c r="AW11" s="24"/>
      <c r="AX11" s="24"/>
      <c r="AZ11" s="24"/>
      <c r="BA11" s="24"/>
      <c r="BB11" s="24"/>
      <c r="BC11" s="24"/>
      <c r="BD11" s="24"/>
      <c r="BE11" s="24"/>
      <c r="BF11" s="24"/>
      <c r="BI11" s="24"/>
      <c r="BJ11" s="24"/>
      <c r="BK11" s="24"/>
      <c r="BL11" s="24"/>
      <c r="BM11" s="24"/>
      <c r="BN11" s="24"/>
      <c r="BP11" s="24"/>
      <c r="BQ11" s="24"/>
      <c r="BR11" s="24"/>
      <c r="BS11" s="24"/>
      <c r="BT11" s="24"/>
      <c r="BU11" s="24"/>
      <c r="BV11" s="24"/>
      <c r="BX11" s="24"/>
      <c r="BY11" s="24"/>
      <c r="BZ11" s="24"/>
      <c r="CA11" s="24"/>
      <c r="CB11" s="24"/>
      <c r="CC11" s="24"/>
      <c r="CE11" s="24"/>
      <c r="CF11" s="24"/>
      <c r="CG11" s="24"/>
      <c r="CH11" s="24"/>
      <c r="CI11" s="24"/>
      <c r="CJ11" s="24"/>
      <c r="CK11" s="24"/>
    </row>
    <row r="12" spans="1:91" ht="14" customHeight="1">
      <c r="A12" s="84" t="str">
        <f>IF('Q2'!A12=0,"",'Q2'!A12)</f>
        <v/>
      </c>
      <c r="B12" s="100">
        <f>IF([1]Summ!$J1050="",0,[1]Summ!$J1050)</f>
        <v>0</v>
      </c>
      <c r="C12" s="101">
        <f>IF([1]Summ!$K1050="",0,[1]Summ!$K1050)</f>
        <v>0</v>
      </c>
      <c r="D12" s="23">
        <f t="shared" si="0"/>
        <v>0</v>
      </c>
      <c r="E12" s="74">
        <f>'Q3'!E12</f>
        <v>1</v>
      </c>
      <c r="H12" s="23">
        <f t="shared" si="1"/>
        <v>1</v>
      </c>
      <c r="I12" s="21">
        <f t="shared" si="2"/>
        <v>0</v>
      </c>
      <c r="J12" s="23">
        <f t="shared" si="3"/>
        <v>0</v>
      </c>
      <c r="K12" s="21">
        <f t="shared" si="4"/>
        <v>0</v>
      </c>
      <c r="L12" s="21">
        <f t="shared" si="5"/>
        <v>0</v>
      </c>
      <c r="M12" s="222">
        <f t="shared" si="6"/>
        <v>0</v>
      </c>
      <c r="N12" s="227"/>
      <c r="O12" s="2"/>
      <c r="P12" s="21"/>
      <c r="Q12" s="125" t="s">
        <v>104</v>
      </c>
      <c r="R12" s="220">
        <f>IF($B$81=0,0,(SUMIF($N$6:$N$28,$U12,K$6:K$28)+SUMIF($N$91:$N$118,$U12,K$91:K$118))*$B$83*$H$84*'Q2'!$B$81/$B$81)</f>
        <v>0</v>
      </c>
      <c r="S12" s="220">
        <f>IF($B$81=0,0,(SUMIF($N$6:$N$28,$U12,L$6:L$28)+SUMIF($N$91:$N$118,$U12,L$91:L$118))*$I$83*'Q2'!$B$81/$B$81)</f>
        <v>0</v>
      </c>
      <c r="T12" s="220">
        <f>IF($B$81=0,0,(SUMIF($N$6:$N$28,$U12,M$6:M$28)+SUMIF($N$91:$N$118,$U12,M$91:M$118))*$I$83*'Q2'!$B$81/$B$81)</f>
        <v>0</v>
      </c>
      <c r="U12" s="221">
        <v>6</v>
      </c>
      <c r="V12" s="55"/>
      <c r="W12" s="116"/>
      <c r="X12" s="117"/>
      <c r="Y12" s="181">
        <f t="shared" si="9"/>
        <v>0</v>
      </c>
      <c r="Z12" s="155">
        <f>'Q2'!Z12</f>
        <v>0</v>
      </c>
      <c r="AA12" s="120">
        <f>$M12*Z12*4</f>
        <v>0</v>
      </c>
      <c r="AB12" s="155">
        <f>'Q2'!AB12</f>
        <v>0</v>
      </c>
      <c r="AC12" s="120">
        <f>$M12*AB12*4</f>
        <v>0</v>
      </c>
      <c r="AD12" s="155">
        <f>'Q2'!AD12</f>
        <v>0.67</v>
      </c>
      <c r="AE12" s="120">
        <f>$M12*AD12*4</f>
        <v>0</v>
      </c>
      <c r="AF12" s="121">
        <f>1-SUM(Z12,AB12,AD12)</f>
        <v>0.32999999999999996</v>
      </c>
      <c r="AG12" s="120">
        <f>$M12*AF12*4</f>
        <v>0</v>
      </c>
      <c r="AH12" s="122">
        <f t="shared" si="12"/>
        <v>1</v>
      </c>
      <c r="AI12" s="181">
        <f t="shared" si="13"/>
        <v>0</v>
      </c>
      <c r="AJ12" s="119">
        <f t="shared" si="14"/>
        <v>0</v>
      </c>
      <c r="AK12" s="118">
        <f t="shared" si="15"/>
        <v>0</v>
      </c>
      <c r="AS12" s="24"/>
      <c r="AT12" s="24"/>
      <c r="AU12" s="24"/>
      <c r="AV12" s="24"/>
      <c r="AW12" s="24"/>
      <c r="AX12" s="24"/>
      <c r="AZ12" s="24"/>
      <c r="BA12" s="24"/>
      <c r="BB12" s="24"/>
      <c r="BC12" s="24"/>
      <c r="BD12" s="24"/>
      <c r="BE12" s="24"/>
      <c r="BF12" s="24"/>
      <c r="BI12" s="24"/>
      <c r="BJ12" s="24"/>
      <c r="BK12" s="24"/>
      <c r="BL12" s="24"/>
      <c r="BM12" s="24"/>
      <c r="BN12" s="24"/>
      <c r="BP12" s="24"/>
      <c r="BQ12" s="24"/>
      <c r="BR12" s="24"/>
      <c r="BS12" s="24"/>
      <c r="BT12" s="24"/>
      <c r="BU12" s="24"/>
      <c r="BV12" s="24"/>
      <c r="BX12" s="24"/>
      <c r="BY12" s="24"/>
      <c r="BZ12" s="24"/>
      <c r="CA12" s="24"/>
      <c r="CB12" s="24"/>
      <c r="CC12" s="24"/>
      <c r="CE12" s="24"/>
      <c r="CF12" s="24"/>
      <c r="CG12" s="24"/>
      <c r="CH12" s="24"/>
      <c r="CI12" s="24"/>
      <c r="CJ12" s="24"/>
      <c r="CK12" s="24"/>
    </row>
    <row r="13" spans="1:91" ht="14" customHeight="1">
      <c r="A13" s="84" t="str">
        <f>IF('Q2'!A13=0,"",'Q2'!A13)</f>
        <v/>
      </c>
      <c r="B13" s="100">
        <f>IF([1]Summ!$J1051="",0,[1]Summ!$J1051)</f>
        <v>0</v>
      </c>
      <c r="C13" s="101">
        <f>IF([1]Summ!$K1051="",0,[1]Summ!$K1051)</f>
        <v>0</v>
      </c>
      <c r="D13" s="23">
        <f t="shared" si="0"/>
        <v>0</v>
      </c>
      <c r="E13" s="74">
        <f>'Q3'!E13</f>
        <v>1</v>
      </c>
      <c r="H13" s="23">
        <f t="shared" si="1"/>
        <v>1</v>
      </c>
      <c r="I13" s="21">
        <f t="shared" si="2"/>
        <v>0</v>
      </c>
      <c r="J13" s="23">
        <f t="shared" si="3"/>
        <v>0</v>
      </c>
      <c r="K13" s="21">
        <f t="shared" si="4"/>
        <v>0</v>
      </c>
      <c r="L13" s="21">
        <f t="shared" si="5"/>
        <v>0</v>
      </c>
      <c r="M13" s="223">
        <f t="shared" si="6"/>
        <v>0</v>
      </c>
      <c r="N13" s="227"/>
      <c r="O13" s="2"/>
      <c r="P13" s="21"/>
      <c r="Q13" s="58" t="s">
        <v>64</v>
      </c>
      <c r="R13" s="220">
        <f>IF($B$81=0,0,(SUMIF($N$6:$N$28,$U13,K$6:K$28)+SUMIF($N$91:$N$118,$U13,K$91:K$118))*$B$83*$H$84*'Q2'!$B$81/$B$81)</f>
        <v>29770.072861231078</v>
      </c>
      <c r="S13" s="220">
        <f>IF($B$81=0,0,(SUMIF($N$6:$N$28,$U13,L$6:L$28)+SUMIF($N$91:$N$118,$U13,L$91:L$118))*$I$83*'Q2'!$B$81/$B$81)</f>
        <v>13120.200000000003</v>
      </c>
      <c r="T13" s="220">
        <f>IF($B$81=0,0,(SUMIF($N$6:$N$28,$U13,M$6:M$28)+SUMIF($N$91:$N$118,$U13,M$91:M$118))*$I$83*'Q2'!$B$81/$B$81)</f>
        <v>13120.200000000003</v>
      </c>
      <c r="U13" s="221">
        <v>7</v>
      </c>
      <c r="V13" s="55"/>
      <c r="W13" s="109"/>
      <c r="X13" s="117"/>
      <c r="Y13" s="181">
        <f t="shared" si="9"/>
        <v>0</v>
      </c>
      <c r="Z13" s="155">
        <f>'Q2'!Z13</f>
        <v>1</v>
      </c>
      <c r="AA13" s="120">
        <f>$M13*Z13*4</f>
        <v>0</v>
      </c>
      <c r="AB13" s="155">
        <f>'Q2'!AB13</f>
        <v>0</v>
      </c>
      <c r="AC13" s="120">
        <f>$M13*AB13*4</f>
        <v>0</v>
      </c>
      <c r="AD13" s="155">
        <f>'Q2'!AD13</f>
        <v>0</v>
      </c>
      <c r="AE13" s="120">
        <f>$M13*AD13*4</f>
        <v>0</v>
      </c>
      <c r="AF13" s="121">
        <f>1-SUM(Z13,AB13,AD13)</f>
        <v>0</v>
      </c>
      <c r="AG13" s="120">
        <f>$M13*AF13*4</f>
        <v>0</v>
      </c>
      <c r="AH13" s="122">
        <f t="shared" si="12"/>
        <v>1</v>
      </c>
      <c r="AI13" s="181">
        <f t="shared" si="13"/>
        <v>0</v>
      </c>
      <c r="AJ13" s="119">
        <f t="shared" si="14"/>
        <v>0</v>
      </c>
      <c r="AK13" s="118">
        <f t="shared" si="15"/>
        <v>0</v>
      </c>
      <c r="AS13" s="24"/>
      <c r="AT13" s="24"/>
      <c r="AU13" s="24"/>
      <c r="AV13" s="24"/>
      <c r="AW13" s="24"/>
      <c r="AX13" s="24"/>
      <c r="AZ13" s="24"/>
      <c r="BA13" s="24"/>
      <c r="BB13" s="24"/>
      <c r="BC13" s="24"/>
      <c r="BD13" s="24"/>
      <c r="BE13" s="24"/>
      <c r="BF13" s="24"/>
      <c r="BI13" s="24"/>
      <c r="BJ13" s="24"/>
      <c r="BK13" s="24"/>
      <c r="BL13" s="24"/>
      <c r="BM13" s="24"/>
      <c r="BN13" s="24"/>
      <c r="BP13" s="24"/>
      <c r="BQ13" s="24"/>
      <c r="BR13" s="24"/>
      <c r="BS13" s="24"/>
      <c r="BT13" s="24"/>
      <c r="BU13" s="24"/>
      <c r="BV13" s="24"/>
      <c r="BX13" s="24"/>
      <c r="BY13" s="24"/>
      <c r="BZ13" s="24"/>
      <c r="CA13" s="24"/>
      <c r="CB13" s="24"/>
      <c r="CC13" s="24"/>
      <c r="CE13" s="24"/>
      <c r="CF13" s="24"/>
      <c r="CG13" s="24"/>
      <c r="CH13" s="24"/>
      <c r="CI13" s="24"/>
      <c r="CJ13" s="24"/>
      <c r="CK13" s="24"/>
    </row>
    <row r="14" spans="1:91" ht="14" customHeight="1">
      <c r="A14" s="84" t="str">
        <f>IF('Q2'!A14=0,"",'Q2'!A14)</f>
        <v/>
      </c>
      <c r="B14" s="100">
        <f>IF([1]Summ!$J1052="",0,[1]Summ!$J1052)</f>
        <v>0</v>
      </c>
      <c r="C14" s="101">
        <f>IF([1]Summ!$K1052="",0,[1]Summ!$K1052)</f>
        <v>0</v>
      </c>
      <c r="D14" s="23">
        <f t="shared" si="0"/>
        <v>0</v>
      </c>
      <c r="E14" s="74">
        <f>'Q3'!E14</f>
        <v>1</v>
      </c>
      <c r="F14" s="21"/>
      <c r="H14" s="23">
        <f t="shared" si="1"/>
        <v>1</v>
      </c>
      <c r="I14" s="21">
        <f t="shared" si="2"/>
        <v>0</v>
      </c>
      <c r="J14" s="23">
        <f>IF(I$32&lt;=1+I131,I14,B14*H14+J$33*(I14-B14*H14))</f>
        <v>0</v>
      </c>
      <c r="K14" s="21">
        <f t="shared" si="4"/>
        <v>0</v>
      </c>
      <c r="L14" s="21">
        <f t="shared" si="5"/>
        <v>0</v>
      </c>
      <c r="M14" s="223">
        <f t="shared" si="6"/>
        <v>0</v>
      </c>
      <c r="N14" s="227"/>
      <c r="O14" s="2"/>
      <c r="P14" s="21"/>
      <c r="Q14" s="125" t="s">
        <v>65</v>
      </c>
      <c r="R14" s="220">
        <f>IF($B$81=0,0,(SUMIF($N$6:$N$28,$U14,K$6:K$28)+SUMIF($N$91:$N$118,$U14,K$91:K$118))*$B$83*$H$84*'Q2'!$B$81/$B$81)</f>
        <v>34731.751671436257</v>
      </c>
      <c r="S14" s="220">
        <f>IF($B$81=0,0,(SUMIF($N$6:$N$28,$U14,L$6:L$28)+SUMIF($N$91:$N$118,$U14,L$91:L$118))*$I$83*'Q2'!$B$81/$B$81)</f>
        <v>25055.999999999993</v>
      </c>
      <c r="T14" s="220">
        <f>IF($B$81=0,0,(SUMIF($N$6:$N$28,$U14,M$6:M$28)+SUMIF($N$91:$N$118,$U14,M$91:M$118))*$I$83*'Q2'!$B$81/$B$81)</f>
        <v>25055.999999999993</v>
      </c>
      <c r="U14" s="221">
        <v>8</v>
      </c>
      <c r="V14" s="55"/>
      <c r="W14" s="109"/>
      <c r="X14" s="117"/>
      <c r="Y14" s="181">
        <f>M14*4</f>
        <v>0</v>
      </c>
      <c r="Z14" s="155">
        <f>'Q2'!Z14</f>
        <v>0</v>
      </c>
      <c r="AA14" s="120">
        <f t="shared" ref="AA14:AA29" si="16">$M14*Z14*4</f>
        <v>0</v>
      </c>
      <c r="AB14" s="155">
        <f>'Q2'!AB14</f>
        <v>1</v>
      </c>
      <c r="AC14" s="120">
        <f t="shared" si="7"/>
        <v>0</v>
      </c>
      <c r="AD14" s="155">
        <f>'Q2'!AD14</f>
        <v>0</v>
      </c>
      <c r="AE14" s="120">
        <f t="shared" si="8"/>
        <v>0</v>
      </c>
      <c r="AF14" s="121">
        <f t="shared" si="10"/>
        <v>0</v>
      </c>
      <c r="AG14" s="120">
        <f t="shared" si="11"/>
        <v>0</v>
      </c>
      <c r="AH14" s="127">
        <f>SUM(Z14,AB14,AD14,AF14)</f>
        <v>1</v>
      </c>
      <c r="AI14" s="181">
        <f>SUM(AA14,AC14,AE14,AG14)/4</f>
        <v>0</v>
      </c>
      <c r="AJ14" s="119">
        <f t="shared" si="14"/>
        <v>0</v>
      </c>
      <c r="AK14" s="118">
        <f t="shared" si="15"/>
        <v>0</v>
      </c>
      <c r="AS14" s="24"/>
      <c r="AT14" s="24"/>
      <c r="AU14" s="24"/>
      <c r="AV14" s="24"/>
      <c r="AW14" s="24"/>
      <c r="AX14" s="24"/>
      <c r="AZ14" s="24"/>
      <c r="BA14" s="24"/>
      <c r="BB14" s="24"/>
      <c r="BC14" s="24"/>
      <c r="BD14" s="24"/>
      <c r="BE14" s="24"/>
      <c r="BF14" s="24"/>
      <c r="BI14" s="24"/>
      <c r="BJ14" s="24"/>
      <c r="BK14" s="24"/>
      <c r="BL14" s="24"/>
      <c r="BM14" s="24"/>
      <c r="BN14" s="24"/>
      <c r="BP14" s="24"/>
      <c r="BQ14" s="24"/>
      <c r="BR14" s="24"/>
      <c r="BS14" s="24"/>
      <c r="BT14" s="24"/>
      <c r="BU14" s="24"/>
      <c r="BV14" s="24"/>
      <c r="BX14" s="24"/>
      <c r="BY14" s="24"/>
      <c r="BZ14" s="24"/>
      <c r="CA14" s="24"/>
      <c r="CB14" s="24"/>
      <c r="CC14" s="24"/>
      <c r="CE14" s="24"/>
      <c r="CF14" s="24"/>
      <c r="CG14" s="24"/>
      <c r="CH14" s="24"/>
      <c r="CI14" s="24"/>
      <c r="CJ14" s="24"/>
      <c r="CK14" s="24"/>
    </row>
    <row r="15" spans="1:91" ht="14" customHeight="1">
      <c r="A15" s="84" t="str">
        <f>IF('Q2'!A15=0,"",'Q2'!A15)</f>
        <v/>
      </c>
      <c r="B15" s="100">
        <f>IF([1]Summ!$J1053="",0,[1]Summ!$J1053)</f>
        <v>0</v>
      </c>
      <c r="C15" s="101">
        <f>IF([1]Summ!$K1053="",0,[1]Summ!$K1053)</f>
        <v>0</v>
      </c>
      <c r="D15" s="23">
        <f t="shared" si="0"/>
        <v>0</v>
      </c>
      <c r="E15" s="74">
        <f>'Q3'!E15</f>
        <v>1</v>
      </c>
      <c r="F15" s="21"/>
      <c r="H15" s="23">
        <f t="shared" si="1"/>
        <v>1</v>
      </c>
      <c r="I15" s="21">
        <f t="shared" si="2"/>
        <v>0</v>
      </c>
      <c r="J15" s="23">
        <f>IF(I$32&lt;=1+I131,I15,B15*H15+J$33*(I15-B15*H15))</f>
        <v>0</v>
      </c>
      <c r="K15" s="21">
        <f t="shared" si="4"/>
        <v>0</v>
      </c>
      <c r="L15" s="21">
        <f t="shared" si="5"/>
        <v>0</v>
      </c>
      <c r="M15" s="224">
        <f t="shared" si="6"/>
        <v>0</v>
      </c>
      <c r="N15" s="227"/>
      <c r="O15" s="2"/>
      <c r="P15" s="21"/>
      <c r="Q15" s="58" t="s">
        <v>106</v>
      </c>
      <c r="R15" s="220">
        <f>IF($B$81=0,0,(SUMIF($N$6:$N$28,$U15,K$6:K$28)+SUMIF($N$91:$N$118,$U15,K$91:K$118))*$B$83*$H$84*'Q2'!$B$81/$B$81)</f>
        <v>0</v>
      </c>
      <c r="S15" s="220">
        <f>IF($B$81=0,0,(SUMIF($N$6:$N$28,$U15,L$6:L$28)+SUMIF($N$91:$N$118,$U15,L$91:L$118))*$I$83*'Q2'!$B$81/$B$81)</f>
        <v>0</v>
      </c>
      <c r="T15" s="220">
        <f>IF($B$81=0,0,(SUMIF($N$6:$N$28,$U15,M$6:M$28)+SUMIF($N$91:$N$118,$U15,M$91:M$118))*$I$83*'Q2'!$B$81/$B$81)</f>
        <v>0</v>
      </c>
      <c r="U15" s="221">
        <v>9</v>
      </c>
      <c r="V15" s="55"/>
      <c r="W15" s="109"/>
      <c r="X15" s="117"/>
      <c r="Y15" s="181">
        <f t="shared" si="9"/>
        <v>0</v>
      </c>
      <c r="Z15" s="155">
        <f>'Q2'!Z15</f>
        <v>0.25</v>
      </c>
      <c r="AA15" s="120">
        <f t="shared" si="16"/>
        <v>0</v>
      </c>
      <c r="AB15" s="155">
        <f>'Q2'!AB15</f>
        <v>0.25</v>
      </c>
      <c r="AC15" s="120">
        <f t="shared" si="7"/>
        <v>0</v>
      </c>
      <c r="AD15" s="155">
        <f>'Q2'!AD15</f>
        <v>0.25</v>
      </c>
      <c r="AE15" s="120">
        <f t="shared" si="8"/>
        <v>0</v>
      </c>
      <c r="AF15" s="121">
        <f t="shared" si="10"/>
        <v>0.25</v>
      </c>
      <c r="AG15" s="120">
        <f t="shared" si="11"/>
        <v>0</v>
      </c>
      <c r="AH15" s="122">
        <f t="shared" si="12"/>
        <v>1</v>
      </c>
      <c r="AI15" s="181">
        <f t="shared" si="13"/>
        <v>0</v>
      </c>
      <c r="AJ15" s="119">
        <f t="shared" si="14"/>
        <v>0</v>
      </c>
      <c r="AK15" s="118">
        <f t="shared" si="15"/>
        <v>0</v>
      </c>
      <c r="AS15" s="24"/>
      <c r="AT15" s="24"/>
      <c r="AU15" s="24"/>
      <c r="AV15" s="24"/>
      <c r="AW15" s="24"/>
      <c r="AX15" s="24"/>
      <c r="AZ15" s="24"/>
      <c r="BA15" s="24"/>
      <c r="BB15" s="24"/>
      <c r="BC15" s="24"/>
      <c r="BD15" s="24"/>
      <c r="BE15" s="24"/>
      <c r="BF15" s="24"/>
      <c r="BI15" s="24"/>
      <c r="BJ15" s="24"/>
      <c r="BK15" s="24"/>
      <c r="BL15" s="24"/>
      <c r="BM15" s="24"/>
      <c r="BN15" s="24"/>
      <c r="BP15" s="24"/>
      <c r="BQ15" s="24"/>
      <c r="BR15" s="24"/>
      <c r="BS15" s="24"/>
      <c r="BT15" s="24"/>
      <c r="BU15" s="24"/>
      <c r="BV15" s="24"/>
      <c r="BX15" s="24"/>
      <c r="BY15" s="24"/>
      <c r="BZ15" s="24"/>
      <c r="CA15" s="24"/>
      <c r="CB15" s="24"/>
      <c r="CC15" s="24"/>
      <c r="CE15" s="24"/>
      <c r="CF15" s="24"/>
      <c r="CG15" s="24"/>
      <c r="CH15" s="24"/>
      <c r="CI15" s="24"/>
      <c r="CJ15" s="24"/>
      <c r="CK15" s="24"/>
    </row>
    <row r="16" spans="1:91" ht="14" customHeight="1">
      <c r="A16" s="84" t="str">
        <f>IF('Q2'!A16=0,"",'Q2'!A16)</f>
        <v/>
      </c>
      <c r="B16" s="100">
        <f>IF([1]Summ!$J1054="",0,[1]Summ!$J1054)</f>
        <v>0</v>
      </c>
      <c r="C16" s="101">
        <f>IF([1]Summ!$K1054="",0,[1]Summ!$K1054)</f>
        <v>0</v>
      </c>
      <c r="D16" s="23">
        <f t="shared" si="0"/>
        <v>0</v>
      </c>
      <c r="E16" s="74">
        <f>'Q3'!E16</f>
        <v>1</v>
      </c>
      <c r="F16" s="21"/>
      <c r="H16" s="23">
        <f t="shared" si="1"/>
        <v>1</v>
      </c>
      <c r="I16" s="21">
        <f t="shared" si="2"/>
        <v>0</v>
      </c>
      <c r="J16" s="23">
        <f>IF(I$32&lt;=1+I131,I16,B16*H16+J$33*(I16-B16*H16))</f>
        <v>0</v>
      </c>
      <c r="K16" s="21">
        <f t="shared" si="4"/>
        <v>0</v>
      </c>
      <c r="L16" s="21">
        <f t="shared" si="5"/>
        <v>0</v>
      </c>
      <c r="M16" s="222">
        <f t="shared" si="6"/>
        <v>0</v>
      </c>
      <c r="N16" s="227"/>
      <c r="O16" s="2"/>
      <c r="P16" s="21"/>
      <c r="Q16" s="125" t="s">
        <v>66</v>
      </c>
      <c r="R16" s="220">
        <f>IF($B$81=0,0,(SUMIF($N$6:$N$28,$U16,K$6:K$28)+SUMIF($N$91:$N$118,$U16,K$91:K$118))*$B$83*$H$84*'Q2'!$B$81/$B$81)</f>
        <v>14289.634973390919</v>
      </c>
      <c r="S16" s="220">
        <f>IF($B$81=0,0,(SUMIF($N$6:$N$28,$U16,L$6:L$28)+SUMIF($N$91:$N$118,$U16,L$91:L$118))*$I$83*'Q2'!$B$81/$B$81)</f>
        <v>9504</v>
      </c>
      <c r="T16" s="220">
        <f>IF($B$81=0,0,(SUMIF($N$6:$N$28,$U16,M$6:M$28)+SUMIF($N$91:$N$118,$U16,M$91:M$118))*$I$83*'Q2'!$B$81/$B$81)</f>
        <v>9477.7431265203286</v>
      </c>
      <c r="U16" s="221">
        <v>10</v>
      </c>
      <c r="V16" s="55"/>
      <c r="W16" s="109"/>
      <c r="X16" s="117"/>
      <c r="Y16" s="181">
        <f t="shared" si="9"/>
        <v>0</v>
      </c>
      <c r="Z16" s="155">
        <f>'Q2'!Z16</f>
        <v>0</v>
      </c>
      <c r="AA16" s="120">
        <f t="shared" si="16"/>
        <v>0</v>
      </c>
      <c r="AB16" s="155">
        <f>'Q2'!AB16</f>
        <v>0</v>
      </c>
      <c r="AC16" s="120">
        <f t="shared" si="7"/>
        <v>0</v>
      </c>
      <c r="AD16" s="155">
        <f>'Q2'!AD16</f>
        <v>0</v>
      </c>
      <c r="AE16" s="120">
        <f t="shared" si="8"/>
        <v>0</v>
      </c>
      <c r="AF16" s="121">
        <f t="shared" si="10"/>
        <v>1</v>
      </c>
      <c r="AG16" s="120">
        <f t="shared" si="11"/>
        <v>0</v>
      </c>
      <c r="AH16" s="122">
        <f t="shared" si="12"/>
        <v>1</v>
      </c>
      <c r="AI16" s="181">
        <f t="shared" si="13"/>
        <v>0</v>
      </c>
      <c r="AJ16" s="119">
        <f t="shared" si="14"/>
        <v>0</v>
      </c>
      <c r="AK16" s="118">
        <f t="shared" si="15"/>
        <v>0</v>
      </c>
      <c r="AS16" s="24"/>
      <c r="AT16" s="24"/>
      <c r="AU16" s="24"/>
      <c r="AV16" s="24"/>
      <c r="AW16" s="24"/>
      <c r="AX16" s="24"/>
      <c r="AZ16" s="24"/>
      <c r="BA16" s="24"/>
      <c r="BB16" s="24"/>
      <c r="BC16" s="24"/>
      <c r="BD16" s="24"/>
      <c r="BE16" s="24"/>
      <c r="BF16" s="24"/>
      <c r="BI16" s="24"/>
      <c r="BJ16" s="24"/>
      <c r="BK16" s="24"/>
      <c r="BL16" s="24"/>
      <c r="BM16" s="24"/>
      <c r="BN16" s="24"/>
      <c r="BP16" s="24"/>
      <c r="BQ16" s="24"/>
      <c r="BR16" s="24"/>
      <c r="BS16" s="24"/>
      <c r="BT16" s="24"/>
      <c r="BU16" s="24"/>
      <c r="BV16" s="24"/>
      <c r="BX16" s="24"/>
      <c r="BY16" s="24"/>
      <c r="BZ16" s="24"/>
      <c r="CA16" s="24"/>
      <c r="CB16" s="24"/>
      <c r="CC16" s="24"/>
      <c r="CE16" s="24"/>
      <c r="CF16" s="24"/>
      <c r="CG16" s="24"/>
      <c r="CH16" s="24"/>
      <c r="CI16" s="24"/>
      <c r="CJ16" s="24"/>
      <c r="CK16" s="24"/>
    </row>
    <row r="17" spans="1:89" ht="14" customHeight="1">
      <c r="A17" s="84" t="str">
        <f>IF('Q2'!A17=0,"",'Q2'!A17)</f>
        <v/>
      </c>
      <c r="B17" s="100">
        <f>IF([1]Summ!$J1055="",0,[1]Summ!$J1055)</f>
        <v>0</v>
      </c>
      <c r="C17" s="101">
        <f>IF([1]Summ!$K1055="",0,[1]Summ!$K1055)</f>
        <v>0</v>
      </c>
      <c r="D17" s="23">
        <f t="shared" si="0"/>
        <v>0</v>
      </c>
      <c r="E17" s="74">
        <f>'Q3'!E17</f>
        <v>1</v>
      </c>
      <c r="F17" s="21"/>
      <c r="H17" s="23">
        <f t="shared" si="1"/>
        <v>1</v>
      </c>
      <c r="I17" s="21">
        <f t="shared" si="2"/>
        <v>0</v>
      </c>
      <c r="J17" s="23">
        <f t="shared" ref="J17:J25" si="17">IF(I$32&lt;=1+I131,I17,B17*H17+J$33*(I17-B17*H17))</f>
        <v>0</v>
      </c>
      <c r="K17" s="21">
        <f t="shared" si="4"/>
        <v>0</v>
      </c>
      <c r="L17" s="21">
        <f t="shared" si="5"/>
        <v>0</v>
      </c>
      <c r="M17" s="223">
        <f t="shared" si="6"/>
        <v>0</v>
      </c>
      <c r="N17" s="227"/>
      <c r="O17" s="2"/>
      <c r="P17" s="21"/>
      <c r="Q17" s="125" t="s">
        <v>105</v>
      </c>
      <c r="R17" s="220">
        <f>IF($B$81=0,0,(SUMIF($N$6:$N$28,$U17,K$6:K$28)+SUMIF($N$91:$N$118,$U17,K$91:K$118))*$B$83*$H$84*'Q2'!$B$81/$B$81)</f>
        <v>8931.021858369324</v>
      </c>
      <c r="S17" s="220">
        <f>IF($B$81=0,0,(SUMIF($N$6:$N$28,$U17,L$6:L$28)+SUMIF($N$91:$N$118,$U17,L$91:L$118))*$I$83*'Q2'!$B$81/$B$81)</f>
        <v>6890.3999999999987</v>
      </c>
      <c r="T17" s="220">
        <f>IF($B$81=0,0,(SUMIF($N$6:$N$28,$U17,M$6:M$28)+SUMIF($N$91:$N$118,$U17,M$91:M$118))*$I$83*'Q2'!$B$81/$B$81)</f>
        <v>6890.3999999999987</v>
      </c>
      <c r="U17" s="221">
        <v>11</v>
      </c>
      <c r="V17" s="55"/>
      <c r="W17" s="109"/>
      <c r="X17" s="117"/>
      <c r="Y17" s="181">
        <f t="shared" si="9"/>
        <v>0</v>
      </c>
      <c r="Z17" s="155">
        <f>'Q2'!Z17</f>
        <v>0.29409999999999997</v>
      </c>
      <c r="AA17" s="120">
        <f t="shared" si="16"/>
        <v>0</v>
      </c>
      <c r="AB17" s="155">
        <f>'Q2'!AB17</f>
        <v>0.17649999999999999</v>
      </c>
      <c r="AC17" s="120">
        <f t="shared" si="7"/>
        <v>0</v>
      </c>
      <c r="AD17" s="155">
        <f>'Q2'!AD17</f>
        <v>0.23530000000000001</v>
      </c>
      <c r="AE17" s="120">
        <f t="shared" si="8"/>
        <v>0</v>
      </c>
      <c r="AF17" s="121">
        <f t="shared" si="10"/>
        <v>0.29410000000000003</v>
      </c>
      <c r="AG17" s="120">
        <f t="shared" si="11"/>
        <v>0</v>
      </c>
      <c r="AH17" s="122">
        <f t="shared" si="12"/>
        <v>1</v>
      </c>
      <c r="AI17" s="181">
        <f t="shared" si="13"/>
        <v>0</v>
      </c>
      <c r="AJ17" s="119">
        <f t="shared" si="14"/>
        <v>0</v>
      </c>
      <c r="AK17" s="118">
        <f t="shared" si="15"/>
        <v>0</v>
      </c>
      <c r="AS17" s="24"/>
      <c r="AT17" s="24"/>
      <c r="AU17" s="24"/>
      <c r="AV17" s="24"/>
      <c r="AW17" s="24"/>
      <c r="AX17" s="24"/>
      <c r="AZ17" s="24"/>
      <c r="BA17" s="24"/>
      <c r="BB17" s="24"/>
      <c r="BC17" s="24"/>
      <c r="BD17" s="24"/>
      <c r="BE17" s="24"/>
      <c r="BF17" s="24"/>
      <c r="BI17" s="24"/>
      <c r="BJ17" s="24"/>
      <c r="BK17" s="24"/>
      <c r="BL17" s="24"/>
      <c r="BM17" s="24"/>
      <c r="BN17" s="24"/>
      <c r="BP17" s="24"/>
      <c r="BQ17" s="24"/>
      <c r="BR17" s="24"/>
      <c r="BS17" s="24"/>
      <c r="BT17" s="24"/>
      <c r="BU17" s="24"/>
      <c r="BV17" s="24"/>
      <c r="BX17" s="24"/>
      <c r="BY17" s="24"/>
      <c r="BZ17" s="24"/>
      <c r="CA17" s="24"/>
      <c r="CB17" s="24"/>
      <c r="CC17" s="24"/>
      <c r="CE17" s="24"/>
      <c r="CF17" s="24"/>
      <c r="CG17" s="24"/>
      <c r="CH17" s="24"/>
      <c r="CI17" s="24"/>
      <c r="CJ17" s="24"/>
      <c r="CK17" s="24"/>
    </row>
    <row r="18" spans="1:89" ht="14" customHeight="1">
      <c r="A18" s="84" t="str">
        <f>IF('Q2'!A18=0,"",'Q2'!A18)</f>
        <v/>
      </c>
      <c r="B18" s="100">
        <f>IF([1]Summ!$J1056="",0,[1]Summ!$J1056)</f>
        <v>0</v>
      </c>
      <c r="C18" s="101">
        <f>IF([1]Summ!$K1056="",0,[1]Summ!$K1056)</f>
        <v>0</v>
      </c>
      <c r="D18" s="23">
        <f t="shared" ref="D18:D25" si="18">(B18+C18)</f>
        <v>0</v>
      </c>
      <c r="E18" s="74">
        <f>'Q3'!E18</f>
        <v>1</v>
      </c>
      <c r="F18" s="21"/>
      <c r="H18" s="23">
        <f t="shared" ref="H18:H25" si="19">(E18*F$7/F$9)</f>
        <v>1</v>
      </c>
      <c r="I18" s="21">
        <f t="shared" ref="I18:I25" si="20">(D18*H18)</f>
        <v>0</v>
      </c>
      <c r="J18" s="23">
        <f t="shared" si="17"/>
        <v>0</v>
      </c>
      <c r="K18" s="21">
        <f t="shared" ref="K18:K25" si="21">B18</f>
        <v>0</v>
      </c>
      <c r="L18" s="21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1"/>
      <c r="Q18" s="58" t="s">
        <v>67</v>
      </c>
      <c r="R18" s="220">
        <f>IF($B$81=0,0,(SUMIF($N$6:$N$28,$U18,K$6:K$28)+SUMIF($N$91:$N$118,$U18,K$91:K$118))*$B$83*$H$84*'Q2'!$B$81/$B$81)</f>
        <v>1220.9989961164727</v>
      </c>
      <c r="S18" s="220">
        <f>IF($B$81=0,0,(SUMIF($N$6:$N$28,$U18,L$6:L$28)+SUMIF($N$91:$N$118,$U18,L$91:L$118))*$I$83*'Q2'!$B$81/$B$81)</f>
        <v>1339.9375066721143</v>
      </c>
      <c r="T18" s="220">
        <f>IF($B$81=0,0,(SUMIF($N$6:$N$28,$U18,M$6:M$28)+SUMIF($N$91:$N$118,$U18,M$91:M$118))*$I$83*'Q2'!$B$81/$B$81)</f>
        <v>1339.9375066721143</v>
      </c>
      <c r="U18" s="221">
        <v>12</v>
      </c>
      <c r="V18" s="55"/>
      <c r="W18" s="109"/>
      <c r="X18" s="117"/>
      <c r="Y18" s="181"/>
      <c r="Z18" s="155"/>
      <c r="AA18" s="120"/>
      <c r="AB18" s="155"/>
      <c r="AC18" s="120"/>
      <c r="AD18" s="155"/>
      <c r="AE18" s="120"/>
      <c r="AF18" s="121"/>
      <c r="AG18" s="120"/>
      <c r="AH18" s="122"/>
      <c r="AI18" s="181"/>
      <c r="AJ18" s="119"/>
      <c r="AK18" s="118"/>
      <c r="AS18" s="24"/>
      <c r="AT18" s="24"/>
      <c r="AU18" s="24"/>
      <c r="AV18" s="24"/>
      <c r="AW18" s="24"/>
      <c r="AX18" s="24"/>
      <c r="AZ18" s="24"/>
      <c r="BA18" s="24"/>
      <c r="BB18" s="24"/>
      <c r="BC18" s="24"/>
      <c r="BD18" s="24"/>
      <c r="BE18" s="24"/>
      <c r="BF18" s="24"/>
      <c r="BI18" s="24"/>
      <c r="BJ18" s="24"/>
      <c r="BK18" s="24"/>
      <c r="BL18" s="24"/>
      <c r="BM18" s="24"/>
      <c r="BN18" s="24"/>
      <c r="BP18" s="24"/>
      <c r="BQ18" s="24"/>
      <c r="BR18" s="24"/>
      <c r="BS18" s="24"/>
      <c r="BT18" s="24"/>
      <c r="BU18" s="24"/>
      <c r="BV18" s="24"/>
      <c r="BX18" s="24"/>
      <c r="BY18" s="24"/>
      <c r="BZ18" s="24"/>
      <c r="CA18" s="24"/>
      <c r="CB18" s="24"/>
      <c r="CC18" s="24"/>
      <c r="CE18" s="24"/>
      <c r="CF18" s="24"/>
      <c r="CG18" s="24"/>
      <c r="CH18" s="24"/>
      <c r="CI18" s="24"/>
      <c r="CJ18" s="24"/>
      <c r="CK18" s="24"/>
    </row>
    <row r="19" spans="1:89" ht="14" customHeight="1">
      <c r="A19" s="84" t="str">
        <f>IF('Q2'!A19=0,"",'Q2'!A19)</f>
        <v/>
      </c>
      <c r="B19" s="100">
        <f>IF([1]Summ!$J1057="",0,[1]Summ!$J1057)</f>
        <v>0</v>
      </c>
      <c r="C19" s="101">
        <f>IF([1]Summ!$K1057="",0,[1]Summ!$K1057)</f>
        <v>0</v>
      </c>
      <c r="D19" s="23">
        <f t="shared" si="18"/>
        <v>0</v>
      </c>
      <c r="E19" s="74">
        <f>'Q3'!E19</f>
        <v>1</v>
      </c>
      <c r="F19" s="21"/>
      <c r="H19" s="23">
        <f t="shared" si="19"/>
        <v>1</v>
      </c>
      <c r="I19" s="21">
        <f t="shared" si="20"/>
        <v>0</v>
      </c>
      <c r="J19" s="23">
        <f t="shared" si="17"/>
        <v>0</v>
      </c>
      <c r="K19" s="21">
        <f t="shared" si="21"/>
        <v>0</v>
      </c>
      <c r="L19" s="21">
        <f t="shared" si="22"/>
        <v>0</v>
      </c>
      <c r="M19" s="223">
        <f t="shared" si="23"/>
        <v>0</v>
      </c>
      <c r="N19" s="227"/>
      <c r="O19" s="2"/>
      <c r="P19" s="21"/>
      <c r="Q19" s="58" t="s">
        <v>68</v>
      </c>
      <c r="R19" s="220">
        <f>IF($B$81=0,0,(SUMIF($N$6:$N$28,$U19,K$6:K$28)+SUMIF($N$91:$N$118,$U19,K$91:K$118))*$B$83*$H$84*'Q2'!$B$81/$B$81)</f>
        <v>0</v>
      </c>
      <c r="S19" s="220">
        <f>IF($B$81=0,0,(SUMIF($N$6:$N$28,$U19,L$6:L$28)+SUMIF($N$91:$N$118,$U19,L$91:L$118))*$I$83*'Q2'!$B$81/$B$81)</f>
        <v>0</v>
      </c>
      <c r="T19" s="220">
        <f>IF($B$81=0,0,(SUMIF($N$6:$N$28,$U19,M$6:M$28)+SUMIF($N$91:$N$118,$U19,M$91:M$118))*$I$83*'Q2'!$B$81/$B$81)</f>
        <v>0</v>
      </c>
      <c r="U19" s="221">
        <v>13</v>
      </c>
      <c r="V19" s="55"/>
      <c r="W19" s="109"/>
      <c r="X19" s="117"/>
      <c r="Y19" s="181"/>
      <c r="Z19" s="155"/>
      <c r="AA19" s="120"/>
      <c r="AB19" s="155"/>
      <c r="AC19" s="120"/>
      <c r="AD19" s="155"/>
      <c r="AE19" s="120"/>
      <c r="AF19" s="121"/>
      <c r="AG19" s="120"/>
      <c r="AH19" s="122"/>
      <c r="AI19" s="181"/>
      <c r="AJ19" s="119"/>
      <c r="AK19" s="118"/>
      <c r="AS19" s="24"/>
      <c r="AT19" s="24"/>
      <c r="AU19" s="24"/>
      <c r="AV19" s="24"/>
      <c r="AW19" s="24"/>
      <c r="AX19" s="24"/>
      <c r="AZ19" s="24"/>
      <c r="BA19" s="24"/>
      <c r="BB19" s="24"/>
      <c r="BC19" s="24"/>
      <c r="BD19" s="24"/>
      <c r="BE19" s="24"/>
      <c r="BF19" s="24"/>
      <c r="BI19" s="24"/>
      <c r="BJ19" s="24"/>
      <c r="BK19" s="24"/>
      <c r="BL19" s="24"/>
      <c r="BM19" s="24"/>
      <c r="BN19" s="24"/>
      <c r="BP19" s="24"/>
      <c r="BQ19" s="24"/>
      <c r="BR19" s="24"/>
      <c r="BS19" s="24"/>
      <c r="BT19" s="24"/>
      <c r="BU19" s="24"/>
      <c r="BV19" s="24"/>
      <c r="BX19" s="24"/>
      <c r="BY19" s="24"/>
      <c r="BZ19" s="24"/>
      <c r="CA19" s="24"/>
      <c r="CB19" s="24"/>
      <c r="CC19" s="24"/>
      <c r="CE19" s="24"/>
      <c r="CF19" s="24"/>
      <c r="CG19" s="24"/>
      <c r="CH19" s="24"/>
      <c r="CI19" s="24"/>
      <c r="CJ19" s="24"/>
      <c r="CK19" s="24"/>
    </row>
    <row r="20" spans="1:89" ht="14" customHeight="1">
      <c r="A20" s="84" t="str">
        <f>IF('Q2'!A20=0,"",'Q2'!A20)</f>
        <v/>
      </c>
      <c r="B20" s="100">
        <f>IF([1]Summ!$J1058="",0,[1]Summ!$J1058)</f>
        <v>0</v>
      </c>
      <c r="C20" s="101">
        <f>IF([1]Summ!$K1058="",0,[1]Summ!$K1058)</f>
        <v>0</v>
      </c>
      <c r="D20" s="23">
        <f t="shared" si="18"/>
        <v>0</v>
      </c>
      <c r="E20" s="74">
        <f>'Q3'!E20</f>
        <v>1</v>
      </c>
      <c r="F20" s="21"/>
      <c r="H20" s="23">
        <f t="shared" si="19"/>
        <v>1</v>
      </c>
      <c r="I20" s="21">
        <f t="shared" si="20"/>
        <v>0</v>
      </c>
      <c r="J20" s="23">
        <f t="shared" si="17"/>
        <v>0</v>
      </c>
      <c r="K20" s="21">
        <f t="shared" si="21"/>
        <v>0</v>
      </c>
      <c r="L20" s="21">
        <f t="shared" si="22"/>
        <v>0</v>
      </c>
      <c r="M20" s="223">
        <f t="shared" si="23"/>
        <v>0</v>
      </c>
      <c r="N20" s="227"/>
      <c r="O20" s="2"/>
      <c r="P20" s="21"/>
      <c r="Q20" s="58" t="s">
        <v>69</v>
      </c>
      <c r="R20" s="220">
        <f>IF($B$81=0,0,(SUMIF($N$6:$N$28,$U20,K$6:K$28)+SUMIF($N$91:$N$118,$U20,K$91:K$118))*$B$83*$H$84*'Q2'!$B$81/$B$81)</f>
        <v>0</v>
      </c>
      <c r="S20" s="220">
        <f>IF($B$81=0,0,(SUMIF($N$6:$N$28,$U20,L$6:L$28)+SUMIF($N$91:$N$118,$U20,L$91:L$118))*$I$83*'Q2'!$B$81/$B$81)</f>
        <v>0</v>
      </c>
      <c r="T20" s="220">
        <f>IF($B$81=0,0,(SUMIF($N$6:$N$28,$U20,M$6:M$28)+SUMIF($N$91:$N$118,$U20,M$91:M$118))*$I$83*'Q2'!$B$81/$B$81)</f>
        <v>0</v>
      </c>
      <c r="U20" s="221">
        <v>14</v>
      </c>
      <c r="V20" s="55"/>
      <c r="W20" s="109"/>
      <c r="X20" s="117"/>
      <c r="Y20" s="181"/>
      <c r="Z20" s="155"/>
      <c r="AA20" s="120"/>
      <c r="AB20" s="155"/>
      <c r="AC20" s="120"/>
      <c r="AD20" s="155"/>
      <c r="AE20" s="120"/>
      <c r="AF20" s="121"/>
      <c r="AG20" s="120"/>
      <c r="AH20" s="122"/>
      <c r="AI20" s="181"/>
      <c r="AJ20" s="119"/>
      <c r="AK20" s="118"/>
      <c r="AS20" s="24"/>
      <c r="AT20" s="24"/>
      <c r="AU20" s="24"/>
      <c r="AV20" s="24"/>
      <c r="AW20" s="24"/>
      <c r="AX20" s="24"/>
      <c r="AZ20" s="24"/>
      <c r="BA20" s="24"/>
      <c r="BB20" s="24"/>
      <c r="BC20" s="24"/>
      <c r="BD20" s="24"/>
      <c r="BE20" s="24"/>
      <c r="BF20" s="24"/>
      <c r="BI20" s="24"/>
      <c r="BJ20" s="24"/>
      <c r="BK20" s="24"/>
      <c r="BL20" s="24"/>
      <c r="BM20" s="24"/>
      <c r="BN20" s="24"/>
      <c r="BP20" s="24"/>
      <c r="BQ20" s="24"/>
      <c r="BR20" s="24"/>
      <c r="BS20" s="24"/>
      <c r="BT20" s="24"/>
      <c r="BU20" s="24"/>
      <c r="BV20" s="24"/>
      <c r="BX20" s="24"/>
      <c r="BY20" s="24"/>
      <c r="BZ20" s="24"/>
      <c r="CA20" s="24"/>
      <c r="CB20" s="24"/>
      <c r="CC20" s="24"/>
      <c r="CE20" s="24"/>
      <c r="CF20" s="24"/>
      <c r="CG20" s="24"/>
      <c r="CH20" s="24"/>
      <c r="CI20" s="24"/>
      <c r="CJ20" s="24"/>
      <c r="CK20" s="24"/>
    </row>
    <row r="21" spans="1:89" ht="14" customHeight="1">
      <c r="A21" s="84" t="str">
        <f>IF('Q2'!A21=0,"",'Q2'!A21)</f>
        <v/>
      </c>
      <c r="B21" s="100">
        <f>IF([1]Summ!$J1059="",0,[1]Summ!$J1059)</f>
        <v>0</v>
      </c>
      <c r="C21" s="101">
        <f>IF([1]Summ!$K1059="",0,[1]Summ!$K1059)</f>
        <v>0</v>
      </c>
      <c r="D21" s="23">
        <f t="shared" si="18"/>
        <v>0</v>
      </c>
      <c r="E21" s="74">
        <f>'Q3'!E21</f>
        <v>1</v>
      </c>
      <c r="F21" s="21"/>
      <c r="H21" s="23">
        <f t="shared" si="19"/>
        <v>1</v>
      </c>
      <c r="I21" s="21">
        <f t="shared" si="20"/>
        <v>0</v>
      </c>
      <c r="J21" s="23">
        <f t="shared" si="17"/>
        <v>0</v>
      </c>
      <c r="K21" s="21">
        <f t="shared" si="21"/>
        <v>0</v>
      </c>
      <c r="L21" s="21">
        <f t="shared" si="22"/>
        <v>0</v>
      </c>
      <c r="M21" s="223">
        <f t="shared" si="23"/>
        <v>0</v>
      </c>
      <c r="N21" s="227"/>
      <c r="O21" s="2"/>
      <c r="P21" s="21"/>
      <c r="Q21" s="58" t="s">
        <v>70</v>
      </c>
      <c r="R21" s="220">
        <f>IF($B$81=0,0,(SUMIF($N$6:$N$28,$U21,K$6:K$28)+SUMIF($N$91:$N$118,$U21,K$91:K$118))*$B$83*$H$84*'Q2'!$B$81/$B$81)</f>
        <v>4510.6171001865278</v>
      </c>
      <c r="S21" s="220">
        <f>IF($B$81=0,0,(SUMIF($N$6:$N$28,$U21,L$6:L$28)+SUMIF($N$91:$N$118,$U21,L$91:L$118))*$I$83*'Q2'!$B$81/$B$81)</f>
        <v>2999.9999999999995</v>
      </c>
      <c r="T21" s="220">
        <f>IF($B$81=0,0,(SUMIF($N$6:$N$28,$U21,M$6:M$28)+SUMIF($N$91:$N$118,$U21,M$91:M$118))*$I$83*'Q2'!$B$81/$B$81)</f>
        <v>2999.9999999999995</v>
      </c>
      <c r="U21" s="221">
        <v>15</v>
      </c>
      <c r="V21" s="55"/>
      <c r="W21" s="109"/>
      <c r="X21" s="117"/>
      <c r="Y21" s="181"/>
      <c r="Z21" s="155"/>
      <c r="AA21" s="120"/>
      <c r="AB21" s="155"/>
      <c r="AC21" s="120"/>
      <c r="AD21" s="155"/>
      <c r="AE21" s="120"/>
      <c r="AF21" s="121"/>
      <c r="AG21" s="120"/>
      <c r="AH21" s="122"/>
      <c r="AI21" s="181"/>
      <c r="AJ21" s="119"/>
      <c r="AK21" s="118"/>
      <c r="AS21" s="24"/>
      <c r="AT21" s="24"/>
      <c r="AU21" s="24"/>
      <c r="AV21" s="24"/>
      <c r="AW21" s="24"/>
      <c r="AX21" s="24"/>
      <c r="AZ21" s="24"/>
      <c r="BA21" s="24"/>
      <c r="BB21" s="24"/>
      <c r="BC21" s="24"/>
      <c r="BD21" s="24"/>
      <c r="BE21" s="24"/>
      <c r="BF21" s="24"/>
      <c r="BI21" s="24"/>
      <c r="BJ21" s="24"/>
      <c r="BK21" s="24"/>
      <c r="BL21" s="24"/>
      <c r="BM21" s="24"/>
      <c r="BN21" s="24"/>
      <c r="BP21" s="24"/>
      <c r="BQ21" s="24"/>
      <c r="BR21" s="24"/>
      <c r="BS21" s="24"/>
      <c r="BT21" s="24"/>
      <c r="BU21" s="24"/>
      <c r="BV21" s="24"/>
      <c r="BX21" s="24"/>
      <c r="BY21" s="24"/>
      <c r="BZ21" s="24"/>
      <c r="CA21" s="24"/>
      <c r="CB21" s="24"/>
      <c r="CC21" s="24"/>
      <c r="CE21" s="24"/>
      <c r="CF21" s="24"/>
      <c r="CG21" s="24"/>
      <c r="CH21" s="24"/>
      <c r="CI21" s="24"/>
      <c r="CJ21" s="24"/>
      <c r="CK21" s="24"/>
    </row>
    <row r="22" spans="1:89" ht="14" customHeight="1">
      <c r="A22" s="84" t="str">
        <f>IF('Q2'!A22=0,"",'Q2'!A22)</f>
        <v/>
      </c>
      <c r="B22" s="100">
        <f>IF([1]Summ!$J1060="",0,[1]Summ!$J1060)</f>
        <v>0</v>
      </c>
      <c r="C22" s="101">
        <f>IF([1]Summ!$K1060="",0,[1]Summ!$K1060)</f>
        <v>0</v>
      </c>
      <c r="D22" s="23">
        <f t="shared" si="18"/>
        <v>0</v>
      </c>
      <c r="E22" s="74">
        <f>'Q3'!E22</f>
        <v>1</v>
      </c>
      <c r="F22" s="21"/>
      <c r="H22" s="23">
        <f t="shared" si="19"/>
        <v>1</v>
      </c>
      <c r="I22" s="21">
        <f t="shared" si="20"/>
        <v>0</v>
      </c>
      <c r="J22" s="23">
        <f t="shared" si="17"/>
        <v>0</v>
      </c>
      <c r="K22" s="21">
        <f t="shared" si="21"/>
        <v>0</v>
      </c>
      <c r="L22" s="21">
        <f t="shared" si="22"/>
        <v>0</v>
      </c>
      <c r="M22" s="223">
        <f t="shared" si="23"/>
        <v>0</v>
      </c>
      <c r="N22" s="227"/>
      <c r="O22" s="2"/>
      <c r="P22" s="21"/>
      <c r="Q22" s="58" t="s">
        <v>71</v>
      </c>
      <c r="R22" s="220">
        <f>IF($B$81=0,0,(SUMIF($N$6:$N$28,$U22,K$6:K$28)+SUMIF($N$91:$N$118,$U22,K$91:K$118))*$B$83*$H$84*'Q2'!$B$81/$B$81)</f>
        <v>0</v>
      </c>
      <c r="S22" s="220">
        <f>IF($B$81=0,0,(SUMIF($N$6:$N$28,$U22,L$6:L$28)+SUMIF($N$91:$N$118,$U22,L$91:L$118))*$I$83*'Q2'!$B$81/$B$81)</f>
        <v>0</v>
      </c>
      <c r="T22" s="220">
        <f>IF($B$81=0,0,(SUMIF($N$6:$N$28,$U22,M$6:M$28)+SUMIF($N$91:$N$118,$U22,M$91:M$118))*$I$83*'Q2'!$B$81/$B$81)</f>
        <v>0</v>
      </c>
      <c r="U22" s="221">
        <v>16</v>
      </c>
      <c r="V22" s="55"/>
      <c r="W22" s="109"/>
      <c r="X22" s="117"/>
      <c r="Y22" s="181"/>
      <c r="Z22" s="155"/>
      <c r="AA22" s="120"/>
      <c r="AB22" s="155"/>
      <c r="AC22" s="120"/>
      <c r="AD22" s="155"/>
      <c r="AE22" s="120"/>
      <c r="AF22" s="121"/>
      <c r="AG22" s="120"/>
      <c r="AH22" s="122"/>
      <c r="AI22" s="181"/>
      <c r="AJ22" s="119"/>
      <c r="AK22" s="118"/>
      <c r="AS22" s="24"/>
      <c r="AT22" s="24"/>
      <c r="AU22" s="24"/>
      <c r="AV22" s="24"/>
      <c r="AW22" s="24"/>
      <c r="AX22" s="24"/>
      <c r="AZ22" s="24"/>
      <c r="BA22" s="24"/>
      <c r="BB22" s="24"/>
      <c r="BC22" s="24"/>
      <c r="BD22" s="24"/>
      <c r="BE22" s="24"/>
      <c r="BF22" s="24"/>
      <c r="BI22" s="24"/>
      <c r="BJ22" s="24"/>
      <c r="BK22" s="24"/>
      <c r="BL22" s="24"/>
      <c r="BM22" s="24"/>
      <c r="BN22" s="24"/>
      <c r="BP22" s="24"/>
      <c r="BQ22" s="24"/>
      <c r="BR22" s="24"/>
      <c r="BS22" s="24"/>
      <c r="BT22" s="24"/>
      <c r="BU22" s="24"/>
      <c r="BV22" s="24"/>
      <c r="BX22" s="24"/>
      <c r="BY22" s="24"/>
      <c r="BZ22" s="24"/>
      <c r="CA22" s="24"/>
      <c r="CB22" s="24"/>
      <c r="CC22" s="24"/>
      <c r="CE22" s="24"/>
      <c r="CF22" s="24"/>
      <c r="CG22" s="24"/>
      <c r="CH22" s="24"/>
      <c r="CI22" s="24"/>
      <c r="CJ22" s="24"/>
      <c r="CK22" s="24"/>
    </row>
    <row r="23" spans="1:89" ht="14" customHeight="1" thickBot="1">
      <c r="A23" s="84" t="str">
        <f>IF('Q2'!A23=0,"",'Q2'!A23)</f>
        <v/>
      </c>
      <c r="B23" s="100">
        <f>IF([1]Summ!$J1061="",0,[1]Summ!$J1061)</f>
        <v>0</v>
      </c>
      <c r="C23" s="101">
        <f>IF([1]Summ!$K1061="",0,[1]Summ!$K1061)</f>
        <v>0</v>
      </c>
      <c r="D23" s="23">
        <f t="shared" si="18"/>
        <v>0</v>
      </c>
      <c r="E23" s="74">
        <f>'Q3'!E23</f>
        <v>1</v>
      </c>
      <c r="F23" s="21"/>
      <c r="H23" s="23">
        <f t="shared" si="19"/>
        <v>1</v>
      </c>
      <c r="I23" s="21">
        <f t="shared" si="20"/>
        <v>0</v>
      </c>
      <c r="J23" s="23">
        <f t="shared" si="17"/>
        <v>0</v>
      </c>
      <c r="K23" s="21">
        <f t="shared" si="21"/>
        <v>0</v>
      </c>
      <c r="L23" s="21">
        <f t="shared" si="22"/>
        <v>0</v>
      </c>
      <c r="M23" s="223">
        <f t="shared" si="23"/>
        <v>0</v>
      </c>
      <c r="N23" s="227"/>
      <c r="O23" s="2"/>
      <c r="P23" s="21"/>
      <c r="Q23" s="169" t="s">
        <v>80</v>
      </c>
      <c r="R23" s="177">
        <f>SUM(R7:R22)</f>
        <v>93454.097460730569</v>
      </c>
      <c r="S23" s="177">
        <f>SUM(S7:S22)</f>
        <v>58910.53750667211</v>
      </c>
      <c r="T23" s="177">
        <f>SUM(T7:T22)</f>
        <v>58884.280633192437</v>
      </c>
      <c r="U23" s="55"/>
      <c r="V23" s="55"/>
      <c r="W23" s="109"/>
      <c r="X23" s="117"/>
      <c r="Y23" s="181"/>
      <c r="Z23" s="155"/>
      <c r="AA23" s="120"/>
      <c r="AB23" s="155"/>
      <c r="AC23" s="120"/>
      <c r="AD23" s="155"/>
      <c r="AE23" s="120"/>
      <c r="AF23" s="121"/>
      <c r="AG23" s="120"/>
      <c r="AH23" s="122"/>
      <c r="AI23" s="181"/>
      <c r="AJ23" s="119"/>
      <c r="AK23" s="118"/>
      <c r="AS23" s="24"/>
      <c r="AT23" s="24"/>
      <c r="AU23" s="24"/>
      <c r="AV23" s="24"/>
      <c r="AW23" s="24"/>
      <c r="AX23" s="24"/>
      <c r="AZ23" s="24"/>
      <c r="BA23" s="24"/>
      <c r="BB23" s="24"/>
      <c r="BC23" s="24"/>
      <c r="BD23" s="24"/>
      <c r="BE23" s="24"/>
      <c r="BF23" s="24"/>
      <c r="BI23" s="24"/>
      <c r="BJ23" s="24"/>
      <c r="BK23" s="24"/>
      <c r="BL23" s="24"/>
      <c r="BM23" s="24"/>
      <c r="BN23" s="24"/>
      <c r="BP23" s="24"/>
      <c r="BQ23" s="24"/>
      <c r="BR23" s="24"/>
      <c r="BS23" s="24"/>
      <c r="BT23" s="24"/>
      <c r="BU23" s="24"/>
      <c r="BV23" s="24"/>
      <c r="BX23" s="24"/>
      <c r="BY23" s="24"/>
      <c r="BZ23" s="24"/>
      <c r="CA23" s="24"/>
      <c r="CB23" s="24"/>
      <c r="CC23" s="24"/>
      <c r="CE23" s="24"/>
      <c r="CF23" s="24"/>
      <c r="CG23" s="24"/>
      <c r="CH23" s="24"/>
      <c r="CI23" s="24"/>
      <c r="CJ23" s="24"/>
      <c r="CK23" s="24"/>
    </row>
    <row r="24" spans="1:89" ht="14" customHeight="1" thickTop="1">
      <c r="A24" s="84" t="str">
        <f>IF('Q2'!A24=0,"",'Q2'!A24)</f>
        <v/>
      </c>
      <c r="B24" s="100">
        <f>IF([1]Summ!$J1062="",0,[1]Summ!$J1062)</f>
        <v>0</v>
      </c>
      <c r="C24" s="101">
        <f>IF([1]Summ!$K1062="",0,[1]Summ!$K1062)</f>
        <v>0</v>
      </c>
      <c r="D24" s="23">
        <f t="shared" si="18"/>
        <v>0</v>
      </c>
      <c r="E24" s="74">
        <f>'Q3'!E24</f>
        <v>1</v>
      </c>
      <c r="F24" s="21"/>
      <c r="H24" s="23">
        <f t="shared" si="19"/>
        <v>1</v>
      </c>
      <c r="I24" s="21">
        <f t="shared" si="20"/>
        <v>0</v>
      </c>
      <c r="J24" s="23">
        <f t="shared" si="17"/>
        <v>0</v>
      </c>
      <c r="K24" s="21">
        <f t="shared" si="21"/>
        <v>0</v>
      </c>
      <c r="L24" s="21">
        <f t="shared" si="22"/>
        <v>0</v>
      </c>
      <c r="M24" s="223">
        <f t="shared" si="23"/>
        <v>0</v>
      </c>
      <c r="N24" s="227"/>
      <c r="O24" s="2"/>
      <c r="P24" s="21"/>
      <c r="Q24" s="58" t="s">
        <v>117</v>
      </c>
      <c r="R24" s="40">
        <f>IF($B$81=0,0,(SUM(($B$70*$H$70))+((1-$D$29)*$I$83))*'Q2'!$B$81/$B$81)</f>
        <v>19201.523793976001</v>
      </c>
      <c r="S24" s="40">
        <f>IF($B$81=0,0,(SUM(($B$70*$H$70))+((1-$D$29)*$I$83))*'Q2'!$B$81/$B$81)</f>
        <v>19201.523793976001</v>
      </c>
      <c r="T24" s="40">
        <f>IF($B$81=0,0,(SUM(($B$70*$H$70))+((1-$D$29)*$I$83))*'Q2'!$B$81/$B$81)</f>
        <v>19201.523793976001</v>
      </c>
      <c r="U24" s="55"/>
      <c r="V24" s="55"/>
      <c r="W24" s="109"/>
      <c r="X24" s="117"/>
      <c r="Y24" s="181"/>
      <c r="Z24" s="155"/>
      <c r="AA24" s="120"/>
      <c r="AB24" s="155"/>
      <c r="AC24" s="120"/>
      <c r="AD24" s="155"/>
      <c r="AE24" s="120"/>
      <c r="AF24" s="121"/>
      <c r="AG24" s="120"/>
      <c r="AH24" s="122"/>
      <c r="AI24" s="181"/>
      <c r="AJ24" s="119"/>
      <c r="AK24" s="118"/>
      <c r="AS24" s="24"/>
      <c r="AT24" s="24"/>
      <c r="AU24" s="24"/>
      <c r="AV24" s="24"/>
      <c r="AW24" s="24"/>
      <c r="AX24" s="24"/>
      <c r="AZ24" s="24"/>
      <c r="BA24" s="24"/>
      <c r="BB24" s="24"/>
      <c r="BC24" s="24"/>
      <c r="BD24" s="24"/>
      <c r="BE24" s="24"/>
      <c r="BF24" s="24"/>
      <c r="BI24" s="24"/>
      <c r="BJ24" s="24"/>
      <c r="BK24" s="24"/>
      <c r="BL24" s="24"/>
      <c r="BM24" s="24"/>
      <c r="BN24" s="24"/>
      <c r="BP24" s="24"/>
      <c r="BQ24" s="24"/>
      <c r="BR24" s="24"/>
      <c r="BS24" s="24"/>
      <c r="BT24" s="24"/>
      <c r="BU24" s="24"/>
      <c r="BV24" s="24"/>
      <c r="BX24" s="24"/>
      <c r="BY24" s="24"/>
      <c r="BZ24" s="24"/>
      <c r="CA24" s="24"/>
      <c r="CB24" s="24"/>
      <c r="CC24" s="24"/>
      <c r="CE24" s="24"/>
      <c r="CF24" s="24"/>
      <c r="CG24" s="24"/>
      <c r="CH24" s="24"/>
      <c r="CI24" s="24"/>
      <c r="CJ24" s="24"/>
      <c r="CK24" s="24"/>
    </row>
    <row r="25" spans="1:89" ht="14" customHeight="1">
      <c r="A25" s="84" t="str">
        <f>IF('Q2'!A25=0,"",'Q2'!A25)</f>
        <v/>
      </c>
      <c r="B25" s="100">
        <f>IF([1]Summ!$J1063="",0,[1]Summ!$J1063)</f>
        <v>0</v>
      </c>
      <c r="C25" s="101">
        <f>IF([1]Summ!$K1063="",0,[1]Summ!$K1063)</f>
        <v>0</v>
      </c>
      <c r="D25" s="23">
        <f t="shared" si="18"/>
        <v>0</v>
      </c>
      <c r="E25" s="74">
        <f>'Q3'!E25</f>
        <v>1</v>
      </c>
      <c r="F25" s="21"/>
      <c r="H25" s="23">
        <f t="shared" si="19"/>
        <v>1</v>
      </c>
      <c r="I25" s="21">
        <f t="shared" si="20"/>
        <v>0</v>
      </c>
      <c r="J25" s="23">
        <f t="shared" si="17"/>
        <v>0</v>
      </c>
      <c r="K25" s="21">
        <f t="shared" si="21"/>
        <v>0</v>
      </c>
      <c r="L25" s="21">
        <f t="shared" si="22"/>
        <v>0</v>
      </c>
      <c r="M25" s="223">
        <f t="shared" si="23"/>
        <v>0</v>
      </c>
      <c r="N25" s="227"/>
      <c r="O25" s="2"/>
      <c r="P25" s="21"/>
      <c r="Q25" s="141" t="s">
        <v>118</v>
      </c>
      <c r="R25" s="40">
        <f>IF($B$81=0,0,(SUM(($B$70*$H$70),($B$71*$H$71))+((1-$D$29)*$I$83))*'Q2'!$B$81/$B$81)</f>
        <v>28392.937127309335</v>
      </c>
      <c r="S25" s="40">
        <f>IF($B$81=0,0,(SUM(($B$70*$H$70),($B$71*$H$71))+((1-$D$29)*$I$83))*'Q2'!$B$81/$B$81)</f>
        <v>28392.937127309335</v>
      </c>
      <c r="T25" s="40">
        <f>IF($B$81=0,0,(SUM(($B$70*$H$70),($B$71*$H$71))+((1-$D$29)*$I$83))*'Q2'!$B$81/$B$81)</f>
        <v>28392.937127309335</v>
      </c>
      <c r="U25" s="55"/>
      <c r="V25" s="55"/>
      <c r="W25" s="109"/>
      <c r="X25" s="117"/>
      <c r="Y25" s="181"/>
      <c r="Z25" s="155"/>
      <c r="AA25" s="120"/>
      <c r="AB25" s="155"/>
      <c r="AC25" s="120"/>
      <c r="AD25" s="155"/>
      <c r="AE25" s="120"/>
      <c r="AF25" s="121"/>
      <c r="AG25" s="120"/>
      <c r="AH25" s="122"/>
      <c r="AI25" s="181"/>
      <c r="AJ25" s="119"/>
      <c r="AK25" s="118"/>
      <c r="AS25" s="24"/>
      <c r="AT25" s="24"/>
      <c r="AU25" s="24"/>
      <c r="AV25" s="24"/>
      <c r="AW25" s="24"/>
      <c r="AX25" s="24"/>
      <c r="AZ25" s="24"/>
      <c r="BA25" s="24"/>
      <c r="BB25" s="24"/>
      <c r="BC25" s="24"/>
      <c r="BD25" s="24"/>
      <c r="BE25" s="24"/>
      <c r="BF25" s="24"/>
      <c r="BI25" s="24"/>
      <c r="BJ25" s="24"/>
      <c r="BK25" s="24"/>
      <c r="BL25" s="24"/>
      <c r="BM25" s="24"/>
      <c r="BN25" s="24"/>
      <c r="BP25" s="24"/>
      <c r="BQ25" s="24"/>
      <c r="BR25" s="24"/>
      <c r="BS25" s="24"/>
      <c r="BT25" s="24"/>
      <c r="BU25" s="24"/>
      <c r="BV25" s="24"/>
      <c r="BX25" s="24"/>
      <c r="BY25" s="24"/>
      <c r="BZ25" s="24"/>
      <c r="CA25" s="24"/>
      <c r="CB25" s="24"/>
      <c r="CC25" s="24"/>
      <c r="CE25" s="24"/>
      <c r="CF25" s="24"/>
      <c r="CG25" s="24"/>
      <c r="CH25" s="24"/>
      <c r="CI25" s="24"/>
      <c r="CJ25" s="24"/>
      <c r="CK25" s="24"/>
    </row>
    <row r="26" spans="1:89" ht="14" customHeight="1">
      <c r="A26" s="84" t="str">
        <f>IF('Q2'!A26=0,"",'Q2'!A26)</f>
        <v>Food aid</v>
      </c>
      <c r="B26" s="100">
        <f>IF([1]Summ!$J1064="",0,[1]Summ!$J1064)</f>
        <v>0.11904761904761904</v>
      </c>
      <c r="C26" s="101">
        <f>IF([1]Summ!$K1064="",0,[1]Summ!$K1064)</f>
        <v>0</v>
      </c>
      <c r="D26" s="23">
        <f t="shared" si="0"/>
        <v>0.11904761904761904</v>
      </c>
      <c r="E26" s="74">
        <f>'Q3'!E26</f>
        <v>1</v>
      </c>
      <c r="F26" s="21"/>
      <c r="H26" s="23">
        <f t="shared" si="1"/>
        <v>1</v>
      </c>
      <c r="I26" s="21">
        <f t="shared" si="2"/>
        <v>0.11904761904761904</v>
      </c>
      <c r="J26" s="23">
        <f>IF(I$32&lt;=1+I131,I26,B26*H26+J$33*(I26-B26*H26))</f>
        <v>0.11904761904761904</v>
      </c>
      <c r="K26" s="21">
        <f t="shared" si="4"/>
        <v>0.11904761904761904</v>
      </c>
      <c r="L26" s="21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1"/>
      <c r="Q26" s="58" t="s">
        <v>119</v>
      </c>
      <c r="R26" s="40">
        <f>IF($B$81=0,0,(SUM(($B$70*$H$70),($B$71*$H$71),($B$72*$H$72))+((1-$D$29)*$I$83))*'Q2'!$B$81/$B$81)</f>
        <v>44761.897127309334</v>
      </c>
      <c r="S26" s="40">
        <f>IF($B$81=0,0,(SUM(($B$70*$H$70),($B$71*$H$71),($B$72*$H$72))+((1-$D$29)*$I$83))*'Q2'!$B$81/$B$81)</f>
        <v>44761.897127309334</v>
      </c>
      <c r="T26" s="40">
        <f>IF($B$81=0,0,(SUM(($B$70*$H$70),($B$71*$H$71),($B$72*$H$72))+((1-$D$29)*$I$83))*'Q2'!$B$81/$B$81)</f>
        <v>44761.897127309334</v>
      </c>
      <c r="U26" s="55"/>
      <c r="V26" s="55"/>
      <c r="W26" s="109"/>
      <c r="X26" s="117"/>
      <c r="Y26" s="181">
        <f t="shared" si="9"/>
        <v>0.47619047619047616</v>
      </c>
      <c r="Z26" s="155">
        <f>'Q2'!Z26</f>
        <v>0.25</v>
      </c>
      <c r="AA26" s="120">
        <f t="shared" si="16"/>
        <v>0.11904761904761904</v>
      </c>
      <c r="AB26" s="155">
        <f>'Q2'!AB26</f>
        <v>0.25</v>
      </c>
      <c r="AC26" s="120">
        <f t="shared" si="7"/>
        <v>0.11904761904761904</v>
      </c>
      <c r="AD26" s="155">
        <f>'Q2'!AD26</f>
        <v>0.25</v>
      </c>
      <c r="AE26" s="120">
        <f t="shared" si="8"/>
        <v>0.11904761904761904</v>
      </c>
      <c r="AF26" s="121">
        <f t="shared" si="10"/>
        <v>0.25</v>
      </c>
      <c r="AG26" s="120">
        <f t="shared" si="11"/>
        <v>0.11904761904761904</v>
      </c>
      <c r="AH26" s="122">
        <f t="shared" si="12"/>
        <v>1</v>
      </c>
      <c r="AI26" s="181">
        <f t="shared" si="13"/>
        <v>0.11904761904761904</v>
      </c>
      <c r="AJ26" s="119">
        <f t="shared" si="14"/>
        <v>0.11904761904761904</v>
      </c>
      <c r="AK26" s="118">
        <f t="shared" si="15"/>
        <v>0.11904761904761904</v>
      </c>
      <c r="AS26" s="24"/>
      <c r="AT26" s="24"/>
      <c r="AU26" s="24"/>
      <c r="AV26" s="24"/>
      <c r="AW26" s="24"/>
      <c r="AX26" s="24"/>
      <c r="AZ26" s="24"/>
      <c r="BA26" s="24"/>
      <c r="BB26" s="24"/>
      <c r="BC26" s="24"/>
      <c r="BD26" s="24"/>
      <c r="BE26" s="24"/>
      <c r="BF26" s="24"/>
      <c r="BI26" s="24"/>
      <c r="BJ26" s="24"/>
      <c r="BK26" s="24"/>
      <c r="BL26" s="24"/>
      <c r="BM26" s="24"/>
      <c r="BN26" s="24"/>
      <c r="BP26" s="24"/>
      <c r="BQ26" s="24"/>
      <c r="BR26" s="24"/>
      <c r="BS26" s="24"/>
      <c r="BT26" s="24"/>
      <c r="BU26" s="24"/>
      <c r="BV26" s="24"/>
      <c r="BX26" s="24"/>
      <c r="BY26" s="24"/>
      <c r="BZ26" s="24"/>
      <c r="CA26" s="24"/>
      <c r="CB26" s="24"/>
      <c r="CC26" s="24"/>
      <c r="CE26" s="24"/>
      <c r="CF26" s="24"/>
      <c r="CG26" s="24"/>
      <c r="CH26" s="24"/>
      <c r="CI26" s="24"/>
      <c r="CJ26" s="24"/>
      <c r="CK26" s="24"/>
    </row>
    <row r="27" spans="1:89" ht="14" customHeight="1">
      <c r="A27" s="84" t="str">
        <f>IF('Q2'!A27=0,"",'Q2'!A27)</f>
        <v>Purchase - other</v>
      </c>
      <c r="B27" s="100">
        <f>IF([1]Summ!$J1065="",0,[1]Summ!$J1065)</f>
        <v>6.6282310087173099E-2</v>
      </c>
      <c r="C27" s="101">
        <f>IF([1]Summ!$K1065="",0,[1]Summ!$K1065)</f>
        <v>-6.6282310087173099E-2</v>
      </c>
      <c r="D27" s="23">
        <f t="shared" si="0"/>
        <v>0</v>
      </c>
      <c r="E27" s="74">
        <f>'Q3'!E27</f>
        <v>1</v>
      </c>
      <c r="F27" s="21"/>
      <c r="H27" s="23">
        <f t="shared" si="1"/>
        <v>1</v>
      </c>
      <c r="I27" s="21">
        <f t="shared" si="2"/>
        <v>0</v>
      </c>
      <c r="J27" s="23">
        <f>IF(I$32&lt;=1+I131,I27,B27*H27+J$33*(I27-B27*H27))</f>
        <v>6.7197906799030871E-2</v>
      </c>
      <c r="K27" s="21">
        <f t="shared" si="4"/>
        <v>6.6282310087173099E-2</v>
      </c>
      <c r="L27" s="21">
        <f t="shared" si="5"/>
        <v>6.6282310087173099E-2</v>
      </c>
      <c r="M27" s="224">
        <f t="shared" si="6"/>
        <v>6.7197906799030871E-2</v>
      </c>
      <c r="N27" s="227"/>
      <c r="O27" s="2"/>
      <c r="P27" s="21"/>
      <c r="Q27" s="125" t="s">
        <v>120</v>
      </c>
      <c r="R27" s="40"/>
      <c r="S27" s="40"/>
      <c r="T27" s="40"/>
      <c r="U27" s="55"/>
      <c r="V27" s="55"/>
      <c r="W27" s="109"/>
      <c r="X27" s="117"/>
      <c r="Y27" s="181">
        <f t="shared" si="9"/>
        <v>0.26879162719612348</v>
      </c>
      <c r="Z27" s="155">
        <f>'Q2'!Z27</f>
        <v>0.25</v>
      </c>
      <c r="AA27" s="120">
        <f t="shared" si="16"/>
        <v>6.7197906799030871E-2</v>
      </c>
      <c r="AB27" s="155">
        <f>'Q2'!AB27</f>
        <v>0.25</v>
      </c>
      <c r="AC27" s="120">
        <f t="shared" si="7"/>
        <v>6.7197906799030871E-2</v>
      </c>
      <c r="AD27" s="155">
        <f>'Q2'!AD27</f>
        <v>0.25</v>
      </c>
      <c r="AE27" s="120">
        <f t="shared" si="8"/>
        <v>6.7197906799030871E-2</v>
      </c>
      <c r="AF27" s="121">
        <f t="shared" si="10"/>
        <v>0.25</v>
      </c>
      <c r="AG27" s="120">
        <f t="shared" si="11"/>
        <v>6.7197906799030871E-2</v>
      </c>
      <c r="AH27" s="122">
        <f t="shared" si="12"/>
        <v>1</v>
      </c>
      <c r="AI27" s="181">
        <f t="shared" si="13"/>
        <v>6.7197906799030871E-2</v>
      </c>
      <c r="AJ27" s="119">
        <f t="shared" si="14"/>
        <v>6.7197906799030871E-2</v>
      </c>
      <c r="AK27" s="118">
        <f t="shared" si="15"/>
        <v>6.7197906799030871E-2</v>
      </c>
      <c r="AS27" s="24"/>
      <c r="AT27" s="24"/>
      <c r="AU27" s="24"/>
      <c r="AV27" s="24"/>
      <c r="AW27" s="24"/>
      <c r="AX27" s="24"/>
      <c r="AZ27" s="24"/>
      <c r="BA27" s="24"/>
      <c r="BB27" s="24"/>
      <c r="BC27" s="24"/>
      <c r="BD27" s="24"/>
      <c r="BE27" s="24"/>
      <c r="BF27" s="24"/>
      <c r="BI27" s="24"/>
      <c r="BJ27" s="24"/>
      <c r="BK27" s="24"/>
      <c r="BL27" s="24"/>
      <c r="BM27" s="24"/>
      <c r="BN27" s="24"/>
      <c r="BP27" s="24"/>
      <c r="BQ27" s="24"/>
      <c r="BR27" s="24"/>
      <c r="BS27" s="24"/>
      <c r="BT27" s="24"/>
      <c r="BU27" s="24"/>
      <c r="BV27" s="24"/>
      <c r="BX27" s="24"/>
      <c r="BY27" s="24"/>
      <c r="BZ27" s="24"/>
      <c r="CA27" s="24"/>
      <c r="CB27" s="24"/>
      <c r="CC27" s="24"/>
      <c r="CE27" s="24"/>
      <c r="CF27" s="24"/>
      <c r="CG27" s="24"/>
      <c r="CH27" s="24"/>
      <c r="CI27" s="24"/>
      <c r="CJ27" s="24"/>
      <c r="CK27" s="24"/>
    </row>
    <row r="28" spans="1:89" ht="14" customHeight="1">
      <c r="A28" s="84" t="str">
        <f>IF('Q2'!A28=0,"",'Q2'!A28)</f>
        <v>Purchase - desirable</v>
      </c>
      <c r="B28" s="100">
        <f>IF([1]Summ!$J1066="",0,[1]Summ!$J1066)</f>
        <v>0</v>
      </c>
      <c r="C28" s="101">
        <f>IF([1]Summ!$K1066="",0,[1]Summ!$K1066)</f>
        <v>0</v>
      </c>
      <c r="D28" s="23">
        <f t="shared" si="0"/>
        <v>0</v>
      </c>
      <c r="E28" s="74">
        <f>'Q3'!E28</f>
        <v>1</v>
      </c>
      <c r="F28" s="21"/>
      <c r="H28" s="23">
        <f t="shared" si="1"/>
        <v>1</v>
      </c>
      <c r="I28" s="21">
        <f t="shared" si="2"/>
        <v>0</v>
      </c>
      <c r="J28" s="23">
        <f>IF(I$32&lt;=1+I131,I28,B28*H28+J$33*(I28-B28*H28))</f>
        <v>0</v>
      </c>
      <c r="K28" s="21">
        <f t="shared" si="4"/>
        <v>0</v>
      </c>
      <c r="L28" s="21">
        <f t="shared" si="5"/>
        <v>0</v>
      </c>
      <c r="M28" s="222">
        <f t="shared" si="6"/>
        <v>0</v>
      </c>
      <c r="N28" s="227"/>
      <c r="O28" s="2"/>
      <c r="P28" s="21"/>
      <c r="V28" s="55"/>
      <c r="W28" s="109"/>
      <c r="X28" s="117"/>
      <c r="Y28" s="181">
        <f t="shared" si="9"/>
        <v>0</v>
      </c>
      <c r="Z28" s="155">
        <f>'Q2'!Z28</f>
        <v>0</v>
      </c>
      <c r="AA28" s="120">
        <f t="shared" si="16"/>
        <v>0</v>
      </c>
      <c r="AB28" s="155">
        <f>'Q2'!AB28</f>
        <v>0</v>
      </c>
      <c r="AC28" s="120">
        <f t="shared" si="7"/>
        <v>0</v>
      </c>
      <c r="AD28" s="155">
        <f>'Q2'!AD28</f>
        <v>0.5</v>
      </c>
      <c r="AE28" s="120">
        <f t="shared" si="8"/>
        <v>0</v>
      </c>
      <c r="AF28" s="121">
        <f t="shared" si="10"/>
        <v>0.5</v>
      </c>
      <c r="AG28" s="120">
        <f t="shared" si="11"/>
        <v>0</v>
      </c>
      <c r="AH28" s="122">
        <f t="shared" si="12"/>
        <v>1</v>
      </c>
      <c r="AI28" s="181">
        <f t="shared" si="13"/>
        <v>0</v>
      </c>
      <c r="AJ28" s="119">
        <f t="shared" si="14"/>
        <v>0</v>
      </c>
      <c r="AK28" s="118">
        <f t="shared" si="15"/>
        <v>0</v>
      </c>
      <c r="AS28" s="24"/>
      <c r="AT28" s="24"/>
      <c r="AU28" s="24"/>
      <c r="AV28" s="24"/>
      <c r="AW28" s="24"/>
      <c r="AX28" s="24"/>
      <c r="AZ28" s="24"/>
      <c r="BA28" s="24"/>
      <c r="BB28" s="24"/>
      <c r="BC28" s="24"/>
      <c r="BD28" s="24"/>
      <c r="BE28" s="24"/>
      <c r="BF28" s="24"/>
      <c r="BI28" s="24"/>
      <c r="BJ28" s="24"/>
      <c r="BK28" s="24"/>
      <c r="BL28" s="24"/>
      <c r="BM28" s="24"/>
      <c r="BN28" s="24"/>
      <c r="BP28" s="24"/>
      <c r="BQ28" s="24"/>
      <c r="BR28" s="24"/>
      <c r="BS28" s="24"/>
      <c r="BT28" s="24"/>
      <c r="BU28" s="24"/>
      <c r="BV28" s="24"/>
      <c r="BX28" s="24"/>
      <c r="BY28" s="24"/>
      <c r="BZ28" s="24"/>
      <c r="CA28" s="24"/>
      <c r="CB28" s="24"/>
      <c r="CC28" s="24"/>
      <c r="CE28" s="24"/>
      <c r="CF28" s="24"/>
      <c r="CG28" s="24"/>
      <c r="CH28" s="24"/>
      <c r="CI28" s="24"/>
      <c r="CJ28" s="24"/>
      <c r="CK28" s="24"/>
    </row>
    <row r="29" spans="1:89" ht="14" customHeight="1">
      <c r="A29" s="84" t="str">
        <f>IF('Q2'!A29=0,"",'Q2'!A29)</f>
        <v>Purchase - fpl non staple</v>
      </c>
      <c r="B29" s="100">
        <f>IF([1]Summ!$J1067="",0,[1]Summ!$J1067)</f>
        <v>0.53119047384806972</v>
      </c>
      <c r="C29" s="101">
        <f>IF([1]Summ!$K1067="",0,[1]Summ!$K1067)</f>
        <v>-0.30655369990607267</v>
      </c>
      <c r="D29" s="23">
        <f t="shared" si="0"/>
        <v>0.22463677394199705</v>
      </c>
      <c r="E29" s="74">
        <f>'Q3'!E29</f>
        <v>1</v>
      </c>
      <c r="F29" s="21"/>
      <c r="H29" s="23">
        <f t="shared" si="1"/>
        <v>1</v>
      </c>
      <c r="I29" s="21">
        <f t="shared" si="2"/>
        <v>0.22463677394199705</v>
      </c>
      <c r="J29" s="23">
        <f>IF(I$32&lt;=1+I131,I29,B29*H29+J$33*(I29-B29*H29))</f>
        <v>0.53542508123083432</v>
      </c>
      <c r="K29" s="21">
        <f t="shared" si="4"/>
        <v>0.53119047384806972</v>
      </c>
      <c r="L29" s="21">
        <f t="shared" si="5"/>
        <v>0.53119047384806972</v>
      </c>
      <c r="M29" s="173">
        <f t="shared" si="6"/>
        <v>0.53542508123083432</v>
      </c>
      <c r="N29" s="227"/>
      <c r="P29" s="21"/>
      <c r="V29" s="55"/>
      <c r="W29" s="109"/>
      <c r="X29" s="117"/>
      <c r="Y29" s="181">
        <f t="shared" si="9"/>
        <v>2.1417003249233373</v>
      </c>
      <c r="Z29" s="155">
        <f>'Q2'!Z29</f>
        <v>0.25</v>
      </c>
      <c r="AA29" s="120">
        <f t="shared" si="16"/>
        <v>0.53542508123083432</v>
      </c>
      <c r="AB29" s="155">
        <f>'Q2'!AB29</f>
        <v>0.25</v>
      </c>
      <c r="AC29" s="120">
        <f t="shared" si="7"/>
        <v>0.53542508123083432</v>
      </c>
      <c r="AD29" s="155">
        <f>'Q2'!AD29</f>
        <v>0.25</v>
      </c>
      <c r="AE29" s="120">
        <f t="shared" si="8"/>
        <v>0.53542508123083432</v>
      </c>
      <c r="AF29" s="121">
        <f t="shared" si="10"/>
        <v>0.25</v>
      </c>
      <c r="AG29" s="120">
        <f t="shared" si="11"/>
        <v>0.53542508123083432</v>
      </c>
      <c r="AH29" s="122">
        <f t="shared" si="12"/>
        <v>1</v>
      </c>
      <c r="AI29" s="181">
        <f t="shared" si="13"/>
        <v>0.53542508123083432</v>
      </c>
      <c r="AJ29" s="119">
        <f t="shared" si="14"/>
        <v>0.53542508123083432</v>
      </c>
      <c r="AK29" s="118">
        <f t="shared" si="15"/>
        <v>0.53542508123083432</v>
      </c>
      <c r="AS29" s="24"/>
      <c r="AT29" s="24"/>
      <c r="AU29" s="24"/>
      <c r="AV29" s="24"/>
      <c r="AW29" s="24"/>
      <c r="AX29" s="24"/>
      <c r="AZ29" s="24"/>
      <c r="BA29" s="24"/>
      <c r="BB29" s="24"/>
      <c r="BC29" s="24"/>
      <c r="BD29" s="24"/>
      <c r="BE29" s="24"/>
      <c r="BF29" s="24"/>
      <c r="BI29" s="24"/>
      <c r="BJ29" s="24"/>
      <c r="BK29" s="24"/>
      <c r="BL29" s="24"/>
      <c r="BM29" s="24"/>
      <c r="BN29" s="24"/>
      <c r="BP29" s="24"/>
      <c r="BQ29" s="24"/>
      <c r="BR29" s="24"/>
      <c r="BS29" s="24"/>
      <c r="BT29" s="24"/>
      <c r="BU29" s="24"/>
      <c r="BV29" s="24"/>
      <c r="BX29" s="24"/>
      <c r="BY29" s="24"/>
      <c r="BZ29" s="24"/>
      <c r="CA29" s="24"/>
      <c r="CB29" s="24"/>
      <c r="CC29" s="24"/>
      <c r="CE29" s="24"/>
      <c r="CF29" s="24"/>
      <c r="CG29" s="24"/>
      <c r="CH29" s="24"/>
      <c r="CI29" s="24"/>
      <c r="CJ29" s="24"/>
      <c r="CK29" s="24"/>
    </row>
    <row r="30" spans="1:89" ht="14" customHeight="1" thickBot="1">
      <c r="A30" s="92" t="s">
        <v>44</v>
      </c>
      <c r="B30" s="100">
        <f>IF([1]Summ!$J1068="",0,[1]Summ!$J1068)</f>
        <v>0.62186232777085926</v>
      </c>
      <c r="C30" s="64"/>
      <c r="D30" s="23">
        <f>(D119-B124)</f>
        <v>8.1746031211777996</v>
      </c>
      <c r="E30" s="74">
        <f>'Q3'!E30</f>
        <v>1</v>
      </c>
      <c r="H30" s="95">
        <f>(E30*F$7/F$9)</f>
        <v>1</v>
      </c>
      <c r="I30" s="28">
        <f>IF(E30&gt;=1,I119-I124,MIN(I119-I124,B30*H30))</f>
        <v>4.3531665622568996</v>
      </c>
      <c r="J30" s="229">
        <f>IF(I$32&lt;=1,I30,1-SUM(J6:J29))</f>
        <v>0.27832939292251579</v>
      </c>
      <c r="K30" s="21">
        <f t="shared" si="4"/>
        <v>0.62186232777085926</v>
      </c>
      <c r="L30" s="21">
        <f>IF(L124=L119,0,IF(K30="",0,(L119-L124)/(B119-B124)*K30))</f>
        <v>0.32954235818541761</v>
      </c>
      <c r="M30" s="173">
        <f t="shared" si="6"/>
        <v>0.27832939292251579</v>
      </c>
      <c r="N30" s="165" t="s">
        <v>74</v>
      </c>
      <c r="O30" s="2"/>
      <c r="P30" s="21"/>
      <c r="Q30" s="232" t="s">
        <v>121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5"/>
      <c r="W30" s="109"/>
      <c r="X30" s="117"/>
      <c r="Y30" s="181">
        <f>M30*4</f>
        <v>1.1133175716900632</v>
      </c>
      <c r="Z30" s="121" t="e">
        <f>IF($Y30=0,0,AA30/($Y$30))</f>
        <v>#DIV/0!</v>
      </c>
      <c r="AA30" s="185" t="e">
        <f>IF(AA79*4/$I$83+SUM(AA6:AA29)&lt;1,AA79*4/$I$83,1-SUM(AA6:AA29))</f>
        <v>#DIV/0!</v>
      </c>
      <c r="AB30" s="121" t="e">
        <f>IF($Y30=0,0,AC30/($Y$30))</f>
        <v>#DIV/0!</v>
      </c>
      <c r="AC30" s="185" t="e">
        <f>IF(AC79*4/$I$83+SUM(AC6:AC29)&lt;1,AC79*4/$I$83,1-SUM(AC6:AC29))</f>
        <v>#DIV/0!</v>
      </c>
      <c r="AD30" s="121" t="e">
        <f>IF($Y30=0,0,AE30/($Y$30))</f>
        <v>#DIV/0!</v>
      </c>
      <c r="AE30" s="185" t="e">
        <f>IF(AE79*4/$I$83+SUM(AE6:AE29)&lt;1,AE79*4/$I$83,1-SUM(AE6:AE29))</f>
        <v>#DIV/0!</v>
      </c>
      <c r="AF30" s="121" t="e">
        <f>IF($Y30=0,0,AG30/($Y$30))</f>
        <v>#DIV/0!</v>
      </c>
      <c r="AG30" s="185" t="e">
        <f>IF(AG79*4/$I$83+SUM(AG6:AG29)&lt;1,AG79*4/$I$83,1-SUM(AG6:AG29))</f>
        <v>#DIV/0!</v>
      </c>
      <c r="AH30" s="122" t="e">
        <f t="shared" si="12"/>
        <v>#DIV/0!</v>
      </c>
      <c r="AI30" s="181" t="e">
        <f t="shared" si="13"/>
        <v>#DIV/0!</v>
      </c>
      <c r="AJ30" s="119" t="e">
        <f t="shared" si="14"/>
        <v>#DIV/0!</v>
      </c>
      <c r="AK30" s="118" t="e">
        <f t="shared" si="15"/>
        <v>#DIV/0!</v>
      </c>
      <c r="AS30" s="24"/>
      <c r="AT30" s="24"/>
      <c r="AU30" s="24"/>
      <c r="AV30" s="24"/>
      <c r="AW30" s="24"/>
      <c r="AX30" s="24"/>
      <c r="AZ30" s="24"/>
      <c r="BA30" s="24"/>
      <c r="BB30" s="24"/>
      <c r="BC30" s="24"/>
      <c r="BD30" s="24"/>
      <c r="BE30" s="24"/>
      <c r="BF30" s="24"/>
      <c r="BI30" s="24"/>
      <c r="BJ30" s="24"/>
      <c r="BK30" s="24"/>
      <c r="BL30" s="24"/>
      <c r="BM30" s="24"/>
      <c r="BN30" s="24"/>
      <c r="BP30" s="24"/>
      <c r="BQ30" s="24"/>
      <c r="BR30" s="24"/>
      <c r="BS30" s="24"/>
      <c r="BT30" s="24"/>
      <c r="BU30" s="24"/>
      <c r="BV30" s="24"/>
      <c r="BX30" s="24"/>
      <c r="BY30" s="24"/>
      <c r="BZ30" s="24"/>
      <c r="CA30" s="24"/>
      <c r="CB30" s="24"/>
      <c r="CC30" s="24"/>
      <c r="CE30" s="24"/>
      <c r="CF30" s="24"/>
      <c r="CG30" s="24"/>
      <c r="CH30" s="24"/>
      <c r="CI30" s="24"/>
      <c r="CJ30" s="24"/>
      <c r="CK30" s="24"/>
    </row>
    <row r="31" spans="1:89" ht="14" customHeight="1" thickBot="1">
      <c r="A31" s="93" t="s">
        <v>45</v>
      </c>
      <c r="B31" s="101" t="str">
        <f>IF(1-$B$32&gt;0,1-$B$32,"")</f>
        <v/>
      </c>
      <c r="C31" s="28"/>
      <c r="D31" s="23"/>
      <c r="E31" s="21"/>
      <c r="F31" s="21"/>
      <c r="H31" s="23"/>
      <c r="I31" s="21"/>
      <c r="J31" s="230">
        <f>(1-SUM(J6:J30))</f>
        <v>0</v>
      </c>
      <c r="K31" s="21" t="str">
        <f t="shared" si="4"/>
        <v/>
      </c>
      <c r="L31" s="21">
        <f>(1-SUM(L6:L30))</f>
        <v>-4.6062761168279343E-2</v>
      </c>
      <c r="M31" s="176">
        <f t="shared" si="6"/>
        <v>0</v>
      </c>
      <c r="N31" s="166">
        <f>M31*I83</f>
        <v>0</v>
      </c>
      <c r="P31" s="21"/>
      <c r="Q31" s="236" t="s">
        <v>122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5"/>
      <c r="W31" s="128" t="s">
        <v>72</v>
      </c>
      <c r="X31" s="129"/>
      <c r="Y31" s="120">
        <f>M31*4</f>
        <v>0</v>
      </c>
      <c r="Z31" s="130"/>
      <c r="AA31" s="131" t="e">
        <f>1-AA32+IF($Y32&lt;0,$Y32/4,0)</f>
        <v>#DIV/0!</v>
      </c>
      <c r="AB31" s="130"/>
      <c r="AC31" s="132" t="e">
        <f>1-AC32+IF($Y32&lt;0,$Y32/4,0)</f>
        <v>#DIV/0!</v>
      </c>
      <c r="AD31" s="133"/>
      <c r="AE31" s="132" t="e">
        <f>1-AE32+IF($Y32&lt;0,$Y32/4,0)</f>
        <v>#DIV/0!</v>
      </c>
      <c r="AF31" s="133"/>
      <c r="AG31" s="132" t="e">
        <f>1-AG32+IF($Y32&lt;0,$Y32/4,0)</f>
        <v>#DIV/0!</v>
      </c>
      <c r="AH31" s="122"/>
      <c r="AI31" s="180" t="e">
        <f>SUM(AA31,AC31,AE31,AG31)/4</f>
        <v>#DIV/0!</v>
      </c>
      <c r="AJ31" s="134" t="e">
        <f t="shared" si="14"/>
        <v>#DIV/0!</v>
      </c>
      <c r="AK31" s="135" t="e">
        <f t="shared" si="15"/>
        <v>#DIV/0!</v>
      </c>
      <c r="AS31" s="24"/>
      <c r="AT31" s="24"/>
      <c r="AU31" s="24"/>
      <c r="AV31" s="24"/>
      <c r="AW31" s="24"/>
      <c r="AX31" s="24"/>
      <c r="AZ31" s="24"/>
      <c r="BA31" s="24"/>
      <c r="BB31" s="24"/>
      <c r="BC31" s="24"/>
      <c r="BD31" s="24"/>
      <c r="BE31" s="24"/>
      <c r="BF31" s="24"/>
      <c r="BI31" s="24"/>
      <c r="BJ31" s="24"/>
      <c r="BK31" s="24"/>
      <c r="BL31" s="24"/>
      <c r="BM31" s="24"/>
      <c r="BN31" s="24"/>
      <c r="BP31" s="24"/>
      <c r="BQ31" s="24"/>
      <c r="BR31" s="24"/>
      <c r="BS31" s="24"/>
      <c r="BT31" s="24"/>
      <c r="BU31" s="24"/>
      <c r="BV31" s="24"/>
      <c r="BX31" s="24"/>
      <c r="BY31" s="24"/>
      <c r="BZ31" s="24"/>
      <c r="CA31" s="24"/>
      <c r="CB31" s="24"/>
      <c r="CC31" s="24"/>
      <c r="CE31" s="24"/>
      <c r="CF31" s="24"/>
      <c r="CG31" s="24"/>
      <c r="CH31" s="24"/>
      <c r="CI31" s="24"/>
      <c r="CJ31" s="24"/>
      <c r="CK31" s="24"/>
    </row>
    <row r="32" spans="1:89" ht="14" customHeight="1">
      <c r="A32" s="21" t="s">
        <v>23</v>
      </c>
      <c r="B32" s="28">
        <f>SUM(B6:B30)</f>
        <v>1.3383827307537211</v>
      </c>
      <c r="C32" s="28">
        <f>SUM(C6:C31)</f>
        <v>-0.37283600999324579</v>
      </c>
      <c r="D32" s="23">
        <f>SUM(D6:D30)</f>
        <v>8.5182875141674153</v>
      </c>
      <c r="E32" s="2"/>
      <c r="F32" s="2"/>
      <c r="H32" s="16"/>
      <c r="I32" s="21">
        <f>SUM(I6:I30)</f>
        <v>4.6968509552465161</v>
      </c>
      <c r="J32" s="16"/>
      <c r="L32" s="21">
        <f>SUM(L6:L30)</f>
        <v>1.0460627611682793</v>
      </c>
      <c r="M32" s="22"/>
      <c r="N32" s="55"/>
      <c r="O32" s="2"/>
      <c r="P32" s="21"/>
      <c r="Q32" s="232" t="s">
        <v>123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5"/>
      <c r="W32" s="109"/>
      <c r="X32" s="117"/>
      <c r="Y32" s="114">
        <f>SUM(Y6:Y31)</f>
        <v>4</v>
      </c>
      <c r="Z32" s="136"/>
      <c r="AA32" s="137" t="e">
        <f>SUM(AA6:AA30)</f>
        <v>#DIV/0!</v>
      </c>
      <c r="AB32" s="136"/>
      <c r="AC32" s="138" t="e">
        <f>SUM(AC6:AC30)</f>
        <v>#DIV/0!</v>
      </c>
      <c r="AD32" s="136"/>
      <c r="AE32" s="138" t="e">
        <f>SUM(AE6:AE30)</f>
        <v>#DIV/0!</v>
      </c>
      <c r="AF32" s="136"/>
      <c r="AG32" s="138" t="e">
        <f>SUM(AG6:AG30)</f>
        <v>#DIV/0!</v>
      </c>
      <c r="AH32" s="126"/>
      <c r="AI32" s="109"/>
      <c r="AJ32" s="139" t="e">
        <f>SUM(AJ6:AJ31)</f>
        <v>#DIV/0!</v>
      </c>
      <c r="AK32" s="140" t="e">
        <f>SUM(AK6:AK31)</f>
        <v>#DIV/0!</v>
      </c>
      <c r="AS32" s="24"/>
      <c r="AT32" s="24"/>
      <c r="AU32" s="24"/>
      <c r="AV32" s="24"/>
      <c r="AW32" s="24"/>
      <c r="AX32" s="24"/>
      <c r="AZ32" s="24"/>
      <c r="BA32" s="24"/>
      <c r="BB32" s="24"/>
      <c r="BC32" s="24"/>
      <c r="BD32" s="24"/>
      <c r="BE32" s="24"/>
      <c r="BI32" s="24"/>
      <c r="BJ32" s="24"/>
      <c r="BK32" s="24"/>
      <c r="BL32" s="24"/>
      <c r="BM32" s="24"/>
      <c r="BN32" s="24"/>
      <c r="BP32" s="24"/>
      <c r="BQ32" s="24"/>
      <c r="BR32" s="24"/>
      <c r="BS32" s="24"/>
      <c r="BT32" s="24"/>
      <c r="BU32" s="24"/>
      <c r="BX32" s="24"/>
      <c r="BY32" s="24"/>
      <c r="BZ32" s="24"/>
      <c r="CA32" s="24"/>
      <c r="CB32" s="24"/>
      <c r="CC32" s="24"/>
      <c r="CE32" s="24"/>
      <c r="CF32" s="24"/>
      <c r="CG32" s="24"/>
      <c r="CH32" s="24"/>
      <c r="CI32" s="24"/>
      <c r="CJ32" s="24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6" t="s">
        <v>24</v>
      </c>
      <c r="J33" s="97">
        <f>(1+K127*H127-L32-L127)/(I32-L32-L127)</f>
        <v>-1.3813590845786631E-2</v>
      </c>
      <c r="K33" s="14"/>
      <c r="L33" s="11"/>
      <c r="M33" s="29"/>
      <c r="N33" s="167" t="s">
        <v>75</v>
      </c>
      <c r="O33" s="2"/>
      <c r="P33" s="2"/>
      <c r="Q33" s="236"/>
      <c r="R33" s="232"/>
      <c r="S33" s="232"/>
      <c r="T33" s="232"/>
      <c r="V33" s="55"/>
      <c r="W33" s="109"/>
      <c r="X33" s="117"/>
      <c r="Y33" s="109"/>
      <c r="Z33" s="142"/>
      <c r="AA33" s="143"/>
      <c r="AB33" s="142"/>
      <c r="AC33" s="143"/>
      <c r="AD33" s="142"/>
      <c r="AE33" s="143"/>
      <c r="AF33" s="142"/>
      <c r="AG33" s="143"/>
      <c r="AH33" s="109"/>
      <c r="AI33" s="109"/>
      <c r="AJ33" s="142"/>
      <c r="AK33" s="143"/>
      <c r="AS33" s="24"/>
      <c r="AT33" s="24"/>
      <c r="AU33" s="24"/>
      <c r="AV33" s="24"/>
      <c r="AW33" s="24"/>
      <c r="AX33" s="24"/>
      <c r="AZ33" s="24"/>
      <c r="BA33" s="24"/>
      <c r="BB33" s="24"/>
      <c r="BC33" s="24"/>
      <c r="BD33" s="24"/>
      <c r="BE33" s="24"/>
      <c r="BI33" s="24"/>
      <c r="BJ33" s="24"/>
      <c r="BK33" s="24"/>
      <c r="BL33" s="24"/>
      <c r="BM33" s="24"/>
      <c r="BN33" s="24"/>
      <c r="BP33" s="24"/>
      <c r="BQ33" s="24"/>
      <c r="BR33" s="24"/>
      <c r="BS33" s="24"/>
      <c r="BT33" s="24"/>
      <c r="BU33" s="24"/>
      <c r="BX33" s="24"/>
      <c r="BY33" s="24"/>
      <c r="BZ33" s="24"/>
      <c r="CA33" s="24"/>
      <c r="CB33" s="24"/>
      <c r="CC33" s="24"/>
      <c r="CE33" s="24"/>
      <c r="CF33" s="24"/>
      <c r="CG33" s="24"/>
      <c r="CH33" s="24"/>
      <c r="CI33" s="24"/>
      <c r="CJ33" s="24"/>
    </row>
    <row r="34" spans="1:88" ht="15.75" customHeight="1" thickBot="1">
      <c r="A34" s="72" t="s">
        <v>143</v>
      </c>
      <c r="B34" s="2"/>
      <c r="C34" s="2"/>
      <c r="D34" s="30"/>
      <c r="E34" s="31"/>
      <c r="F34" s="31"/>
      <c r="G34" s="31"/>
      <c r="H34" s="30"/>
      <c r="I34" s="2"/>
      <c r="J34" s="32"/>
      <c r="K34" s="33" t="s">
        <v>25</v>
      </c>
      <c r="L34" s="34"/>
      <c r="M34" s="35"/>
      <c r="N34" s="168">
        <f>-(M77*B76)</f>
        <v>0</v>
      </c>
      <c r="O34" s="2"/>
      <c r="P34" s="2"/>
      <c r="V34" s="55"/>
      <c r="W34" s="109"/>
      <c r="X34" s="117"/>
      <c r="Y34" s="109"/>
      <c r="Z34" s="144"/>
      <c r="AA34" s="145"/>
      <c r="AB34" s="144"/>
      <c r="AC34" s="145"/>
      <c r="AD34" s="144"/>
      <c r="AE34" s="145"/>
      <c r="AF34" s="144"/>
      <c r="AG34" s="145"/>
      <c r="AH34" s="109"/>
      <c r="AI34" s="109"/>
      <c r="AJ34" s="144"/>
      <c r="AK34" s="145"/>
      <c r="AP34" s="24"/>
      <c r="AQ34" s="24"/>
      <c r="AR34" s="24"/>
      <c r="AS34" s="24"/>
      <c r="AT34" s="24"/>
      <c r="AU34" s="24"/>
      <c r="AW34" s="24"/>
      <c r="AX34" s="24"/>
      <c r="AY34" s="24"/>
      <c r="AZ34" s="24"/>
      <c r="BA34" s="24"/>
      <c r="BB34" s="24"/>
      <c r="BF34" s="24"/>
      <c r="BG34" s="24"/>
      <c r="BH34" s="24"/>
      <c r="BI34" s="24"/>
      <c r="BJ34" s="24"/>
      <c r="BK34" s="24"/>
      <c r="BM34" s="24"/>
      <c r="BN34" s="24"/>
      <c r="BO34" s="24"/>
      <c r="BP34" s="24"/>
      <c r="BQ34" s="24"/>
      <c r="BR34" s="24"/>
      <c r="BU34" s="24"/>
      <c r="BV34" s="24"/>
      <c r="BW34" s="24"/>
      <c r="BX34" s="24"/>
      <c r="BY34" s="24"/>
      <c r="BZ34" s="24"/>
      <c r="CB34" s="24"/>
      <c r="CC34" s="24"/>
      <c r="CD34" s="24"/>
      <c r="CE34" s="24"/>
      <c r="CF34" s="24"/>
      <c r="CG34" s="24"/>
    </row>
    <row r="35" spans="1:88" ht="14" customHeight="1">
      <c r="A35" s="2"/>
      <c r="B35" s="18" t="s">
        <v>6</v>
      </c>
      <c r="C35" s="18" t="s">
        <v>7</v>
      </c>
      <c r="D35" s="15" t="s">
        <v>8</v>
      </c>
      <c r="E35" s="18" t="s">
        <v>9</v>
      </c>
      <c r="F35" s="2" t="s">
        <v>26</v>
      </c>
      <c r="G35" s="2" t="s">
        <v>27</v>
      </c>
      <c r="H35" s="15" t="s">
        <v>11</v>
      </c>
      <c r="I35" s="18" t="s">
        <v>12</v>
      </c>
      <c r="J35" s="15" t="s">
        <v>13</v>
      </c>
      <c r="K35" s="36" t="s">
        <v>6</v>
      </c>
      <c r="L35" s="18" t="s">
        <v>14</v>
      </c>
      <c r="M35" s="15" t="s">
        <v>13</v>
      </c>
      <c r="N35" s="2"/>
      <c r="O35" s="2"/>
      <c r="P35" s="2"/>
      <c r="R35" s="40"/>
      <c r="S35" s="40"/>
      <c r="V35" s="55"/>
      <c r="W35" s="109"/>
      <c r="X35" s="117"/>
      <c r="Y35" s="109"/>
      <c r="Z35" s="144"/>
      <c r="AA35" s="145"/>
      <c r="AB35" s="144"/>
      <c r="AC35" s="145"/>
      <c r="AD35" s="144"/>
      <c r="AE35" s="145"/>
      <c r="AF35" s="144"/>
      <c r="AG35" s="145"/>
      <c r="AH35" s="109"/>
      <c r="AI35" s="109"/>
      <c r="AJ35" s="144"/>
      <c r="AK35" s="145"/>
      <c r="AP35" s="24"/>
      <c r="AQ35" s="24"/>
      <c r="AR35" s="24"/>
      <c r="AS35" s="24"/>
      <c r="AT35" s="24"/>
      <c r="AU35" s="24"/>
      <c r="AW35" s="24"/>
      <c r="AX35" s="24"/>
      <c r="AY35" s="24"/>
      <c r="AZ35" s="24"/>
      <c r="BA35" s="24"/>
      <c r="BB35" s="24"/>
      <c r="BF35" s="24"/>
      <c r="BG35" s="24"/>
      <c r="BH35" s="24"/>
      <c r="BI35" s="24"/>
      <c r="BJ35" s="24"/>
      <c r="BK35" s="24"/>
      <c r="BM35" s="24"/>
      <c r="BN35" s="24"/>
      <c r="BO35" s="24"/>
      <c r="BP35" s="24"/>
      <c r="BQ35" s="24"/>
      <c r="BR35" s="24"/>
      <c r="BU35" s="24"/>
      <c r="BV35" s="24"/>
      <c r="BW35" s="24"/>
      <c r="BX35" s="24"/>
      <c r="BY35" s="24"/>
      <c r="BZ35" s="24"/>
      <c r="CB35" s="24"/>
      <c r="CC35" s="24"/>
      <c r="CD35" s="24"/>
      <c r="CE35" s="24"/>
      <c r="CF35" s="24"/>
      <c r="CG35" s="24"/>
    </row>
    <row r="36" spans="1:88" ht="14" customHeight="1">
      <c r="A36" s="2" t="s">
        <v>28</v>
      </c>
      <c r="B36" s="18" t="s">
        <v>15</v>
      </c>
      <c r="C36" s="18" t="s">
        <v>16</v>
      </c>
      <c r="D36" s="15" t="s">
        <v>15</v>
      </c>
      <c r="E36" s="18" t="s">
        <v>17</v>
      </c>
      <c r="F36" s="2" t="s">
        <v>29</v>
      </c>
      <c r="G36" s="2" t="s">
        <v>29</v>
      </c>
      <c r="H36" s="15" t="s">
        <v>17</v>
      </c>
      <c r="I36" s="18" t="s">
        <v>15</v>
      </c>
      <c r="J36" s="15" t="s">
        <v>15</v>
      </c>
      <c r="K36" s="36" t="s">
        <v>15</v>
      </c>
      <c r="L36" s="18" t="s">
        <v>18</v>
      </c>
      <c r="M36" s="15" t="s">
        <v>15</v>
      </c>
      <c r="N36" s="2"/>
      <c r="O36" s="2"/>
      <c r="P36" s="2"/>
      <c r="Q36" s="58"/>
      <c r="R36" s="240"/>
      <c r="S36" s="240"/>
      <c r="T36" s="250"/>
      <c r="U36" s="55"/>
      <c r="V36" s="55"/>
      <c r="W36" s="109"/>
      <c r="X36" s="117"/>
      <c r="Y36" s="109"/>
      <c r="Z36" s="144"/>
      <c r="AA36" s="145"/>
      <c r="AB36" s="144"/>
      <c r="AC36" s="145"/>
      <c r="AD36" s="144"/>
      <c r="AE36" s="145"/>
      <c r="AF36" s="144"/>
      <c r="AG36" s="145"/>
      <c r="AH36" s="109"/>
      <c r="AI36" s="109"/>
      <c r="AJ36" s="144"/>
      <c r="AK36" s="145"/>
      <c r="AP36" s="24"/>
      <c r="AQ36" s="24"/>
      <c r="AR36" s="24"/>
      <c r="AS36" s="24"/>
      <c r="AT36" s="24"/>
      <c r="AU36" s="24"/>
      <c r="AW36" s="24"/>
      <c r="AX36" s="24"/>
      <c r="AY36" s="24"/>
      <c r="AZ36" s="24"/>
      <c r="BA36" s="24"/>
      <c r="BB36" s="24"/>
      <c r="BF36" s="24"/>
      <c r="BG36" s="24"/>
      <c r="BH36" s="24"/>
      <c r="BI36" s="24"/>
      <c r="BJ36" s="24"/>
      <c r="BK36" s="24"/>
      <c r="BM36" s="24"/>
      <c r="BN36" s="24"/>
      <c r="BO36" s="24"/>
      <c r="BP36" s="24"/>
      <c r="BQ36" s="24"/>
      <c r="BR36" s="24"/>
      <c r="BU36" s="24"/>
      <c r="BV36" s="24"/>
      <c r="BW36" s="24"/>
      <c r="BX36" s="24"/>
      <c r="BY36" s="24"/>
      <c r="BZ36" s="24"/>
      <c r="CB36" s="24"/>
      <c r="CC36" s="24"/>
      <c r="CD36" s="24"/>
      <c r="CE36" s="24"/>
      <c r="CF36" s="24"/>
      <c r="CG36" s="24"/>
    </row>
    <row r="37" spans="1:88" ht="14" customHeight="1">
      <c r="A37" s="84" t="str">
        <f>IF('Q2'!A37=0,"",'Q2'!A37)</f>
        <v>Construction cash income -- see Data2</v>
      </c>
      <c r="B37" s="103">
        <f>IF([1]Summ!$J1072="",0,[1]Summ!$J1072)</f>
        <v>9000</v>
      </c>
      <c r="C37" s="103">
        <f>IF([1]Summ!$K1072="",0,[1]Summ!$K1072)</f>
        <v>0</v>
      </c>
      <c r="D37" s="37">
        <f t="shared" ref="D37:D64" si="25">B37+C37</f>
        <v>9000</v>
      </c>
      <c r="E37" s="74">
        <f>'Q3'!E37</f>
        <v>0.5</v>
      </c>
      <c r="F37" s="74">
        <f>'Q3'!F37</f>
        <v>1.1100000000000001</v>
      </c>
      <c r="G37" s="74">
        <f>'Q3'!G37</f>
        <v>1.65</v>
      </c>
      <c r="H37" s="23">
        <f t="shared" ref="H37:H52" si="26">(E37*F37)</f>
        <v>0.55500000000000005</v>
      </c>
      <c r="I37" s="38">
        <f t="shared" ref="I37:I52" si="27">D37*H37</f>
        <v>4995</v>
      </c>
      <c r="J37" s="37">
        <f>J91*I$83</f>
        <v>4995</v>
      </c>
      <c r="K37" s="39">
        <f t="shared" ref="K37:K52" si="28">(B37/B$65)</f>
        <v>0.14671361502347419</v>
      </c>
      <c r="L37" s="21">
        <f t="shared" ref="L37:L52" si="29">(K37*H37)</f>
        <v>8.1426056338028185E-2</v>
      </c>
      <c r="M37" s="23">
        <f t="shared" ref="M37:M52" si="30">J37/B$65</f>
        <v>8.1426056338028172E-2</v>
      </c>
      <c r="N37" s="2"/>
      <c r="O37" s="2"/>
      <c r="P37" s="2"/>
      <c r="Q37" s="58"/>
      <c r="R37" s="250"/>
      <c r="S37" s="250"/>
      <c r="T37" s="28"/>
      <c r="U37" s="55"/>
      <c r="V37" s="55"/>
      <c r="W37" s="114"/>
      <c r="X37" s="117"/>
      <c r="Y37" s="109"/>
      <c r="Z37" s="121" t="e">
        <f>IF($J37=0,0,AA37/($J37))</f>
        <v>#DIV/0!</v>
      </c>
      <c r="AA37" s="146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1" t="e">
        <f>IF($J37=0,0,AC37/($J37))</f>
        <v>#DIV/0!</v>
      </c>
      <c r="AC37" s="146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1" t="e">
        <f>IF($J37=0,0,AE37/($J37))</f>
        <v>#DIV/0!</v>
      </c>
      <c r="AE37" s="146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1" t="e">
        <f t="shared" ref="AF37:AF64" si="31">1-SUM(Z37,AB37,AD37)</f>
        <v>#DIV/0!</v>
      </c>
      <c r="AG37" s="146" t="e">
        <f>$J37*AF37</f>
        <v>#DIV/0!</v>
      </c>
      <c r="AH37" s="122" t="e">
        <f>SUM(Z37,AB37,AD37,AF37)</f>
        <v>#DIV/0!</v>
      </c>
      <c r="AI37" s="111" t="e">
        <f>SUM(AA37,AC37,AE37,AG37)</f>
        <v>#DIV/0!</v>
      </c>
      <c r="AJ37" s="147" t="e">
        <f>(AA37+AC37)</f>
        <v>#DIV/0!</v>
      </c>
      <c r="AK37" s="146" t="e">
        <f>(AE37+AG37)</f>
        <v>#DIV/0!</v>
      </c>
      <c r="AP37" s="24"/>
      <c r="AQ37" s="24"/>
      <c r="AR37" s="24"/>
      <c r="AS37" s="24"/>
      <c r="AT37" s="24"/>
      <c r="AU37" s="24"/>
      <c r="AW37" s="24"/>
      <c r="AX37" s="24"/>
      <c r="AY37" s="24"/>
      <c r="AZ37" s="24"/>
      <c r="BA37" s="24"/>
      <c r="BB37" s="24"/>
      <c r="BF37" s="24"/>
      <c r="BG37" s="24"/>
      <c r="BH37" s="24"/>
      <c r="BI37" s="24"/>
      <c r="BJ37" s="24"/>
      <c r="BK37" s="24"/>
      <c r="BM37" s="24"/>
      <c r="BN37" s="24"/>
      <c r="BO37" s="24"/>
      <c r="BP37" s="24"/>
      <c r="BQ37" s="24"/>
      <c r="BR37" s="24"/>
      <c r="BU37" s="24"/>
      <c r="BV37" s="24"/>
      <c r="BW37" s="24"/>
      <c r="BX37" s="24"/>
      <c r="BY37" s="24"/>
      <c r="BZ37" s="24"/>
      <c r="CB37" s="24"/>
      <c r="CC37" s="24"/>
      <c r="CD37" s="24"/>
      <c r="CE37" s="24"/>
      <c r="CF37" s="24"/>
      <c r="CG37" s="24"/>
    </row>
    <row r="38" spans="1:88" ht="14" customHeight="1">
      <c r="A38" s="84" t="str">
        <f>IF('Q2'!A38=0,"",'Q2'!A38)</f>
        <v>Domestic work cash income -- see Data2</v>
      </c>
      <c r="B38" s="103">
        <f>IF([1]Summ!$J1073="",0,[1]Summ!$J1073)</f>
        <v>6960</v>
      </c>
      <c r="C38" s="103">
        <f>IF([1]Summ!$K1073="",0,[1]Summ!$K1073)</f>
        <v>0</v>
      </c>
      <c r="D38" s="37">
        <f t="shared" si="25"/>
        <v>6960</v>
      </c>
      <c r="E38" s="74">
        <f>'Q3'!E38</f>
        <v>0.5</v>
      </c>
      <c r="F38" s="74">
        <f>'Q3'!F38</f>
        <v>1.1100000000000001</v>
      </c>
      <c r="G38" s="21">
        <f t="shared" ref="G38:G64" si="32">(G$37)</f>
        <v>1.65</v>
      </c>
      <c r="H38" s="23">
        <f t="shared" si="26"/>
        <v>0.55500000000000005</v>
      </c>
      <c r="I38" s="38">
        <f t="shared" si="27"/>
        <v>3862.8</v>
      </c>
      <c r="J38" s="37">
        <f t="shared" ref="J38:J64" si="33">J92*I$83</f>
        <v>3862.8</v>
      </c>
      <c r="K38" s="39">
        <f t="shared" si="28"/>
        <v>0.1134585289514867</v>
      </c>
      <c r="L38" s="21">
        <f t="shared" si="29"/>
        <v>6.2969483568075121E-2</v>
      </c>
      <c r="M38" s="23">
        <f t="shared" si="30"/>
        <v>6.2969483568075121E-2</v>
      </c>
      <c r="N38" s="2"/>
      <c r="O38" s="2"/>
      <c r="P38" s="2"/>
      <c r="Q38" s="58"/>
      <c r="R38" s="250"/>
      <c r="S38" s="250"/>
      <c r="T38" s="28"/>
      <c r="U38" s="55"/>
      <c r="V38" s="55"/>
      <c r="W38" s="114"/>
      <c r="X38" s="117"/>
      <c r="Y38" s="109"/>
      <c r="Z38" s="121" t="e">
        <f>IF($J38=0,0,AA38/($J38))</f>
        <v>#DIV/0!</v>
      </c>
      <c r="AA38" s="146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1" t="e">
        <f>IF($J38=0,0,AC38/($J38))</f>
        <v>#DIV/0!</v>
      </c>
      <c r="AC38" s="146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1" t="e">
        <f>IF($J38=0,0,AE38/($J38))</f>
        <v>#DIV/0!</v>
      </c>
      <c r="AE38" s="146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1" t="e">
        <f t="shared" si="31"/>
        <v>#DIV/0!</v>
      </c>
      <c r="AG38" s="146" t="e">
        <f t="shared" ref="AG38:AG64" si="34">$J38*AF38</f>
        <v>#DIV/0!</v>
      </c>
      <c r="AH38" s="122" t="e">
        <f t="shared" ref="AH38:AI58" si="35">SUM(Z38,AB38,AD38,AF38)</f>
        <v>#DIV/0!</v>
      </c>
      <c r="AI38" s="111" t="e">
        <f t="shared" si="35"/>
        <v>#DIV/0!</v>
      </c>
      <c r="AJ38" s="147" t="e">
        <f t="shared" ref="AJ38:AJ64" si="36">(AA38+AC38)</f>
        <v>#DIV/0!</v>
      </c>
      <c r="AK38" s="146" t="e">
        <f t="shared" ref="AK38:AK64" si="37">(AE38+AG38)</f>
        <v>#DIV/0!</v>
      </c>
      <c r="AP38" s="24"/>
      <c r="AQ38" s="24"/>
      <c r="AR38" s="24"/>
      <c r="AS38" s="24"/>
      <c r="AT38" s="24"/>
      <c r="AU38" s="24"/>
      <c r="AW38" s="24"/>
      <c r="AX38" s="24"/>
      <c r="AY38" s="24"/>
      <c r="AZ38" s="24"/>
      <c r="BA38" s="24"/>
      <c r="BB38" s="24"/>
      <c r="BF38" s="24"/>
      <c r="BG38" s="24"/>
      <c r="BH38" s="24"/>
      <c r="BI38" s="24"/>
      <c r="BJ38" s="24"/>
      <c r="BK38" s="24"/>
      <c r="BM38" s="24"/>
      <c r="BN38" s="24"/>
      <c r="BO38" s="24"/>
      <c r="BP38" s="24"/>
      <c r="BQ38" s="24"/>
      <c r="BR38" s="24"/>
      <c r="BU38" s="24"/>
      <c r="BV38" s="24"/>
      <c r="BW38" s="24"/>
      <c r="BX38" s="24"/>
      <c r="BY38" s="24"/>
      <c r="BZ38" s="24"/>
      <c r="CB38" s="24"/>
      <c r="CC38" s="24"/>
      <c r="CD38" s="24"/>
      <c r="CE38" s="24"/>
      <c r="CF38" s="24"/>
      <c r="CG38" s="24"/>
    </row>
    <row r="39" spans="1:88" ht="14" customHeight="1">
      <c r="A39" s="84" t="str">
        <f>IF('Q2'!A39=0,"",'Q2'!A39)</f>
        <v>Labour migration(formal employment): no. people per HH</v>
      </c>
      <c r="B39" s="103">
        <f>IF([1]Summ!$J1074="",0,[1]Summ!$J1074)</f>
        <v>7500</v>
      </c>
      <c r="C39" s="103">
        <f>IF([1]Summ!$K1074="",0,[1]Summ!$K1074)</f>
        <v>0</v>
      </c>
      <c r="D39" s="37">
        <f t="shared" si="25"/>
        <v>7500</v>
      </c>
      <c r="E39" s="74">
        <f>'Q3'!E39</f>
        <v>0.8</v>
      </c>
      <c r="F39" s="74">
        <f>'Q3'!F39</f>
        <v>1.1599999999999999</v>
      </c>
      <c r="G39" s="21">
        <f t="shared" si="32"/>
        <v>1.65</v>
      </c>
      <c r="H39" s="23">
        <f t="shared" si="26"/>
        <v>0.92799999999999994</v>
      </c>
      <c r="I39" s="38">
        <f t="shared" si="27"/>
        <v>6959.9999999999991</v>
      </c>
      <c r="J39" s="37">
        <f t="shared" si="33"/>
        <v>6959.9999999999982</v>
      </c>
      <c r="K39" s="39">
        <f t="shared" si="28"/>
        <v>0.12226134585289515</v>
      </c>
      <c r="L39" s="21">
        <f t="shared" si="29"/>
        <v>0.1134585289514867</v>
      </c>
      <c r="M39" s="23">
        <f t="shared" si="30"/>
        <v>0.11345852895148667</v>
      </c>
      <c r="N39" s="2"/>
      <c r="O39" s="2"/>
      <c r="P39" s="2"/>
      <c r="Q39" s="58"/>
      <c r="R39" s="250"/>
      <c r="S39" s="250"/>
      <c r="T39" s="28"/>
      <c r="U39" s="55"/>
      <c r="V39" s="55"/>
      <c r="W39" s="114"/>
      <c r="X39" s="117">
        <f>X8</f>
        <v>1</v>
      </c>
      <c r="Y39" s="109"/>
      <c r="Z39" s="121">
        <f>Z8</f>
        <v>0</v>
      </c>
      <c r="AA39" s="146">
        <f>$J39*Z39</f>
        <v>0</v>
      </c>
      <c r="AB39" s="121">
        <f>AB8</f>
        <v>0</v>
      </c>
      <c r="AC39" s="146">
        <f>$J39*AB39</f>
        <v>0</v>
      </c>
      <c r="AD39" s="121">
        <f>AD8</f>
        <v>0</v>
      </c>
      <c r="AE39" s="146">
        <f>$J39*AD39</f>
        <v>0</v>
      </c>
      <c r="AF39" s="121">
        <f t="shared" si="31"/>
        <v>1</v>
      </c>
      <c r="AG39" s="146">
        <f t="shared" si="34"/>
        <v>6959.9999999999982</v>
      </c>
      <c r="AH39" s="122">
        <f t="shared" si="35"/>
        <v>1</v>
      </c>
      <c r="AI39" s="111">
        <f t="shared" si="35"/>
        <v>6959.9999999999982</v>
      </c>
      <c r="AJ39" s="147">
        <f t="shared" si="36"/>
        <v>0</v>
      </c>
      <c r="AK39" s="146">
        <f t="shared" si="37"/>
        <v>6959.9999999999982</v>
      </c>
      <c r="AP39" s="24"/>
      <c r="AQ39" s="24"/>
      <c r="AR39" s="24"/>
      <c r="AS39" s="24"/>
      <c r="AT39" s="24"/>
      <c r="AU39" s="24"/>
      <c r="AW39" s="24"/>
      <c r="AX39" s="24"/>
      <c r="AY39" s="24"/>
      <c r="AZ39" s="24"/>
      <c r="BA39" s="24"/>
      <c r="BB39" s="24"/>
      <c r="BF39" s="24"/>
      <c r="BG39" s="24"/>
      <c r="BH39" s="24"/>
      <c r="BI39" s="24"/>
      <c r="BJ39" s="24"/>
      <c r="BK39" s="24"/>
      <c r="BM39" s="24"/>
      <c r="BN39" s="24"/>
      <c r="BO39" s="24"/>
      <c r="BP39" s="24"/>
      <c r="BQ39" s="24"/>
      <c r="BR39" s="24"/>
      <c r="BU39" s="24"/>
      <c r="BV39" s="24"/>
      <c r="BW39" s="24"/>
      <c r="BX39" s="24"/>
      <c r="BY39" s="24"/>
      <c r="BZ39" s="24"/>
      <c r="CB39" s="24"/>
      <c r="CC39" s="24"/>
      <c r="CD39" s="24"/>
      <c r="CE39" s="24"/>
      <c r="CF39" s="24"/>
      <c r="CG39" s="24"/>
    </row>
    <row r="40" spans="1:88" ht="14" customHeight="1">
      <c r="A40" s="84" t="str">
        <f>IF('Q2'!A40=0,"",'Q2'!A40)</f>
        <v>Formal Employment</v>
      </c>
      <c r="B40" s="103">
        <f>IF([1]Summ!$J1075="",0,[1]Summ!$J1075)</f>
        <v>15600</v>
      </c>
      <c r="C40" s="103">
        <f>IF([1]Summ!$K1075="",0,[1]Summ!$K1075)</f>
        <v>0</v>
      </c>
      <c r="D40" s="37">
        <f t="shared" si="25"/>
        <v>15600</v>
      </c>
      <c r="E40" s="74">
        <f>'Q3'!E40</f>
        <v>1</v>
      </c>
      <c r="F40" s="74">
        <f>'Q3'!F40</f>
        <v>1.1599999999999999</v>
      </c>
      <c r="G40" s="21">
        <f t="shared" si="32"/>
        <v>1.65</v>
      </c>
      <c r="H40" s="23">
        <f t="shared" si="26"/>
        <v>1.1599999999999999</v>
      </c>
      <c r="I40" s="38">
        <f t="shared" si="27"/>
        <v>18096</v>
      </c>
      <c r="J40" s="37">
        <f t="shared" si="33"/>
        <v>18096</v>
      </c>
      <c r="K40" s="39">
        <f t="shared" si="28"/>
        <v>0.25430359937402192</v>
      </c>
      <c r="L40" s="21">
        <f t="shared" si="29"/>
        <v>0.2949921752738654</v>
      </c>
      <c r="M40" s="23">
        <f t="shared" si="30"/>
        <v>0.2949921752738654</v>
      </c>
      <c r="N40" s="2"/>
      <c r="O40" s="2"/>
      <c r="P40" s="2"/>
      <c r="Q40" s="58"/>
      <c r="R40" s="250"/>
      <c r="S40" s="250"/>
      <c r="T40" s="28"/>
      <c r="U40" s="55"/>
      <c r="V40" s="55"/>
      <c r="W40" s="114"/>
      <c r="X40" s="117">
        <f>X9</f>
        <v>1</v>
      </c>
      <c r="Y40" s="109"/>
      <c r="Z40" s="121">
        <f>Z9</f>
        <v>0</v>
      </c>
      <c r="AA40" s="146">
        <f>$J40*Z40</f>
        <v>0</v>
      </c>
      <c r="AB40" s="121">
        <f>AB9</f>
        <v>0</v>
      </c>
      <c r="AC40" s="146">
        <f>$J40*AB40</f>
        <v>0</v>
      </c>
      <c r="AD40" s="121">
        <f>AD9</f>
        <v>0</v>
      </c>
      <c r="AE40" s="146">
        <f>$J40*AD40</f>
        <v>0</v>
      </c>
      <c r="AF40" s="121">
        <f t="shared" si="31"/>
        <v>1</v>
      </c>
      <c r="AG40" s="146">
        <f t="shared" si="34"/>
        <v>18096</v>
      </c>
      <c r="AH40" s="122">
        <f t="shared" si="35"/>
        <v>1</v>
      </c>
      <c r="AI40" s="111">
        <f t="shared" si="35"/>
        <v>18096</v>
      </c>
      <c r="AJ40" s="147">
        <f t="shared" si="36"/>
        <v>0</v>
      </c>
      <c r="AK40" s="146">
        <f t="shared" si="37"/>
        <v>18096</v>
      </c>
      <c r="AP40" s="24"/>
      <c r="AQ40" s="24"/>
      <c r="AR40" s="24"/>
      <c r="AS40" s="24"/>
      <c r="AT40" s="24"/>
      <c r="AU40" s="24"/>
      <c r="AW40" s="24"/>
      <c r="AX40" s="24"/>
      <c r="AY40" s="24"/>
      <c r="AZ40" s="24"/>
      <c r="BA40" s="24"/>
      <c r="BB40" s="24"/>
      <c r="BF40" s="24"/>
      <c r="BG40" s="24"/>
      <c r="BH40" s="24"/>
      <c r="BI40" s="24"/>
      <c r="BJ40" s="24"/>
      <c r="BK40" s="24"/>
      <c r="BM40" s="24"/>
      <c r="BN40" s="24"/>
      <c r="BO40" s="24"/>
      <c r="BP40" s="24"/>
      <c r="BQ40" s="24"/>
      <c r="BR40" s="24"/>
      <c r="BU40" s="24"/>
      <c r="BV40" s="24"/>
      <c r="BW40" s="24"/>
      <c r="BX40" s="24"/>
      <c r="BY40" s="24"/>
      <c r="BZ40" s="24"/>
      <c r="CB40" s="24"/>
      <c r="CC40" s="24"/>
      <c r="CD40" s="24"/>
      <c r="CE40" s="24"/>
      <c r="CF40" s="24"/>
      <c r="CG40" s="24"/>
    </row>
    <row r="41" spans="1:88" ht="14" customHeight="1">
      <c r="A41" s="84" t="str">
        <f>IF('Q2'!A41=0,"",'Q2'!A41)</f>
        <v>Self-employment -- see Data2</v>
      </c>
      <c r="B41" s="103">
        <f>IF([1]Summ!$J1076="",0,[1]Summ!$J1076)</f>
        <v>9504</v>
      </c>
      <c r="C41" s="103">
        <f>IF([1]Summ!$K1076="",0,[1]Summ!$K1076)</f>
        <v>1900.7999999999993</v>
      </c>
      <c r="D41" s="37">
        <f t="shared" si="25"/>
        <v>11404.8</v>
      </c>
      <c r="E41" s="74">
        <f>'Q3'!E41</f>
        <v>1</v>
      </c>
      <c r="F41" s="74">
        <f>'Q3'!F41</f>
        <v>1</v>
      </c>
      <c r="G41" s="21">
        <f t="shared" si="32"/>
        <v>1.65</v>
      </c>
      <c r="H41" s="23">
        <f t="shared" si="26"/>
        <v>1</v>
      </c>
      <c r="I41" s="38">
        <f t="shared" si="27"/>
        <v>11404.8</v>
      </c>
      <c r="J41" s="37">
        <f t="shared" si="33"/>
        <v>9477.7431265203286</v>
      </c>
      <c r="K41" s="39">
        <f t="shared" si="28"/>
        <v>0.15492957746478872</v>
      </c>
      <c r="L41" s="21">
        <f t="shared" si="29"/>
        <v>0.15492957746478872</v>
      </c>
      <c r="M41" s="23">
        <f t="shared" si="30"/>
        <v>0.1545015507061869</v>
      </c>
      <c r="N41" s="2"/>
      <c r="O41" s="2"/>
      <c r="P41" s="2"/>
      <c r="Q41" s="58"/>
      <c r="R41" s="250"/>
      <c r="S41" s="250"/>
      <c r="T41" s="251"/>
      <c r="U41" s="55"/>
      <c r="V41" s="55"/>
      <c r="W41" s="114"/>
      <c r="X41" s="117">
        <f>X11</f>
        <v>1</v>
      </c>
      <c r="Y41" s="109"/>
      <c r="Z41" s="121">
        <f>Z11</f>
        <v>0</v>
      </c>
      <c r="AA41" s="146">
        <f>$J41*Z41</f>
        <v>0</v>
      </c>
      <c r="AB41" s="121">
        <f>AB11</f>
        <v>0</v>
      </c>
      <c r="AC41" s="146">
        <f>$J41*AB41</f>
        <v>0</v>
      </c>
      <c r="AD41" s="121">
        <f>AD11</f>
        <v>0</v>
      </c>
      <c r="AE41" s="146">
        <f>$J41*AD41</f>
        <v>0</v>
      </c>
      <c r="AF41" s="121">
        <f t="shared" si="31"/>
        <v>1</v>
      </c>
      <c r="AG41" s="146">
        <f t="shared" si="34"/>
        <v>9477.7431265203286</v>
      </c>
      <c r="AH41" s="122">
        <f t="shared" si="35"/>
        <v>1</v>
      </c>
      <c r="AI41" s="111">
        <f t="shared" si="35"/>
        <v>9477.7431265203286</v>
      </c>
      <c r="AJ41" s="147">
        <f t="shared" si="36"/>
        <v>0</v>
      </c>
      <c r="AK41" s="146">
        <f t="shared" si="37"/>
        <v>9477.7431265203286</v>
      </c>
      <c r="AP41" s="24"/>
      <c r="AQ41" s="24"/>
      <c r="AR41" s="24"/>
      <c r="AS41" s="24"/>
      <c r="AT41" s="24"/>
      <c r="AU41" s="24"/>
      <c r="AW41" s="24"/>
      <c r="AX41" s="24"/>
      <c r="AY41" s="24"/>
      <c r="AZ41" s="24"/>
      <c r="BA41" s="24"/>
      <c r="BB41" s="24"/>
      <c r="BF41" s="24"/>
      <c r="BG41" s="24"/>
      <c r="BH41" s="24"/>
      <c r="BI41" s="24"/>
      <c r="BJ41" s="24"/>
      <c r="BK41" s="24"/>
      <c r="BM41" s="24"/>
      <c r="BN41" s="24"/>
      <c r="BO41" s="24"/>
      <c r="BP41" s="24"/>
      <c r="BQ41" s="24"/>
      <c r="BR41" s="24"/>
      <c r="BU41" s="24"/>
      <c r="BV41" s="24"/>
      <c r="BW41" s="24"/>
      <c r="BX41" s="24"/>
      <c r="BY41" s="24"/>
      <c r="BZ41" s="24"/>
      <c r="CB41" s="24"/>
      <c r="CC41" s="24"/>
      <c r="CD41" s="24"/>
      <c r="CE41" s="24"/>
      <c r="CF41" s="24"/>
      <c r="CG41" s="24"/>
    </row>
    <row r="42" spans="1:88" ht="14" customHeight="1">
      <c r="A42" s="84" t="str">
        <f>IF('Q2'!A42=0,"",'Q2'!A42)</f>
        <v>Small business -- see Data2</v>
      </c>
      <c r="B42" s="103">
        <f>IF([1]Summ!$J1077="",0,[1]Summ!$J1077)</f>
        <v>5940</v>
      </c>
      <c r="C42" s="103">
        <f>IF([1]Summ!$K1077="",0,[1]Summ!$K1077)</f>
        <v>0</v>
      </c>
      <c r="D42" s="37">
        <f t="shared" si="25"/>
        <v>5940</v>
      </c>
      <c r="E42" s="74">
        <f>'Q3'!E42</f>
        <v>1</v>
      </c>
      <c r="F42" s="74">
        <f>'Q3'!F42</f>
        <v>1.1599999999999999</v>
      </c>
      <c r="G42" s="21">
        <f t="shared" si="32"/>
        <v>1.65</v>
      </c>
      <c r="H42" s="23">
        <f t="shared" si="26"/>
        <v>1.1599999999999999</v>
      </c>
      <c r="I42" s="38">
        <f t="shared" si="27"/>
        <v>6890.4</v>
      </c>
      <c r="J42" s="37">
        <f t="shared" si="33"/>
        <v>6890.3999999999987</v>
      </c>
      <c r="K42" s="39">
        <f t="shared" si="28"/>
        <v>9.6830985915492954E-2</v>
      </c>
      <c r="L42" s="21">
        <f t="shared" si="29"/>
        <v>0.11232394366197182</v>
      </c>
      <c r="M42" s="23">
        <f t="shared" si="30"/>
        <v>0.11232394366197181</v>
      </c>
      <c r="N42" s="2"/>
      <c r="O42" s="2"/>
      <c r="P42" s="2"/>
      <c r="Q42" s="40"/>
      <c r="R42" s="40"/>
      <c r="S42" s="252"/>
      <c r="T42" s="252"/>
      <c r="U42" s="55"/>
      <c r="V42" s="55"/>
      <c r="W42" s="114"/>
      <c r="X42" s="117"/>
      <c r="Y42" s="109"/>
      <c r="Z42" s="155">
        <f>'Q2'!Z42</f>
        <v>0.25</v>
      </c>
      <c r="AA42" s="146">
        <f t="shared" ref="AA42:AA64" si="38">$J42*Z42</f>
        <v>1722.5999999999997</v>
      </c>
      <c r="AB42" s="155">
        <f>'Q2'!AB42</f>
        <v>0</v>
      </c>
      <c r="AC42" s="146">
        <f t="shared" ref="AC42:AC64" si="39">$J42*AB42</f>
        <v>0</v>
      </c>
      <c r="AD42" s="155">
        <f>'Q2'!AD42</f>
        <v>0.5</v>
      </c>
      <c r="AE42" s="146">
        <f t="shared" ref="AE42:AE64" si="40">$J42*AD42</f>
        <v>3445.1999999999994</v>
      </c>
      <c r="AF42" s="121">
        <f t="shared" si="31"/>
        <v>0.25</v>
      </c>
      <c r="AG42" s="146">
        <f t="shared" si="34"/>
        <v>1722.5999999999997</v>
      </c>
      <c r="AH42" s="122">
        <f t="shared" si="35"/>
        <v>1</v>
      </c>
      <c r="AI42" s="111">
        <f t="shared" si="35"/>
        <v>6890.3999999999987</v>
      </c>
      <c r="AJ42" s="147">
        <f t="shared" si="36"/>
        <v>1722.5999999999997</v>
      </c>
      <c r="AK42" s="146">
        <f t="shared" si="37"/>
        <v>5167.7999999999993</v>
      </c>
      <c r="AP42" s="24"/>
      <c r="AQ42" s="24"/>
      <c r="AR42" s="24"/>
      <c r="AS42" s="24"/>
      <c r="AT42" s="24"/>
      <c r="AU42" s="24"/>
      <c r="AW42" s="24"/>
      <c r="AX42" s="24"/>
      <c r="AY42" s="24"/>
      <c r="AZ42" s="24"/>
      <c r="BA42" s="24"/>
      <c r="BB42" s="24"/>
      <c r="BF42" s="24"/>
      <c r="BG42" s="24"/>
      <c r="BH42" s="24"/>
      <c r="BI42" s="24"/>
      <c r="BJ42" s="24"/>
      <c r="BK42" s="24"/>
      <c r="BM42" s="24"/>
      <c r="BN42" s="24"/>
      <c r="BO42" s="24"/>
      <c r="BP42" s="24"/>
      <c r="BQ42" s="24"/>
      <c r="BR42" s="24"/>
      <c r="BU42" s="24"/>
      <c r="BV42" s="24"/>
      <c r="BW42" s="24"/>
      <c r="BX42" s="24"/>
      <c r="BY42" s="24"/>
      <c r="BZ42" s="24"/>
      <c r="CB42" s="24"/>
      <c r="CC42" s="24"/>
      <c r="CD42" s="24"/>
      <c r="CE42" s="24"/>
      <c r="CF42" s="24"/>
      <c r="CG42" s="24"/>
    </row>
    <row r="43" spans="1:88" ht="14" customHeight="1">
      <c r="A43" s="84" t="str">
        <f>IF('Q2'!A43=0,"",'Q2'!A43)</f>
        <v>Social development -- see Data2</v>
      </c>
      <c r="B43" s="103">
        <f>IF([1]Summ!$J1078="",0,[1]Summ!$J1078)</f>
        <v>0</v>
      </c>
      <c r="C43" s="103">
        <f>IF([1]Summ!$K1078="",0,[1]Summ!$K1078)</f>
        <v>0</v>
      </c>
      <c r="D43" s="37">
        <f t="shared" si="25"/>
        <v>0</v>
      </c>
      <c r="E43" s="74">
        <f>'Q3'!E43</f>
        <v>0</v>
      </c>
      <c r="F43" s="74">
        <f>'Q3'!F43</f>
        <v>1.18</v>
      </c>
      <c r="G43" s="21">
        <f t="shared" si="32"/>
        <v>1.65</v>
      </c>
      <c r="H43" s="23">
        <f t="shared" si="26"/>
        <v>0</v>
      </c>
      <c r="I43" s="38">
        <f t="shared" si="27"/>
        <v>0</v>
      </c>
      <c r="J43" s="37">
        <f t="shared" si="33"/>
        <v>0</v>
      </c>
      <c r="K43" s="39">
        <f t="shared" si="28"/>
        <v>0</v>
      </c>
      <c r="L43" s="21">
        <f t="shared" si="29"/>
        <v>0</v>
      </c>
      <c r="M43" s="23">
        <f t="shared" si="30"/>
        <v>0</v>
      </c>
      <c r="N43" s="2"/>
      <c r="O43" s="2"/>
      <c r="P43" s="2"/>
      <c r="Q43" s="40"/>
      <c r="R43" s="40"/>
      <c r="S43" s="219"/>
      <c r="T43" s="219"/>
      <c r="U43" s="55"/>
      <c r="V43" s="55"/>
      <c r="W43" s="114"/>
      <c r="X43" s="117"/>
      <c r="Y43" s="109"/>
      <c r="Z43" s="155">
        <f>'Q2'!Z43</f>
        <v>0.25</v>
      </c>
      <c r="AA43" s="146">
        <f t="shared" si="38"/>
        <v>0</v>
      </c>
      <c r="AB43" s="155">
        <f>'Q2'!AB43</f>
        <v>0.25</v>
      </c>
      <c r="AC43" s="146">
        <f t="shared" si="39"/>
        <v>0</v>
      </c>
      <c r="AD43" s="155">
        <f>'Q2'!AD43</f>
        <v>0.25</v>
      </c>
      <c r="AE43" s="146">
        <f t="shared" si="40"/>
        <v>0</v>
      </c>
      <c r="AF43" s="121">
        <f t="shared" si="31"/>
        <v>0.25</v>
      </c>
      <c r="AG43" s="146">
        <f t="shared" si="34"/>
        <v>0</v>
      </c>
      <c r="AH43" s="122">
        <f t="shared" si="35"/>
        <v>1</v>
      </c>
      <c r="AI43" s="111">
        <f t="shared" si="35"/>
        <v>0</v>
      </c>
      <c r="AJ43" s="147">
        <f t="shared" si="36"/>
        <v>0</v>
      </c>
      <c r="AK43" s="146">
        <f t="shared" si="37"/>
        <v>0</v>
      </c>
      <c r="AP43" s="24"/>
      <c r="AQ43" s="24"/>
      <c r="AR43" s="24"/>
      <c r="AS43" s="24"/>
      <c r="AT43" s="24"/>
      <c r="AU43" s="24"/>
      <c r="AW43" s="24"/>
      <c r="AX43" s="24"/>
      <c r="AY43" s="24"/>
      <c r="AZ43" s="24"/>
      <c r="BA43" s="24"/>
      <c r="BB43" s="24"/>
      <c r="BF43" s="24"/>
      <c r="BG43" s="24"/>
      <c r="BH43" s="24"/>
      <c r="BI43" s="24"/>
      <c r="BJ43" s="24"/>
      <c r="BK43" s="24"/>
      <c r="BM43" s="24"/>
      <c r="BN43" s="24"/>
      <c r="BO43" s="24"/>
      <c r="BP43" s="24"/>
      <c r="BQ43" s="24"/>
      <c r="BR43" s="24"/>
      <c r="BU43" s="24"/>
      <c r="BV43" s="24"/>
      <c r="BW43" s="24"/>
      <c r="BX43" s="24"/>
      <c r="BY43" s="24"/>
      <c r="BZ43" s="24"/>
      <c r="CB43" s="24"/>
      <c r="CC43" s="24"/>
      <c r="CD43" s="24"/>
      <c r="CE43" s="24"/>
      <c r="CF43" s="24"/>
      <c r="CG43" s="24"/>
    </row>
    <row r="44" spans="1:88" ht="14" customHeight="1">
      <c r="A44" s="84" t="str">
        <f>IF('Q2'!A44=0,"",'Q2'!A44)</f>
        <v>Helping friends</v>
      </c>
      <c r="B44" s="103">
        <f>IF([1]Summ!$J1079="",0,[1]Summ!$J1079)</f>
        <v>3840</v>
      </c>
      <c r="C44" s="103">
        <f>IF([1]Summ!$K1079="",0,[1]Summ!$K1079)</f>
        <v>0</v>
      </c>
      <c r="D44" s="37">
        <f t="shared" si="25"/>
        <v>3840</v>
      </c>
      <c r="E44" s="74">
        <f>'Q3'!E44</f>
        <v>1</v>
      </c>
      <c r="F44" s="74">
        <f>'Q3'!F44</f>
        <v>1.1100000000000001</v>
      </c>
      <c r="G44" s="21">
        <f t="shared" si="32"/>
        <v>1.65</v>
      </c>
      <c r="H44" s="23">
        <f t="shared" si="26"/>
        <v>1.1100000000000001</v>
      </c>
      <c r="I44" s="38">
        <f t="shared" si="27"/>
        <v>4262.4000000000005</v>
      </c>
      <c r="J44" s="37">
        <f t="shared" si="33"/>
        <v>4262.4000000000005</v>
      </c>
      <c r="K44" s="39">
        <f t="shared" si="28"/>
        <v>6.2597809076682318E-2</v>
      </c>
      <c r="L44" s="21">
        <f t="shared" si="29"/>
        <v>6.948356807511738E-2</v>
      </c>
      <c r="M44" s="23">
        <f t="shared" si="30"/>
        <v>6.948356807511738E-2</v>
      </c>
      <c r="N44" s="2"/>
      <c r="O44" s="2"/>
      <c r="P44" s="2"/>
      <c r="Q44" s="253"/>
      <c r="R44" s="40"/>
      <c r="S44" s="40"/>
      <c r="T44" s="251"/>
      <c r="U44" s="55"/>
      <c r="V44" s="55"/>
      <c r="W44" s="116"/>
      <c r="X44" s="117"/>
      <c r="Y44" s="109"/>
      <c r="Z44" s="155">
        <f>'Q2'!Z44</f>
        <v>0.25</v>
      </c>
      <c r="AA44" s="146">
        <f t="shared" si="38"/>
        <v>1065.6000000000001</v>
      </c>
      <c r="AB44" s="155">
        <f>'Q2'!AB44</f>
        <v>0.25</v>
      </c>
      <c r="AC44" s="146">
        <f t="shared" si="39"/>
        <v>1065.6000000000001</v>
      </c>
      <c r="AD44" s="155">
        <f>'Q2'!AD44</f>
        <v>0.25</v>
      </c>
      <c r="AE44" s="146">
        <f t="shared" si="40"/>
        <v>1065.6000000000001</v>
      </c>
      <c r="AF44" s="121">
        <f t="shared" si="31"/>
        <v>0.25</v>
      </c>
      <c r="AG44" s="146">
        <f t="shared" si="34"/>
        <v>1065.6000000000001</v>
      </c>
      <c r="AH44" s="122">
        <f t="shared" si="35"/>
        <v>1</v>
      </c>
      <c r="AI44" s="111">
        <f t="shared" si="35"/>
        <v>4262.4000000000005</v>
      </c>
      <c r="AJ44" s="147">
        <f t="shared" si="36"/>
        <v>2131.2000000000003</v>
      </c>
      <c r="AK44" s="146">
        <f t="shared" si="37"/>
        <v>2131.2000000000003</v>
      </c>
      <c r="AP44" s="24"/>
      <c r="AQ44" s="24"/>
      <c r="AR44" s="24"/>
      <c r="AS44" s="24"/>
      <c r="AT44" s="24"/>
      <c r="AU44" s="24"/>
      <c r="AW44" s="24"/>
      <c r="AX44" s="24"/>
      <c r="AY44" s="24"/>
      <c r="AZ44" s="24"/>
      <c r="BA44" s="24"/>
      <c r="BB44" s="24"/>
      <c r="BF44" s="24"/>
      <c r="BG44" s="24"/>
      <c r="BH44" s="24"/>
      <c r="BI44" s="24"/>
      <c r="BJ44" s="24"/>
      <c r="BK44" s="24"/>
      <c r="BM44" s="24"/>
      <c r="BN44" s="24"/>
      <c r="BO44" s="24"/>
      <c r="BP44" s="24"/>
      <c r="BQ44" s="24"/>
      <c r="BR44" s="24"/>
      <c r="BU44" s="24"/>
      <c r="BV44" s="24"/>
      <c r="BW44" s="24"/>
      <c r="BX44" s="24"/>
      <c r="BY44" s="24"/>
      <c r="BZ44" s="24"/>
      <c r="CB44" s="24"/>
      <c r="CC44" s="24"/>
      <c r="CD44" s="24"/>
      <c r="CE44" s="24"/>
      <c r="CF44" s="24"/>
      <c r="CG44" s="24"/>
    </row>
    <row r="45" spans="1:88" ht="14" customHeight="1">
      <c r="A45" s="84" t="str">
        <f>IF('Q2'!A45=0,"",'Q2'!A45)</f>
        <v>Gifts and support</v>
      </c>
      <c r="B45" s="103">
        <f>IF([1]Summ!$J1080="",0,[1]Summ!$J1080)</f>
        <v>3000</v>
      </c>
      <c r="C45" s="103">
        <f>IF([1]Summ!$K1080="",0,[1]Summ!$K1080)</f>
        <v>0</v>
      </c>
      <c r="D45" s="37">
        <f t="shared" si="25"/>
        <v>3000</v>
      </c>
      <c r="E45" s="74">
        <f>'Q3'!E45</f>
        <v>1</v>
      </c>
      <c r="F45" s="74">
        <f>'Q3'!F45</f>
        <v>1</v>
      </c>
      <c r="G45" s="21">
        <f t="shared" si="32"/>
        <v>1.65</v>
      </c>
      <c r="H45" s="23">
        <f t="shared" si="26"/>
        <v>1</v>
      </c>
      <c r="I45" s="38">
        <f t="shared" si="27"/>
        <v>3000</v>
      </c>
      <c r="J45" s="37">
        <f t="shared" si="33"/>
        <v>2999.9999999999995</v>
      </c>
      <c r="K45" s="39">
        <f t="shared" si="28"/>
        <v>4.8904538341158058E-2</v>
      </c>
      <c r="L45" s="21">
        <f t="shared" si="29"/>
        <v>4.8904538341158058E-2</v>
      </c>
      <c r="M45" s="23">
        <f t="shared" si="30"/>
        <v>4.8904538341158051E-2</v>
      </c>
      <c r="N45" s="2"/>
      <c r="O45" s="2"/>
      <c r="P45" s="2"/>
      <c r="Q45" s="253"/>
      <c r="S45" s="40"/>
      <c r="U45" s="55"/>
      <c r="V45" s="55"/>
      <c r="W45" s="109"/>
      <c r="X45" s="117"/>
      <c r="Y45" s="109"/>
      <c r="Z45" s="155">
        <f>'Q2'!Z45</f>
        <v>0.25</v>
      </c>
      <c r="AA45" s="146">
        <f t="shared" si="38"/>
        <v>749.99999999999989</v>
      </c>
      <c r="AB45" s="155">
        <f>'Q2'!AB45</f>
        <v>0.25</v>
      </c>
      <c r="AC45" s="146">
        <f t="shared" si="39"/>
        <v>749.99999999999989</v>
      </c>
      <c r="AD45" s="155">
        <f>'Q2'!AD45</f>
        <v>0.25</v>
      </c>
      <c r="AE45" s="146">
        <f t="shared" si="40"/>
        <v>749.99999999999989</v>
      </c>
      <c r="AF45" s="121">
        <f t="shared" si="31"/>
        <v>0.25</v>
      </c>
      <c r="AG45" s="146">
        <f t="shared" si="34"/>
        <v>749.99999999999989</v>
      </c>
      <c r="AH45" s="122">
        <f t="shared" si="35"/>
        <v>1</v>
      </c>
      <c r="AI45" s="111">
        <f t="shared" si="35"/>
        <v>2999.9999999999995</v>
      </c>
      <c r="AJ45" s="147">
        <f t="shared" si="36"/>
        <v>1499.9999999999998</v>
      </c>
      <c r="AK45" s="146">
        <f t="shared" si="37"/>
        <v>1499.9999999999998</v>
      </c>
      <c r="AP45" s="24"/>
      <c r="AQ45" s="24"/>
      <c r="AR45" s="24"/>
      <c r="AS45" s="24"/>
      <c r="AT45" s="24"/>
      <c r="AU45" s="24"/>
      <c r="AW45" s="24"/>
      <c r="AX45" s="24"/>
      <c r="AY45" s="24"/>
      <c r="AZ45" s="24"/>
      <c r="BA45" s="24"/>
      <c r="BB45" s="24"/>
      <c r="BF45" s="24"/>
      <c r="BG45" s="24"/>
      <c r="BH45" s="24"/>
      <c r="BI45" s="24"/>
      <c r="BJ45" s="24"/>
      <c r="BK45" s="24"/>
      <c r="BM45" s="24"/>
      <c r="BN45" s="24"/>
      <c r="BO45" s="24"/>
      <c r="BP45" s="24"/>
      <c r="BQ45" s="24"/>
      <c r="BR45" s="24"/>
      <c r="BU45" s="24"/>
      <c r="BV45" s="24"/>
      <c r="BW45" s="24"/>
      <c r="BX45" s="24"/>
      <c r="BY45" s="24"/>
      <c r="BZ45" s="24"/>
      <c r="CB45" s="24"/>
      <c r="CC45" s="24"/>
      <c r="CD45" s="24"/>
      <c r="CE45" s="24"/>
      <c r="CF45" s="24"/>
      <c r="CG45" s="24"/>
    </row>
    <row r="46" spans="1:88" ht="14" customHeight="1">
      <c r="A46" s="84" t="str">
        <f>IF('Q2'!A46=0,"",'Q2'!A46)</f>
        <v>Remittances: no. times per year</v>
      </c>
      <c r="B46" s="103">
        <f>IF([1]Summ!$J1081="",0,[1]Summ!$J1081)</f>
        <v>0</v>
      </c>
      <c r="C46" s="103">
        <f>IF([1]Summ!$K1081="",0,[1]Summ!$K1081)</f>
        <v>0</v>
      </c>
      <c r="D46" s="37">
        <f t="shared" si="25"/>
        <v>0</v>
      </c>
      <c r="E46" s="74">
        <f>'Q3'!E46</f>
        <v>1</v>
      </c>
      <c r="F46" s="74">
        <f>'Q3'!F46</f>
        <v>1.1100000000000001</v>
      </c>
      <c r="G46" s="21">
        <f t="shared" si="32"/>
        <v>1.65</v>
      </c>
      <c r="H46" s="23">
        <f t="shared" si="26"/>
        <v>1.1100000000000001</v>
      </c>
      <c r="I46" s="38">
        <f t="shared" si="27"/>
        <v>0</v>
      </c>
      <c r="J46" s="37">
        <f t="shared" si="33"/>
        <v>0</v>
      </c>
      <c r="K46" s="39">
        <f t="shared" si="28"/>
        <v>0</v>
      </c>
      <c r="L46" s="21">
        <f t="shared" si="29"/>
        <v>0</v>
      </c>
      <c r="M46" s="23">
        <f t="shared" si="30"/>
        <v>0</v>
      </c>
      <c r="N46" s="2"/>
      <c r="O46" s="2"/>
      <c r="P46" s="2"/>
      <c r="Q46" s="253"/>
      <c r="S46" s="40"/>
      <c r="U46" s="55"/>
      <c r="V46" s="55"/>
      <c r="W46" s="109"/>
      <c r="X46" s="117"/>
      <c r="Y46" s="109"/>
      <c r="Z46" s="155">
        <f>'Q2'!Z46</f>
        <v>0.25</v>
      </c>
      <c r="AA46" s="146">
        <f t="shared" si="38"/>
        <v>0</v>
      </c>
      <c r="AB46" s="155">
        <f>'Q2'!AB46</f>
        <v>0.25</v>
      </c>
      <c r="AC46" s="146">
        <f t="shared" si="39"/>
        <v>0</v>
      </c>
      <c r="AD46" s="155">
        <f>'Q2'!AD46</f>
        <v>0.25</v>
      </c>
      <c r="AE46" s="146">
        <f t="shared" si="40"/>
        <v>0</v>
      </c>
      <c r="AF46" s="121">
        <f t="shared" si="31"/>
        <v>0.25</v>
      </c>
      <c r="AG46" s="146">
        <f t="shared" si="34"/>
        <v>0</v>
      </c>
      <c r="AH46" s="122">
        <f t="shared" si="35"/>
        <v>1</v>
      </c>
      <c r="AI46" s="111">
        <f t="shared" si="35"/>
        <v>0</v>
      </c>
      <c r="AJ46" s="147">
        <f t="shared" si="36"/>
        <v>0</v>
      </c>
      <c r="AK46" s="146">
        <f t="shared" si="37"/>
        <v>0</v>
      </c>
      <c r="AP46" s="24"/>
      <c r="AQ46" s="24"/>
      <c r="AR46" s="24"/>
      <c r="AS46" s="24"/>
      <c r="AT46" s="24"/>
      <c r="AU46" s="24"/>
      <c r="AW46" s="24"/>
      <c r="AX46" s="24"/>
      <c r="AY46" s="24"/>
      <c r="AZ46" s="24"/>
      <c r="BA46" s="24"/>
      <c r="BB46" s="24"/>
      <c r="BF46" s="24"/>
      <c r="BG46" s="24"/>
      <c r="BH46" s="24"/>
      <c r="BI46" s="24"/>
      <c r="BJ46" s="24"/>
      <c r="BK46" s="24"/>
      <c r="BM46" s="24"/>
      <c r="BN46" s="24"/>
      <c r="BO46" s="24"/>
      <c r="BP46" s="24"/>
      <c r="BQ46" s="24"/>
      <c r="BR46" s="24"/>
      <c r="BU46" s="24"/>
      <c r="BV46" s="24"/>
      <c r="BW46" s="24"/>
      <c r="BX46" s="24"/>
      <c r="BY46" s="24"/>
      <c r="BZ46" s="24"/>
      <c r="CB46" s="24"/>
      <c r="CC46" s="24"/>
      <c r="CD46" s="24"/>
      <c r="CE46" s="24"/>
      <c r="CF46" s="24"/>
      <c r="CG46" s="24"/>
    </row>
    <row r="47" spans="1:88" ht="14" customHeight="1">
      <c r="A47" s="84" t="str">
        <f>IF('Q2'!A47=0,"",'Q2'!A47)</f>
        <v/>
      </c>
      <c r="B47" s="103">
        <f>IF([1]Summ!$J1082="",0,[1]Summ!$J1082)</f>
        <v>0</v>
      </c>
      <c r="C47" s="103">
        <f>IF([1]Summ!$K1082="",0,[1]Summ!$K1082)</f>
        <v>0</v>
      </c>
      <c r="D47" s="37">
        <f t="shared" si="25"/>
        <v>0</v>
      </c>
      <c r="E47" s="74">
        <f>'Q3'!E47</f>
        <v>1</v>
      </c>
      <c r="F47" s="74">
        <f>'Q3'!F47</f>
        <v>1</v>
      </c>
      <c r="G47" s="21">
        <f t="shared" si="32"/>
        <v>1.65</v>
      </c>
      <c r="H47" s="23">
        <f t="shared" si="26"/>
        <v>1</v>
      </c>
      <c r="I47" s="38">
        <f t="shared" si="27"/>
        <v>0</v>
      </c>
      <c r="J47" s="37">
        <f t="shared" si="33"/>
        <v>0</v>
      </c>
      <c r="K47" s="39">
        <f t="shared" si="28"/>
        <v>0</v>
      </c>
      <c r="L47" s="21">
        <f t="shared" si="29"/>
        <v>0</v>
      </c>
      <c r="M47" s="23">
        <f t="shared" si="30"/>
        <v>0</v>
      </c>
      <c r="N47" s="2"/>
      <c r="O47" s="2"/>
      <c r="P47" s="2"/>
      <c r="R47" s="241"/>
      <c r="U47" s="55"/>
      <c r="V47" s="55"/>
      <c r="W47" s="109"/>
      <c r="X47" s="117"/>
      <c r="Y47" s="109"/>
      <c r="Z47" s="155">
        <f>'Q2'!Z47</f>
        <v>0.25</v>
      </c>
      <c r="AA47" s="146">
        <f t="shared" si="38"/>
        <v>0</v>
      </c>
      <c r="AB47" s="155">
        <f>'Q2'!AB47</f>
        <v>0.25</v>
      </c>
      <c r="AC47" s="146">
        <f t="shared" si="39"/>
        <v>0</v>
      </c>
      <c r="AD47" s="155">
        <f>'Q2'!AD47</f>
        <v>0.25</v>
      </c>
      <c r="AE47" s="146">
        <f t="shared" si="40"/>
        <v>0</v>
      </c>
      <c r="AF47" s="121">
        <f t="shared" si="31"/>
        <v>0.25</v>
      </c>
      <c r="AG47" s="146">
        <f t="shared" si="34"/>
        <v>0</v>
      </c>
      <c r="AH47" s="122">
        <f t="shared" si="35"/>
        <v>1</v>
      </c>
      <c r="AI47" s="111">
        <f t="shared" si="35"/>
        <v>0</v>
      </c>
      <c r="AJ47" s="147">
        <f t="shared" si="36"/>
        <v>0</v>
      </c>
      <c r="AK47" s="146">
        <f t="shared" si="37"/>
        <v>0</v>
      </c>
      <c r="AP47" s="24"/>
      <c r="AQ47" s="24"/>
      <c r="AR47" s="24"/>
      <c r="AS47" s="24"/>
      <c r="AT47" s="24"/>
      <c r="AU47" s="24"/>
      <c r="AW47" s="24"/>
      <c r="AX47" s="24"/>
      <c r="AY47" s="24"/>
      <c r="AZ47" s="24"/>
      <c r="BA47" s="24"/>
      <c r="BB47" s="24"/>
      <c r="BF47" s="24"/>
      <c r="BG47" s="24"/>
      <c r="BH47" s="24"/>
      <c r="BI47" s="24"/>
      <c r="BJ47" s="24"/>
      <c r="BK47" s="24"/>
      <c r="BM47" s="24"/>
      <c r="BN47" s="24"/>
      <c r="BO47" s="24"/>
      <c r="BP47" s="24"/>
      <c r="BQ47" s="24"/>
      <c r="BR47" s="24"/>
      <c r="BU47" s="24"/>
      <c r="BV47" s="24"/>
      <c r="BW47" s="24"/>
      <c r="BX47" s="24"/>
      <c r="BY47" s="24"/>
      <c r="BZ47" s="24"/>
      <c r="CB47" s="24"/>
      <c r="CC47" s="24"/>
      <c r="CD47" s="24"/>
      <c r="CE47" s="24"/>
      <c r="CF47" s="24"/>
      <c r="CG47" s="24"/>
    </row>
    <row r="48" spans="1:88" ht="14" customHeight="1">
      <c r="A48" s="84" t="str">
        <f>IF('Q2'!A48=0,"",'Q2'!A48)</f>
        <v/>
      </c>
      <c r="B48" s="103">
        <f>IF([1]Summ!$J1083="",0,[1]Summ!$J1083)</f>
        <v>0</v>
      </c>
      <c r="C48" s="103">
        <f>IF([1]Summ!$K1083="",0,[1]Summ!$K1083)</f>
        <v>0</v>
      </c>
      <c r="D48" s="37">
        <f t="shared" si="25"/>
        <v>0</v>
      </c>
      <c r="E48" s="74">
        <f>'Q3'!E48</f>
        <v>1</v>
      </c>
      <c r="F48" s="74">
        <f>'Q3'!F48</f>
        <v>1</v>
      </c>
      <c r="G48" s="21">
        <f t="shared" si="32"/>
        <v>1.65</v>
      </c>
      <c r="H48" s="23">
        <f t="shared" si="26"/>
        <v>1</v>
      </c>
      <c r="I48" s="38">
        <f t="shared" si="27"/>
        <v>0</v>
      </c>
      <c r="J48" s="37">
        <f t="shared" si="33"/>
        <v>0</v>
      </c>
      <c r="K48" s="39">
        <f t="shared" si="28"/>
        <v>0</v>
      </c>
      <c r="L48" s="21">
        <f t="shared" si="29"/>
        <v>0</v>
      </c>
      <c r="M48" s="23">
        <f t="shared" si="30"/>
        <v>0</v>
      </c>
      <c r="N48" s="2"/>
      <c r="O48" s="2"/>
      <c r="P48" s="2"/>
      <c r="Q48" s="253"/>
      <c r="R48" s="250"/>
      <c r="S48" s="40"/>
      <c r="T48" s="28"/>
      <c r="U48" s="55"/>
      <c r="V48" s="55"/>
      <c r="W48" s="109"/>
      <c r="X48" s="117"/>
      <c r="Y48" s="109"/>
      <c r="Z48" s="155">
        <f>'Q2'!Z48</f>
        <v>0.25</v>
      </c>
      <c r="AA48" s="146">
        <f t="shared" si="38"/>
        <v>0</v>
      </c>
      <c r="AB48" s="155">
        <f>'Q2'!AB48</f>
        <v>0.25</v>
      </c>
      <c r="AC48" s="146">
        <f t="shared" si="39"/>
        <v>0</v>
      </c>
      <c r="AD48" s="155">
        <f>'Q2'!AD48</f>
        <v>0.25</v>
      </c>
      <c r="AE48" s="146">
        <f t="shared" si="40"/>
        <v>0</v>
      </c>
      <c r="AF48" s="121">
        <f t="shared" si="31"/>
        <v>0.25</v>
      </c>
      <c r="AG48" s="146">
        <f t="shared" si="34"/>
        <v>0</v>
      </c>
      <c r="AH48" s="122">
        <f t="shared" si="35"/>
        <v>1</v>
      </c>
      <c r="AI48" s="111">
        <f t="shared" si="35"/>
        <v>0</v>
      </c>
      <c r="AJ48" s="147">
        <f t="shared" si="36"/>
        <v>0</v>
      </c>
      <c r="AK48" s="146">
        <f t="shared" si="37"/>
        <v>0</v>
      </c>
      <c r="AP48" s="24"/>
      <c r="AQ48" s="24"/>
      <c r="AR48" s="24"/>
      <c r="AS48" s="24"/>
      <c r="AT48" s="24"/>
      <c r="AU48" s="24"/>
      <c r="AW48" s="24"/>
      <c r="AX48" s="24"/>
      <c r="AY48" s="24"/>
      <c r="AZ48" s="24"/>
      <c r="BA48" s="24"/>
      <c r="BB48" s="24"/>
      <c r="BF48" s="24"/>
      <c r="BG48" s="24"/>
      <c r="BH48" s="24"/>
      <c r="BI48" s="24"/>
      <c r="BJ48" s="24"/>
      <c r="BK48" s="24"/>
      <c r="BM48" s="24"/>
      <c r="BN48" s="24"/>
      <c r="BO48" s="24"/>
      <c r="BP48" s="24"/>
      <c r="BQ48" s="24"/>
      <c r="BR48" s="24"/>
      <c r="BU48" s="24"/>
      <c r="BV48" s="24"/>
      <c r="BW48" s="24"/>
      <c r="BX48" s="24"/>
      <c r="BY48" s="24"/>
      <c r="BZ48" s="24"/>
      <c r="CB48" s="24"/>
      <c r="CC48" s="24"/>
      <c r="CD48" s="24"/>
      <c r="CE48" s="24"/>
      <c r="CF48" s="24"/>
      <c r="CG48" s="24"/>
    </row>
    <row r="49" spans="1:85" ht="14" customHeight="1">
      <c r="A49" s="84" t="str">
        <f>IF('Q2'!A49=0,"",'Q2'!A49)</f>
        <v/>
      </c>
      <c r="B49" s="103">
        <f>IF([1]Summ!$J1084="",0,[1]Summ!$J1084)</f>
        <v>0</v>
      </c>
      <c r="C49" s="103">
        <f>IF([1]Summ!$K1084="",0,[1]Summ!$K1084)</f>
        <v>0</v>
      </c>
      <c r="D49" s="37">
        <f t="shared" si="25"/>
        <v>0</v>
      </c>
      <c r="E49" s="74">
        <f>'Q3'!E49</f>
        <v>1</v>
      </c>
      <c r="F49" s="74">
        <f>'Q3'!F49</f>
        <v>1</v>
      </c>
      <c r="G49" s="21">
        <f t="shared" si="32"/>
        <v>1.65</v>
      </c>
      <c r="H49" s="23">
        <f t="shared" si="26"/>
        <v>1</v>
      </c>
      <c r="I49" s="38">
        <f t="shared" si="27"/>
        <v>0</v>
      </c>
      <c r="J49" s="37">
        <f t="shared" si="33"/>
        <v>0</v>
      </c>
      <c r="K49" s="39">
        <f t="shared" si="28"/>
        <v>0</v>
      </c>
      <c r="L49" s="21">
        <f t="shared" si="29"/>
        <v>0</v>
      </c>
      <c r="M49" s="23">
        <f t="shared" si="30"/>
        <v>0</v>
      </c>
      <c r="N49" s="2"/>
      <c r="O49" s="2"/>
      <c r="P49" s="2"/>
      <c r="V49" s="55"/>
      <c r="W49" s="109"/>
      <c r="X49" s="117"/>
      <c r="Y49" s="109"/>
      <c r="Z49" s="155">
        <f>'Q2'!Z49</f>
        <v>0.25</v>
      </c>
      <c r="AA49" s="146">
        <f t="shared" si="38"/>
        <v>0</v>
      </c>
      <c r="AB49" s="155">
        <f>'Q2'!AB49</f>
        <v>0.25</v>
      </c>
      <c r="AC49" s="146">
        <f t="shared" si="39"/>
        <v>0</v>
      </c>
      <c r="AD49" s="155">
        <f>'Q2'!AD49</f>
        <v>0.25</v>
      </c>
      <c r="AE49" s="146">
        <f t="shared" si="40"/>
        <v>0</v>
      </c>
      <c r="AF49" s="121">
        <f t="shared" si="31"/>
        <v>0.25</v>
      </c>
      <c r="AG49" s="146">
        <f t="shared" si="34"/>
        <v>0</v>
      </c>
      <c r="AH49" s="122">
        <f t="shared" si="35"/>
        <v>1</v>
      </c>
      <c r="AI49" s="111">
        <f t="shared" si="35"/>
        <v>0</v>
      </c>
      <c r="AJ49" s="147">
        <f t="shared" si="36"/>
        <v>0</v>
      </c>
      <c r="AK49" s="146">
        <f t="shared" si="37"/>
        <v>0</v>
      </c>
      <c r="AP49" s="24"/>
      <c r="AQ49" s="24"/>
      <c r="AR49" s="24"/>
      <c r="AS49" s="24"/>
      <c r="AT49" s="24"/>
      <c r="AU49" s="24"/>
      <c r="AW49" s="24"/>
      <c r="AX49" s="24"/>
      <c r="AY49" s="24"/>
      <c r="AZ49" s="24"/>
      <c r="BA49" s="24"/>
      <c r="BB49" s="24"/>
      <c r="BF49" s="24"/>
      <c r="BG49" s="24"/>
      <c r="BH49" s="24"/>
      <c r="BI49" s="24"/>
      <c r="BJ49" s="24"/>
      <c r="BK49" s="24"/>
      <c r="BM49" s="24"/>
      <c r="BN49" s="24"/>
      <c r="BO49" s="24"/>
      <c r="BP49" s="24"/>
      <c r="BQ49" s="24"/>
      <c r="BR49" s="24"/>
      <c r="BU49" s="24"/>
      <c r="BV49" s="24"/>
      <c r="BW49" s="24"/>
      <c r="BX49" s="24"/>
      <c r="BY49" s="24"/>
      <c r="BZ49" s="24"/>
      <c r="CB49" s="24"/>
      <c r="CC49" s="24"/>
      <c r="CD49" s="24"/>
      <c r="CE49" s="24"/>
      <c r="CF49" s="24"/>
      <c r="CG49" s="24"/>
    </row>
    <row r="50" spans="1:85" ht="14" customHeight="1">
      <c r="A50" s="84" t="str">
        <f>IF('Q2'!A50=0,"",'Q2'!A50)</f>
        <v/>
      </c>
      <c r="B50" s="103">
        <f>IF([1]Summ!$J1085="",0,[1]Summ!$J1085)</f>
        <v>0</v>
      </c>
      <c r="C50" s="103">
        <f>IF([1]Summ!$K1085="",0,[1]Summ!$K1085)</f>
        <v>0</v>
      </c>
      <c r="D50" s="37">
        <f t="shared" si="25"/>
        <v>0</v>
      </c>
      <c r="E50" s="74">
        <f>'Q3'!E50</f>
        <v>1</v>
      </c>
      <c r="F50" s="74">
        <f>'Q3'!F50</f>
        <v>1</v>
      </c>
      <c r="G50" s="21">
        <f t="shared" si="32"/>
        <v>1.65</v>
      </c>
      <c r="H50" s="23">
        <f t="shared" si="26"/>
        <v>1</v>
      </c>
      <c r="I50" s="38">
        <f t="shared" si="27"/>
        <v>0</v>
      </c>
      <c r="J50" s="37">
        <f t="shared" si="33"/>
        <v>0</v>
      </c>
      <c r="K50" s="39">
        <f t="shared" si="28"/>
        <v>0</v>
      </c>
      <c r="L50" s="21">
        <f t="shared" si="29"/>
        <v>0</v>
      </c>
      <c r="M50" s="23">
        <f t="shared" si="30"/>
        <v>0</v>
      </c>
      <c r="N50" s="2"/>
      <c r="O50" s="2"/>
      <c r="P50" s="2"/>
      <c r="V50" s="55"/>
      <c r="W50" s="109"/>
      <c r="X50" s="117"/>
      <c r="Y50" s="109"/>
      <c r="Z50" s="155">
        <f>'Q2'!Z55</f>
        <v>0.25</v>
      </c>
      <c r="AA50" s="146">
        <f t="shared" si="38"/>
        <v>0</v>
      </c>
      <c r="AB50" s="155">
        <f>'Q2'!AB55</f>
        <v>0.25</v>
      </c>
      <c r="AC50" s="146">
        <f t="shared" si="39"/>
        <v>0</v>
      </c>
      <c r="AD50" s="155">
        <f>'Q2'!AD55</f>
        <v>0.25</v>
      </c>
      <c r="AE50" s="146">
        <f t="shared" si="40"/>
        <v>0</v>
      </c>
      <c r="AF50" s="121">
        <f t="shared" si="31"/>
        <v>0.25</v>
      </c>
      <c r="AG50" s="146">
        <f t="shared" si="34"/>
        <v>0</v>
      </c>
      <c r="AH50" s="122">
        <f t="shared" si="35"/>
        <v>1</v>
      </c>
      <c r="AI50" s="111">
        <f t="shared" si="35"/>
        <v>0</v>
      </c>
      <c r="AJ50" s="147">
        <f t="shared" si="36"/>
        <v>0</v>
      </c>
      <c r="AK50" s="146">
        <f t="shared" si="37"/>
        <v>0</v>
      </c>
      <c r="AP50" s="24"/>
      <c r="AQ50" s="24"/>
      <c r="AR50" s="24"/>
      <c r="AS50" s="24"/>
      <c r="AT50" s="24"/>
      <c r="AU50" s="24"/>
      <c r="AW50" s="24"/>
      <c r="AX50" s="24"/>
      <c r="AY50" s="24"/>
      <c r="AZ50" s="24"/>
      <c r="BA50" s="24"/>
      <c r="BB50" s="24"/>
      <c r="BF50" s="24"/>
      <c r="BG50" s="24"/>
      <c r="BH50" s="24"/>
      <c r="BI50" s="24"/>
      <c r="BJ50" s="24"/>
      <c r="BK50" s="24"/>
      <c r="BM50" s="24"/>
      <c r="BN50" s="24"/>
      <c r="BO50" s="24"/>
      <c r="BP50" s="24"/>
      <c r="BQ50" s="24"/>
      <c r="BR50" s="24"/>
      <c r="BU50" s="24"/>
      <c r="BV50" s="24"/>
      <c r="BW50" s="24"/>
      <c r="BX50" s="24"/>
      <c r="BY50" s="24"/>
      <c r="BZ50" s="24"/>
      <c r="CB50" s="24"/>
      <c r="CC50" s="24"/>
      <c r="CD50" s="24"/>
      <c r="CE50" s="24"/>
      <c r="CF50" s="24"/>
      <c r="CG50" s="24"/>
    </row>
    <row r="51" spans="1:85" ht="14" customHeight="1">
      <c r="A51" s="84" t="str">
        <f>IF('Q2'!A51=0,"",'Q2'!A51)</f>
        <v/>
      </c>
      <c r="B51" s="103">
        <f>IF([1]Summ!$J1086="",0,[1]Summ!$J1086)</f>
        <v>0</v>
      </c>
      <c r="C51" s="103">
        <f>IF([1]Summ!$K1086="",0,[1]Summ!$K1086)</f>
        <v>0</v>
      </c>
      <c r="D51" s="37">
        <f t="shared" si="25"/>
        <v>0</v>
      </c>
      <c r="E51" s="74">
        <f>'Q3'!E51</f>
        <v>1</v>
      </c>
      <c r="F51" s="74">
        <f>'Q3'!F51</f>
        <v>1</v>
      </c>
      <c r="G51" s="21">
        <f t="shared" si="32"/>
        <v>1.65</v>
      </c>
      <c r="H51" s="23">
        <f t="shared" si="26"/>
        <v>1</v>
      </c>
      <c r="I51" s="38">
        <f t="shared" si="27"/>
        <v>0</v>
      </c>
      <c r="J51" s="37">
        <f t="shared" si="33"/>
        <v>0</v>
      </c>
      <c r="K51" s="39">
        <f t="shared" si="28"/>
        <v>0</v>
      </c>
      <c r="L51" s="21">
        <f t="shared" si="29"/>
        <v>0</v>
      </c>
      <c r="M51" s="23">
        <f t="shared" si="30"/>
        <v>0</v>
      </c>
      <c r="N51" s="2"/>
      <c r="O51" s="2"/>
      <c r="P51" s="2"/>
      <c r="V51" s="55"/>
      <c r="W51" s="109"/>
      <c r="X51" s="117"/>
      <c r="Y51" s="109"/>
      <c r="Z51" s="155">
        <f>'Q2'!Z56</f>
        <v>0.25</v>
      </c>
      <c r="AA51" s="146">
        <f t="shared" si="38"/>
        <v>0</v>
      </c>
      <c r="AB51" s="155">
        <f>'Q2'!AB56</f>
        <v>0.25</v>
      </c>
      <c r="AC51" s="146">
        <f t="shared" si="39"/>
        <v>0</v>
      </c>
      <c r="AD51" s="155">
        <f>'Q2'!AD56</f>
        <v>0.25</v>
      </c>
      <c r="AE51" s="146">
        <f t="shared" si="40"/>
        <v>0</v>
      </c>
      <c r="AF51" s="121">
        <f t="shared" si="31"/>
        <v>0.25</v>
      </c>
      <c r="AG51" s="146">
        <f t="shared" si="34"/>
        <v>0</v>
      </c>
      <c r="AH51" s="122">
        <f t="shared" si="35"/>
        <v>1</v>
      </c>
      <c r="AI51" s="111">
        <f t="shared" si="35"/>
        <v>0</v>
      </c>
      <c r="AJ51" s="147">
        <f t="shared" si="36"/>
        <v>0</v>
      </c>
      <c r="AK51" s="146">
        <f t="shared" si="37"/>
        <v>0</v>
      </c>
      <c r="AP51" s="24"/>
      <c r="AQ51" s="24"/>
      <c r="AR51" s="24"/>
      <c r="AS51" s="24"/>
      <c r="AT51" s="24"/>
      <c r="AU51" s="24"/>
      <c r="AW51" s="24"/>
      <c r="AX51" s="24"/>
      <c r="AY51" s="24"/>
      <c r="AZ51" s="24"/>
      <c r="BA51" s="24"/>
      <c r="BB51" s="24"/>
      <c r="BF51" s="24"/>
      <c r="BG51" s="24"/>
      <c r="BH51" s="24"/>
      <c r="BI51" s="24"/>
      <c r="BJ51" s="24"/>
      <c r="BK51" s="24"/>
      <c r="BM51" s="24"/>
      <c r="BN51" s="24"/>
      <c r="BO51" s="24"/>
      <c r="BP51" s="24"/>
      <c r="BQ51" s="24"/>
      <c r="BR51" s="24"/>
      <c r="BU51" s="24"/>
      <c r="BV51" s="24"/>
      <c r="BW51" s="24"/>
      <c r="BX51" s="24"/>
      <c r="BY51" s="24"/>
      <c r="BZ51" s="24"/>
      <c r="CB51" s="24"/>
      <c r="CC51" s="24"/>
      <c r="CD51" s="24"/>
      <c r="CE51" s="24"/>
      <c r="CF51" s="24"/>
      <c r="CG51" s="24"/>
    </row>
    <row r="52" spans="1:85" ht="14" customHeight="1">
      <c r="A52" s="84" t="str">
        <f>IF('Q2'!A52=0,"",'Q2'!A52)</f>
        <v/>
      </c>
      <c r="B52" s="103">
        <f>IF([1]Summ!$J1087="",0,[1]Summ!$J1087)</f>
        <v>0</v>
      </c>
      <c r="C52" s="103">
        <f>IF([1]Summ!$K1087="",0,[1]Summ!$K1087)</f>
        <v>0</v>
      </c>
      <c r="D52" s="37">
        <f t="shared" si="25"/>
        <v>0</v>
      </c>
      <c r="E52" s="74">
        <f>'Q3'!E52</f>
        <v>1</v>
      </c>
      <c r="F52" s="74">
        <f>'Q3'!F52</f>
        <v>1</v>
      </c>
      <c r="G52" s="21">
        <f t="shared" si="32"/>
        <v>1.65</v>
      </c>
      <c r="H52" s="23">
        <f t="shared" si="26"/>
        <v>1</v>
      </c>
      <c r="I52" s="38">
        <f t="shared" si="27"/>
        <v>0</v>
      </c>
      <c r="J52" s="37">
        <f t="shared" si="33"/>
        <v>0</v>
      </c>
      <c r="K52" s="39">
        <f t="shared" si="28"/>
        <v>0</v>
      </c>
      <c r="L52" s="21">
        <f t="shared" si="29"/>
        <v>0</v>
      </c>
      <c r="M52" s="23">
        <f t="shared" si="30"/>
        <v>0</v>
      </c>
      <c r="N52" s="2"/>
      <c r="O52" s="2"/>
      <c r="P52" s="2"/>
      <c r="Q52" s="2"/>
      <c r="R52" s="216"/>
      <c r="S52" s="67"/>
      <c r="T52" s="2"/>
      <c r="U52" s="55"/>
      <c r="V52" s="55"/>
      <c r="W52" s="109"/>
      <c r="X52" s="117"/>
      <c r="Y52" s="109"/>
      <c r="Z52" s="155">
        <f>'Q2'!Z57</f>
        <v>0.25</v>
      </c>
      <c r="AA52" s="146">
        <f t="shared" si="38"/>
        <v>0</v>
      </c>
      <c r="AB52" s="155">
        <f>'Q2'!AB57</f>
        <v>0.25</v>
      </c>
      <c r="AC52" s="146">
        <f t="shared" si="39"/>
        <v>0</v>
      </c>
      <c r="AD52" s="155">
        <f>'Q2'!AD57</f>
        <v>0.25</v>
      </c>
      <c r="AE52" s="146">
        <f t="shared" si="40"/>
        <v>0</v>
      </c>
      <c r="AF52" s="121">
        <f t="shared" si="31"/>
        <v>0.25</v>
      </c>
      <c r="AG52" s="146">
        <f t="shared" si="34"/>
        <v>0</v>
      </c>
      <c r="AH52" s="122">
        <f t="shared" si="35"/>
        <v>1</v>
      </c>
      <c r="AI52" s="111">
        <f t="shared" si="35"/>
        <v>0</v>
      </c>
      <c r="AJ52" s="147">
        <f t="shared" si="36"/>
        <v>0</v>
      </c>
      <c r="AK52" s="146">
        <f t="shared" si="37"/>
        <v>0</v>
      </c>
      <c r="AP52" s="24"/>
      <c r="AQ52" s="24"/>
      <c r="AR52" s="24"/>
      <c r="AS52" s="24"/>
      <c r="AT52" s="24"/>
      <c r="AU52" s="24"/>
      <c r="AW52" s="24"/>
      <c r="AX52" s="24"/>
      <c r="AY52" s="24"/>
      <c r="AZ52" s="24"/>
      <c r="BA52" s="24"/>
      <c r="BB52" s="24"/>
      <c r="BF52" s="24"/>
      <c r="BG52" s="24"/>
      <c r="BH52" s="24"/>
      <c r="BI52" s="24"/>
      <c r="BJ52" s="24"/>
      <c r="BK52" s="24"/>
      <c r="BM52" s="24"/>
      <c r="BN52" s="24"/>
      <c r="BO52" s="24"/>
      <c r="BP52" s="24"/>
      <c r="BQ52" s="24"/>
      <c r="BR52" s="24"/>
      <c r="BU52" s="24"/>
      <c r="BV52" s="24"/>
      <c r="BW52" s="24"/>
      <c r="BX52" s="24"/>
      <c r="BY52" s="24"/>
      <c r="BZ52" s="24"/>
      <c r="CB52" s="24"/>
      <c r="CC52" s="24"/>
      <c r="CD52" s="24"/>
      <c r="CE52" s="24"/>
      <c r="CF52" s="24"/>
      <c r="CG52" s="24"/>
    </row>
    <row r="53" spans="1:85" ht="14" customHeight="1">
      <c r="A53" s="84" t="str">
        <f>IF('Q2'!A53=0,"",'Q2'!A53)</f>
        <v/>
      </c>
      <c r="B53" s="103">
        <f>IF([1]Summ!$J1088="",0,[1]Summ!$J1088)</f>
        <v>0</v>
      </c>
      <c r="C53" s="103">
        <f>IF([1]Summ!$K1088="",0,[1]Summ!$K1088)</f>
        <v>0</v>
      </c>
      <c r="D53" s="37">
        <f t="shared" si="25"/>
        <v>0</v>
      </c>
      <c r="E53" s="74">
        <f>'Q3'!E53</f>
        <v>1</v>
      </c>
      <c r="F53" s="74">
        <f>'Q3'!F53</f>
        <v>1</v>
      </c>
      <c r="G53" s="21">
        <f t="shared" si="32"/>
        <v>1.65</v>
      </c>
      <c r="H53" s="23">
        <f t="shared" ref="H53:H64" si="41">(E53*F53)</f>
        <v>1</v>
      </c>
      <c r="I53" s="38">
        <f t="shared" ref="I53:I64" si="42">D53*H53</f>
        <v>0</v>
      </c>
      <c r="J53" s="37">
        <f t="shared" si="33"/>
        <v>0</v>
      </c>
      <c r="K53" s="39">
        <f t="shared" ref="K53:K64" si="43">(B53/B$65)</f>
        <v>0</v>
      </c>
      <c r="L53" s="21">
        <f t="shared" ref="L53:L64" si="44">(K53*H53)</f>
        <v>0</v>
      </c>
      <c r="M53" s="23">
        <f t="shared" ref="M53:M64" si="45">J53/B$65</f>
        <v>0</v>
      </c>
      <c r="N53" s="2"/>
      <c r="O53" s="2"/>
      <c r="P53" s="2"/>
      <c r="Q53" s="2"/>
      <c r="R53" s="216"/>
      <c r="S53" s="67"/>
      <c r="T53" s="2"/>
      <c r="U53" s="55"/>
      <c r="V53" s="55"/>
      <c r="W53" s="109"/>
      <c r="X53" s="117"/>
      <c r="Y53" s="109"/>
      <c r="Z53" s="155"/>
      <c r="AA53" s="146"/>
      <c r="AB53" s="155"/>
      <c r="AC53" s="146"/>
      <c r="AD53" s="155"/>
      <c r="AE53" s="146"/>
      <c r="AF53" s="121"/>
      <c r="AG53" s="146"/>
      <c r="AH53" s="122"/>
      <c r="AI53" s="111"/>
      <c r="AJ53" s="147"/>
      <c r="AK53" s="146"/>
      <c r="AP53" s="24"/>
      <c r="AQ53" s="24"/>
      <c r="AR53" s="24"/>
      <c r="AS53" s="24"/>
      <c r="AT53" s="24"/>
      <c r="AU53" s="24"/>
      <c r="AW53" s="24"/>
      <c r="AX53" s="24"/>
      <c r="AY53" s="24"/>
      <c r="AZ53" s="24"/>
      <c r="BA53" s="24"/>
      <c r="BB53" s="24"/>
      <c r="BF53" s="24"/>
      <c r="BG53" s="24"/>
      <c r="BH53" s="24"/>
      <c r="BI53" s="24"/>
      <c r="BJ53" s="24"/>
      <c r="BK53" s="24"/>
      <c r="BM53" s="24"/>
      <c r="BN53" s="24"/>
      <c r="BO53" s="24"/>
      <c r="BP53" s="24"/>
      <c r="BQ53" s="24"/>
      <c r="BR53" s="24"/>
      <c r="BU53" s="24"/>
      <c r="BV53" s="24"/>
      <c r="BW53" s="24"/>
      <c r="BX53" s="24"/>
      <c r="BY53" s="24"/>
      <c r="BZ53" s="24"/>
      <c r="CB53" s="24"/>
      <c r="CC53" s="24"/>
      <c r="CD53" s="24"/>
      <c r="CE53" s="24"/>
      <c r="CF53" s="24"/>
      <c r="CG53" s="24"/>
    </row>
    <row r="54" spans="1:85" ht="14" customHeight="1">
      <c r="A54" s="84" t="str">
        <f>IF('Q2'!A54=0,"",'Q2'!A54)</f>
        <v/>
      </c>
      <c r="B54" s="103">
        <f>IF([1]Summ!$J1089="",0,[1]Summ!$J1089)</f>
        <v>0</v>
      </c>
      <c r="C54" s="103">
        <f>IF([1]Summ!$K1089="",0,[1]Summ!$K1089)</f>
        <v>0</v>
      </c>
      <c r="D54" s="37">
        <f t="shared" si="25"/>
        <v>0</v>
      </c>
      <c r="E54" s="74">
        <f>'Q3'!E54</f>
        <v>1</v>
      </c>
      <c r="F54" s="74">
        <f>'Q3'!F54</f>
        <v>1</v>
      </c>
      <c r="G54" s="21">
        <f t="shared" si="32"/>
        <v>1.65</v>
      </c>
      <c r="H54" s="23">
        <f t="shared" si="41"/>
        <v>1</v>
      </c>
      <c r="I54" s="38">
        <f t="shared" si="42"/>
        <v>0</v>
      </c>
      <c r="J54" s="37">
        <f t="shared" si="33"/>
        <v>0</v>
      </c>
      <c r="K54" s="39">
        <f t="shared" si="43"/>
        <v>0</v>
      </c>
      <c r="L54" s="21">
        <f t="shared" si="44"/>
        <v>0</v>
      </c>
      <c r="M54" s="23">
        <f t="shared" si="45"/>
        <v>0</v>
      </c>
      <c r="N54" s="2"/>
      <c r="O54" s="2"/>
      <c r="P54" s="2"/>
      <c r="Q54" s="2"/>
      <c r="R54" s="216"/>
      <c r="S54" s="67"/>
      <c r="T54" s="2"/>
      <c r="U54" s="55"/>
      <c r="V54" s="55"/>
      <c r="W54" s="109"/>
      <c r="X54" s="117"/>
      <c r="Y54" s="109"/>
      <c r="Z54" s="155"/>
      <c r="AA54" s="146"/>
      <c r="AB54" s="155"/>
      <c r="AC54" s="146"/>
      <c r="AD54" s="155"/>
      <c r="AE54" s="146"/>
      <c r="AF54" s="121"/>
      <c r="AG54" s="146"/>
      <c r="AH54" s="122"/>
      <c r="AI54" s="111"/>
      <c r="AJ54" s="147"/>
      <c r="AK54" s="146"/>
      <c r="AP54" s="24"/>
      <c r="AQ54" s="24"/>
      <c r="AR54" s="24"/>
      <c r="AS54" s="24"/>
      <c r="AT54" s="24"/>
      <c r="AU54" s="24"/>
      <c r="AW54" s="24"/>
      <c r="AX54" s="24"/>
      <c r="AY54" s="24"/>
      <c r="AZ54" s="24"/>
      <c r="BA54" s="24"/>
      <c r="BB54" s="24"/>
      <c r="BF54" s="24"/>
      <c r="BG54" s="24"/>
      <c r="BH54" s="24"/>
      <c r="BI54" s="24"/>
      <c r="BJ54" s="24"/>
      <c r="BK54" s="24"/>
      <c r="BM54" s="24"/>
      <c r="BN54" s="24"/>
      <c r="BO54" s="24"/>
      <c r="BP54" s="24"/>
      <c r="BQ54" s="24"/>
      <c r="BR54" s="24"/>
      <c r="BU54" s="24"/>
      <c r="BV54" s="24"/>
      <c r="BW54" s="24"/>
      <c r="BX54" s="24"/>
      <c r="BY54" s="24"/>
      <c r="BZ54" s="24"/>
      <c r="CB54" s="24"/>
      <c r="CC54" s="24"/>
      <c r="CD54" s="24"/>
      <c r="CE54" s="24"/>
      <c r="CF54" s="24"/>
      <c r="CG54" s="24"/>
    </row>
    <row r="55" spans="1:85" ht="14" customHeight="1">
      <c r="A55" s="84" t="str">
        <f>IF('Q2'!A55=0,"",'Q2'!A55)</f>
        <v/>
      </c>
      <c r="B55" s="103">
        <f>IF([1]Summ!$J1090="",0,[1]Summ!$J1090)</f>
        <v>0</v>
      </c>
      <c r="C55" s="103">
        <f>IF([1]Summ!$K1090="",0,[1]Summ!$K1090)</f>
        <v>0</v>
      </c>
      <c r="D55" s="37">
        <f t="shared" si="25"/>
        <v>0</v>
      </c>
      <c r="E55" s="74">
        <f>'Q3'!E55</f>
        <v>1</v>
      </c>
      <c r="F55" s="74">
        <f>'Q3'!F55</f>
        <v>1</v>
      </c>
      <c r="G55" s="21">
        <f t="shared" si="32"/>
        <v>1.65</v>
      </c>
      <c r="H55" s="23">
        <f t="shared" si="41"/>
        <v>1</v>
      </c>
      <c r="I55" s="38">
        <f t="shared" si="42"/>
        <v>0</v>
      </c>
      <c r="J55" s="37">
        <f t="shared" si="33"/>
        <v>0</v>
      </c>
      <c r="K55" s="39">
        <f t="shared" si="43"/>
        <v>0</v>
      </c>
      <c r="L55" s="21">
        <f t="shared" si="44"/>
        <v>0</v>
      </c>
      <c r="M55" s="23">
        <f t="shared" si="45"/>
        <v>0</v>
      </c>
      <c r="N55" s="2"/>
      <c r="O55" s="2"/>
      <c r="P55" s="2"/>
      <c r="Q55" s="2"/>
      <c r="R55" s="216"/>
      <c r="S55" s="67"/>
      <c r="T55" s="2"/>
      <c r="U55" s="55"/>
      <c r="V55" s="55"/>
      <c r="W55" s="109"/>
      <c r="X55" s="117"/>
      <c r="Y55" s="109"/>
      <c r="Z55" s="155"/>
      <c r="AA55" s="146"/>
      <c r="AB55" s="155"/>
      <c r="AC55" s="146"/>
      <c r="AD55" s="155"/>
      <c r="AE55" s="146"/>
      <c r="AF55" s="121"/>
      <c r="AG55" s="146"/>
      <c r="AH55" s="122"/>
      <c r="AI55" s="111"/>
      <c r="AJ55" s="147"/>
      <c r="AK55" s="146"/>
      <c r="AP55" s="24"/>
      <c r="AQ55" s="24"/>
      <c r="AR55" s="24"/>
      <c r="AS55" s="24"/>
      <c r="AT55" s="24"/>
      <c r="AU55" s="24"/>
      <c r="AW55" s="24"/>
      <c r="AX55" s="24"/>
      <c r="AY55" s="24"/>
      <c r="AZ55" s="24"/>
      <c r="BA55" s="24"/>
      <c r="BB55" s="24"/>
      <c r="BF55" s="24"/>
      <c r="BG55" s="24"/>
      <c r="BH55" s="24"/>
      <c r="BI55" s="24"/>
      <c r="BJ55" s="24"/>
      <c r="BK55" s="24"/>
      <c r="BM55" s="24"/>
      <c r="BN55" s="24"/>
      <c r="BO55" s="24"/>
      <c r="BP55" s="24"/>
      <c r="BQ55" s="24"/>
      <c r="BR55" s="24"/>
      <c r="BU55" s="24"/>
      <c r="BV55" s="24"/>
      <c r="BW55" s="24"/>
      <c r="BX55" s="24"/>
      <c r="BY55" s="24"/>
      <c r="BZ55" s="24"/>
      <c r="CB55" s="24"/>
      <c r="CC55" s="24"/>
      <c r="CD55" s="24"/>
      <c r="CE55" s="24"/>
      <c r="CF55" s="24"/>
      <c r="CG55" s="24"/>
    </row>
    <row r="56" spans="1:85" ht="14" customHeight="1">
      <c r="A56" s="84" t="str">
        <f>IF('Q2'!A56=0,"",'Q2'!A56)</f>
        <v/>
      </c>
      <c r="B56" s="103">
        <f>IF([1]Summ!$J1091="",0,[1]Summ!$J1091)</f>
        <v>0</v>
      </c>
      <c r="C56" s="103">
        <f>IF([1]Summ!$K1091="",0,[1]Summ!$K1091)</f>
        <v>0</v>
      </c>
      <c r="D56" s="37">
        <f t="shared" si="25"/>
        <v>0</v>
      </c>
      <c r="E56" s="74">
        <f>'Q3'!E56</f>
        <v>1</v>
      </c>
      <c r="F56" s="74">
        <f>'Q3'!F56</f>
        <v>1</v>
      </c>
      <c r="G56" s="21">
        <f t="shared" si="32"/>
        <v>1.65</v>
      </c>
      <c r="H56" s="23">
        <f t="shared" si="41"/>
        <v>1</v>
      </c>
      <c r="I56" s="38">
        <f t="shared" si="42"/>
        <v>0</v>
      </c>
      <c r="J56" s="37">
        <f t="shared" si="33"/>
        <v>0</v>
      </c>
      <c r="K56" s="39">
        <f t="shared" si="43"/>
        <v>0</v>
      </c>
      <c r="L56" s="21">
        <f t="shared" si="44"/>
        <v>0</v>
      </c>
      <c r="M56" s="23">
        <f t="shared" si="45"/>
        <v>0</v>
      </c>
      <c r="N56" s="2"/>
      <c r="O56" s="2"/>
      <c r="P56" s="2"/>
      <c r="Q56" s="2"/>
      <c r="R56" s="216"/>
      <c r="S56" s="67"/>
      <c r="T56" s="2"/>
      <c r="U56" s="55"/>
      <c r="V56" s="55"/>
      <c r="W56" s="109"/>
      <c r="X56" s="117"/>
      <c r="Y56" s="109"/>
      <c r="Z56" s="155"/>
      <c r="AA56" s="146"/>
      <c r="AB56" s="155"/>
      <c r="AC56" s="146"/>
      <c r="AD56" s="155"/>
      <c r="AE56" s="146"/>
      <c r="AF56" s="121"/>
      <c r="AG56" s="146"/>
      <c r="AH56" s="122"/>
      <c r="AI56" s="111"/>
      <c r="AJ56" s="147"/>
      <c r="AK56" s="146"/>
      <c r="AP56" s="24"/>
      <c r="AQ56" s="24"/>
      <c r="AR56" s="24"/>
      <c r="AS56" s="24"/>
      <c r="AT56" s="24"/>
      <c r="AU56" s="24"/>
      <c r="AW56" s="24"/>
      <c r="AX56" s="24"/>
      <c r="AY56" s="24"/>
      <c r="AZ56" s="24"/>
      <c r="BA56" s="24"/>
      <c r="BB56" s="24"/>
      <c r="BF56" s="24"/>
      <c r="BG56" s="24"/>
      <c r="BH56" s="24"/>
      <c r="BI56" s="24"/>
      <c r="BJ56" s="24"/>
      <c r="BK56" s="24"/>
      <c r="BM56" s="24"/>
      <c r="BN56" s="24"/>
      <c r="BO56" s="24"/>
      <c r="BP56" s="24"/>
      <c r="BQ56" s="24"/>
      <c r="BR56" s="24"/>
      <c r="BU56" s="24"/>
      <c r="BV56" s="24"/>
      <c r="BW56" s="24"/>
      <c r="BX56" s="24"/>
      <c r="BY56" s="24"/>
      <c r="BZ56" s="24"/>
      <c r="CB56" s="24"/>
      <c r="CC56" s="24"/>
      <c r="CD56" s="24"/>
      <c r="CE56" s="24"/>
      <c r="CF56" s="24"/>
      <c r="CG56" s="24"/>
    </row>
    <row r="57" spans="1:85" ht="14" customHeight="1">
      <c r="A57" s="84" t="str">
        <f>IF('Q2'!A57=0,"",'Q2'!A57)</f>
        <v/>
      </c>
      <c r="B57" s="103">
        <f>IF([1]Summ!$J1092="",0,[1]Summ!$J1092)</f>
        <v>0</v>
      </c>
      <c r="C57" s="103">
        <f>IF([1]Summ!$K1092="",0,[1]Summ!$K1092)</f>
        <v>0</v>
      </c>
      <c r="D57" s="37">
        <f t="shared" si="25"/>
        <v>0</v>
      </c>
      <c r="E57" s="74">
        <f>'Q3'!E57</f>
        <v>1</v>
      </c>
      <c r="F57" s="74">
        <f>'Q3'!F57</f>
        <v>1</v>
      </c>
      <c r="G57" s="21">
        <f t="shared" si="32"/>
        <v>1.65</v>
      </c>
      <c r="H57" s="23">
        <f t="shared" si="41"/>
        <v>1</v>
      </c>
      <c r="I57" s="38">
        <f t="shared" si="42"/>
        <v>0</v>
      </c>
      <c r="J57" s="37">
        <f t="shared" si="33"/>
        <v>0</v>
      </c>
      <c r="K57" s="39">
        <f t="shared" si="43"/>
        <v>0</v>
      </c>
      <c r="L57" s="21">
        <f t="shared" si="44"/>
        <v>0</v>
      </c>
      <c r="M57" s="23">
        <f t="shared" si="45"/>
        <v>0</v>
      </c>
      <c r="N57" s="2"/>
      <c r="O57" s="2"/>
      <c r="P57" s="2"/>
      <c r="Q57" s="2"/>
      <c r="R57" s="216"/>
      <c r="S57" s="67"/>
      <c r="T57" s="2"/>
      <c r="U57" s="55"/>
      <c r="V57" s="55"/>
      <c r="W57" s="109"/>
      <c r="X57" s="117"/>
      <c r="Y57" s="109"/>
      <c r="Z57" s="155"/>
      <c r="AA57" s="146"/>
      <c r="AB57" s="155"/>
      <c r="AC57" s="146"/>
      <c r="AD57" s="155"/>
      <c r="AE57" s="146"/>
      <c r="AF57" s="121"/>
      <c r="AG57" s="146"/>
      <c r="AH57" s="122"/>
      <c r="AI57" s="111"/>
      <c r="AJ57" s="147"/>
      <c r="AK57" s="146"/>
      <c r="AP57" s="24"/>
      <c r="AQ57" s="24"/>
      <c r="AR57" s="24"/>
      <c r="AS57" s="24"/>
      <c r="AT57" s="24"/>
      <c r="AU57" s="24"/>
      <c r="AW57" s="24"/>
      <c r="AX57" s="24"/>
      <c r="AY57" s="24"/>
      <c r="AZ57" s="24"/>
      <c r="BA57" s="24"/>
      <c r="BB57" s="24"/>
      <c r="BF57" s="24"/>
      <c r="BG57" s="24"/>
      <c r="BH57" s="24"/>
      <c r="BI57" s="24"/>
      <c r="BJ57" s="24"/>
      <c r="BK57" s="24"/>
      <c r="BM57" s="24"/>
      <c r="BN57" s="24"/>
      <c r="BO57" s="24"/>
      <c r="BP57" s="24"/>
      <c r="BQ57" s="24"/>
      <c r="BR57" s="24"/>
      <c r="BU57" s="24"/>
      <c r="BV57" s="24"/>
      <c r="BW57" s="24"/>
      <c r="BX57" s="24"/>
      <c r="BY57" s="24"/>
      <c r="BZ57" s="24"/>
      <c r="CB57" s="24"/>
      <c r="CC57" s="24"/>
      <c r="CD57" s="24"/>
      <c r="CE57" s="24"/>
      <c r="CF57" s="24"/>
      <c r="CG57" s="24"/>
    </row>
    <row r="58" spans="1:85" ht="14" customHeight="1">
      <c r="A58" s="84" t="str">
        <f>IF('Q2'!A58=0,"",'Q2'!A58)</f>
        <v/>
      </c>
      <c r="B58" s="103">
        <f>IF([1]Summ!$J1093="",0,[1]Summ!$J1093)</f>
        <v>0</v>
      </c>
      <c r="C58" s="103">
        <f>IF([1]Summ!$K1093="",0,[1]Summ!$K1093)</f>
        <v>0</v>
      </c>
      <c r="D58" s="37">
        <f t="shared" si="25"/>
        <v>0</v>
      </c>
      <c r="E58" s="74">
        <f>'Q3'!E58</f>
        <v>1</v>
      </c>
      <c r="F58" s="74">
        <f>'Q3'!F58</f>
        <v>1</v>
      </c>
      <c r="G58" s="21">
        <f t="shared" si="32"/>
        <v>1.65</v>
      </c>
      <c r="H58" s="23">
        <f t="shared" si="41"/>
        <v>1</v>
      </c>
      <c r="I58" s="38">
        <f t="shared" si="42"/>
        <v>0</v>
      </c>
      <c r="J58" s="37">
        <f t="shared" si="33"/>
        <v>0</v>
      </c>
      <c r="K58" s="39">
        <f t="shared" si="43"/>
        <v>0</v>
      </c>
      <c r="L58" s="21">
        <f t="shared" si="44"/>
        <v>0</v>
      </c>
      <c r="M58" s="23">
        <f t="shared" si="45"/>
        <v>0</v>
      </c>
      <c r="N58" s="2"/>
      <c r="O58" s="2"/>
      <c r="P58" s="2"/>
      <c r="Q58" s="2"/>
      <c r="R58" s="216"/>
      <c r="S58" s="67"/>
      <c r="T58" s="2"/>
      <c r="U58" s="55"/>
      <c r="V58" s="55"/>
      <c r="W58" s="109"/>
      <c r="X58" s="117"/>
      <c r="Y58" s="109"/>
      <c r="Z58" s="155">
        <f>'Q2'!Z58</f>
        <v>0.25</v>
      </c>
      <c r="AA58" s="146">
        <f t="shared" si="38"/>
        <v>0</v>
      </c>
      <c r="AB58" s="155">
        <f>'Q2'!AB58</f>
        <v>0.25</v>
      </c>
      <c r="AC58" s="146">
        <f t="shared" si="39"/>
        <v>0</v>
      </c>
      <c r="AD58" s="155">
        <f>'Q2'!AD58</f>
        <v>0.25</v>
      </c>
      <c r="AE58" s="146">
        <f t="shared" si="40"/>
        <v>0</v>
      </c>
      <c r="AF58" s="121">
        <f t="shared" si="31"/>
        <v>0.25</v>
      </c>
      <c r="AG58" s="146">
        <f t="shared" si="34"/>
        <v>0</v>
      </c>
      <c r="AH58" s="122">
        <f t="shared" si="35"/>
        <v>1</v>
      </c>
      <c r="AI58" s="111">
        <f t="shared" si="35"/>
        <v>0</v>
      </c>
      <c r="AJ58" s="147">
        <f t="shared" si="36"/>
        <v>0</v>
      </c>
      <c r="AK58" s="146">
        <f t="shared" si="37"/>
        <v>0</v>
      </c>
      <c r="AP58" s="24"/>
      <c r="AQ58" s="24"/>
      <c r="AR58" s="24"/>
      <c r="AS58" s="24"/>
      <c r="AT58" s="24"/>
      <c r="AU58" s="24"/>
      <c r="AW58" s="24"/>
      <c r="AX58" s="24"/>
      <c r="AY58" s="24"/>
      <c r="AZ58" s="24"/>
      <c r="BA58" s="24"/>
      <c r="BB58" s="24"/>
      <c r="BF58" s="24"/>
      <c r="BG58" s="24"/>
      <c r="BH58" s="24"/>
      <c r="BI58" s="24"/>
      <c r="BJ58" s="24"/>
      <c r="BK58" s="24"/>
      <c r="BM58" s="24"/>
      <c r="BN58" s="24"/>
      <c r="BO58" s="24"/>
      <c r="BP58" s="24"/>
      <c r="BQ58" s="24"/>
      <c r="BR58" s="24"/>
      <c r="BU58" s="24"/>
      <c r="BV58" s="24"/>
      <c r="BW58" s="24"/>
      <c r="BX58" s="24"/>
      <c r="BY58" s="24"/>
      <c r="BZ58" s="24"/>
      <c r="CB58" s="24"/>
      <c r="CC58" s="24"/>
      <c r="CD58" s="24"/>
      <c r="CE58" s="24"/>
      <c r="CF58" s="24"/>
      <c r="CG58" s="24"/>
    </row>
    <row r="59" spans="1:85" ht="14" customHeight="1">
      <c r="A59" s="84" t="str">
        <f>IF('Q2'!A59=0,"",'Q2'!A59)</f>
        <v/>
      </c>
      <c r="B59" s="103">
        <f>IF([1]Summ!$J1094="",0,[1]Summ!$J1094)</f>
        <v>0</v>
      </c>
      <c r="C59" s="103">
        <f>IF([1]Summ!$K1094="",0,[1]Summ!$K1094)</f>
        <v>0</v>
      </c>
      <c r="D59" s="37">
        <f t="shared" si="25"/>
        <v>0</v>
      </c>
      <c r="E59" s="74">
        <f>'Q3'!E59</f>
        <v>1</v>
      </c>
      <c r="F59" s="74">
        <f>'Q3'!F59</f>
        <v>1</v>
      </c>
      <c r="G59" s="21">
        <f t="shared" si="32"/>
        <v>1.65</v>
      </c>
      <c r="H59" s="23">
        <f t="shared" si="41"/>
        <v>1</v>
      </c>
      <c r="I59" s="38">
        <f t="shared" si="42"/>
        <v>0</v>
      </c>
      <c r="J59" s="37">
        <f t="shared" si="33"/>
        <v>0</v>
      </c>
      <c r="K59" s="39">
        <f t="shared" si="43"/>
        <v>0</v>
      </c>
      <c r="L59" s="21">
        <f t="shared" si="44"/>
        <v>0</v>
      </c>
      <c r="M59" s="23">
        <f t="shared" si="45"/>
        <v>0</v>
      </c>
      <c r="N59" s="2"/>
      <c r="O59" s="2"/>
      <c r="P59" s="2"/>
      <c r="Q59" s="2"/>
      <c r="R59" s="216"/>
      <c r="S59" s="2"/>
      <c r="T59" s="2"/>
      <c r="U59" s="55"/>
      <c r="V59" s="55"/>
      <c r="W59" s="109"/>
      <c r="X59" s="117"/>
      <c r="Y59" s="109"/>
      <c r="Z59" s="155">
        <f>'Q2'!Z59</f>
        <v>0.25</v>
      </c>
      <c r="AA59" s="146">
        <f t="shared" si="38"/>
        <v>0</v>
      </c>
      <c r="AB59" s="155">
        <f>'Q2'!AB59</f>
        <v>0.25</v>
      </c>
      <c r="AC59" s="146">
        <f t="shared" si="39"/>
        <v>0</v>
      </c>
      <c r="AD59" s="155">
        <f>'Q2'!AD59</f>
        <v>0.25</v>
      </c>
      <c r="AE59" s="146">
        <f t="shared" si="40"/>
        <v>0</v>
      </c>
      <c r="AF59" s="121">
        <f t="shared" si="31"/>
        <v>0.25</v>
      </c>
      <c r="AG59" s="146">
        <f t="shared" si="34"/>
        <v>0</v>
      </c>
      <c r="AH59" s="122">
        <f t="shared" ref="AH59:AI64" si="46">SUM(Z59,AB59,AD59,AF59)</f>
        <v>1</v>
      </c>
      <c r="AI59" s="111">
        <f t="shared" si="46"/>
        <v>0</v>
      </c>
      <c r="AJ59" s="147">
        <f t="shared" si="36"/>
        <v>0</v>
      </c>
      <c r="AK59" s="146">
        <f t="shared" si="37"/>
        <v>0</v>
      </c>
      <c r="AP59" s="24"/>
      <c r="AQ59" s="24"/>
      <c r="AR59" s="24"/>
      <c r="AS59" s="24"/>
      <c r="AT59" s="24"/>
      <c r="AU59" s="24"/>
      <c r="AW59" s="24"/>
      <c r="AX59" s="24"/>
      <c r="AY59" s="24"/>
      <c r="AZ59" s="24"/>
      <c r="BA59" s="24"/>
      <c r="BB59" s="24"/>
      <c r="BF59" s="24"/>
      <c r="BG59" s="24"/>
      <c r="BH59" s="24"/>
      <c r="BI59" s="24"/>
      <c r="BJ59" s="24"/>
      <c r="BK59" s="24"/>
      <c r="BM59" s="24"/>
      <c r="BN59" s="24"/>
      <c r="BO59" s="24"/>
      <c r="BP59" s="24"/>
      <c r="BQ59" s="24"/>
      <c r="BR59" s="24"/>
      <c r="BU59" s="24"/>
      <c r="BV59" s="24"/>
      <c r="BW59" s="24"/>
      <c r="BX59" s="24"/>
      <c r="BY59" s="24"/>
      <c r="BZ59" s="24"/>
      <c r="CB59" s="24"/>
      <c r="CC59" s="24"/>
      <c r="CD59" s="24"/>
      <c r="CE59" s="24"/>
      <c r="CF59" s="24"/>
      <c r="CG59" s="24"/>
    </row>
    <row r="60" spans="1:85" ht="14" customHeight="1">
      <c r="A60" s="84" t="str">
        <f>IF('Q2'!A60=0,"",'Q2'!A60)</f>
        <v/>
      </c>
      <c r="B60" s="103">
        <f>IF([1]Summ!$J1095="",0,[1]Summ!$J1095)</f>
        <v>0</v>
      </c>
      <c r="C60" s="103">
        <f>IF([1]Summ!$K1095="",0,[1]Summ!$K1095)</f>
        <v>0</v>
      </c>
      <c r="D60" s="37">
        <f t="shared" si="25"/>
        <v>0</v>
      </c>
      <c r="E60" s="74">
        <f>'Q3'!E60</f>
        <v>1</v>
      </c>
      <c r="F60" s="74">
        <f>'Q3'!F60</f>
        <v>1</v>
      </c>
      <c r="G60" s="21">
        <f t="shared" si="32"/>
        <v>1.65</v>
      </c>
      <c r="H60" s="23">
        <f t="shared" si="41"/>
        <v>1</v>
      </c>
      <c r="I60" s="38">
        <f t="shared" si="42"/>
        <v>0</v>
      </c>
      <c r="J60" s="37">
        <f t="shared" si="33"/>
        <v>0</v>
      </c>
      <c r="K60" s="39">
        <f t="shared" si="43"/>
        <v>0</v>
      </c>
      <c r="L60" s="21">
        <f t="shared" si="44"/>
        <v>0</v>
      </c>
      <c r="M60" s="23">
        <f t="shared" si="45"/>
        <v>0</v>
      </c>
      <c r="N60" s="2"/>
      <c r="O60" s="2"/>
      <c r="P60" s="2"/>
      <c r="Q60" s="2"/>
      <c r="R60" s="21"/>
      <c r="S60" s="2"/>
      <c r="T60" s="2"/>
      <c r="U60" s="55"/>
      <c r="V60" s="55"/>
      <c r="W60" s="109"/>
      <c r="X60" s="117"/>
      <c r="Y60" s="109"/>
      <c r="Z60" s="155">
        <f>'Q2'!Z60</f>
        <v>0.25</v>
      </c>
      <c r="AA60" s="146">
        <f t="shared" si="38"/>
        <v>0</v>
      </c>
      <c r="AB60" s="155">
        <f>'Q2'!AB60</f>
        <v>0.25</v>
      </c>
      <c r="AC60" s="146">
        <f t="shared" si="39"/>
        <v>0</v>
      </c>
      <c r="AD60" s="155">
        <f>'Q2'!AD60</f>
        <v>0.25</v>
      </c>
      <c r="AE60" s="146">
        <f t="shared" si="40"/>
        <v>0</v>
      </c>
      <c r="AF60" s="121">
        <f t="shared" si="31"/>
        <v>0.25</v>
      </c>
      <c r="AG60" s="146">
        <f t="shared" si="34"/>
        <v>0</v>
      </c>
      <c r="AH60" s="122">
        <f t="shared" si="46"/>
        <v>1</v>
      </c>
      <c r="AI60" s="111">
        <f t="shared" si="46"/>
        <v>0</v>
      </c>
      <c r="AJ60" s="147">
        <f t="shared" si="36"/>
        <v>0</v>
      </c>
      <c r="AK60" s="146">
        <f t="shared" si="37"/>
        <v>0</v>
      </c>
      <c r="AP60" s="24"/>
      <c r="AQ60" s="24"/>
      <c r="AR60" s="24"/>
      <c r="AS60" s="24"/>
      <c r="AT60" s="24"/>
      <c r="AU60" s="24"/>
      <c r="AW60" s="24"/>
      <c r="AX60" s="24"/>
      <c r="AY60" s="24"/>
      <c r="AZ60" s="24"/>
      <c r="BA60" s="24"/>
      <c r="BB60" s="24"/>
      <c r="BF60" s="24"/>
      <c r="BG60" s="24"/>
      <c r="BH60" s="24"/>
      <c r="BI60" s="24"/>
      <c r="BJ60" s="24"/>
      <c r="BK60" s="24"/>
      <c r="BM60" s="24"/>
      <c r="BN60" s="24"/>
      <c r="BO60" s="24"/>
      <c r="BP60" s="24"/>
      <c r="BQ60" s="24"/>
      <c r="BR60" s="24"/>
      <c r="BU60" s="24"/>
      <c r="BV60" s="24"/>
      <c r="BW60" s="24"/>
      <c r="BX60" s="24"/>
      <c r="BY60" s="24"/>
      <c r="BZ60" s="24"/>
      <c r="CB60" s="24"/>
      <c r="CC60" s="24"/>
      <c r="CD60" s="24"/>
      <c r="CE60" s="24"/>
      <c r="CF60" s="24"/>
      <c r="CG60" s="24"/>
    </row>
    <row r="61" spans="1:85" ht="14" customHeight="1">
      <c r="A61" s="84" t="str">
        <f>IF('Q2'!A61=0,"",'Q2'!A61)</f>
        <v/>
      </c>
      <c r="B61" s="103">
        <f>IF([1]Summ!$J1096="",0,[1]Summ!$J1096)</f>
        <v>0</v>
      </c>
      <c r="C61" s="103">
        <f>IF([1]Summ!$K1096="",0,[1]Summ!$K1096)</f>
        <v>0</v>
      </c>
      <c r="D61" s="37">
        <f t="shared" si="25"/>
        <v>0</v>
      </c>
      <c r="E61" s="74">
        <f>'Q3'!E61</f>
        <v>1</v>
      </c>
      <c r="F61" s="74">
        <f>'Q3'!F61</f>
        <v>1</v>
      </c>
      <c r="G61" s="21">
        <f t="shared" si="32"/>
        <v>1.65</v>
      </c>
      <c r="H61" s="23">
        <f t="shared" si="41"/>
        <v>1</v>
      </c>
      <c r="I61" s="38">
        <f t="shared" si="42"/>
        <v>0</v>
      </c>
      <c r="J61" s="37">
        <f t="shared" si="33"/>
        <v>0</v>
      </c>
      <c r="K61" s="39">
        <f t="shared" si="43"/>
        <v>0</v>
      </c>
      <c r="L61" s="21">
        <f t="shared" si="44"/>
        <v>0</v>
      </c>
      <c r="M61" s="23">
        <f t="shared" si="45"/>
        <v>0</v>
      </c>
      <c r="N61" s="2"/>
      <c r="O61" s="2"/>
      <c r="P61" s="2"/>
      <c r="Q61" s="2"/>
      <c r="R61" s="2"/>
      <c r="S61" s="2"/>
      <c r="T61" s="2"/>
      <c r="U61" s="55"/>
      <c r="V61" s="55"/>
      <c r="W61" s="109"/>
      <c r="X61" s="117"/>
      <c r="Y61" s="109"/>
      <c r="Z61" s="155">
        <f>'Q2'!Z61</f>
        <v>0.25</v>
      </c>
      <c r="AA61" s="146">
        <f t="shared" si="38"/>
        <v>0</v>
      </c>
      <c r="AB61" s="155">
        <f>'Q2'!AB61</f>
        <v>0.25</v>
      </c>
      <c r="AC61" s="146">
        <f t="shared" si="39"/>
        <v>0</v>
      </c>
      <c r="AD61" s="155">
        <f>'Q2'!AD61</f>
        <v>0.25</v>
      </c>
      <c r="AE61" s="146">
        <f t="shared" si="40"/>
        <v>0</v>
      </c>
      <c r="AF61" s="121">
        <f t="shared" si="31"/>
        <v>0.25</v>
      </c>
      <c r="AG61" s="146">
        <f t="shared" si="34"/>
        <v>0</v>
      </c>
      <c r="AH61" s="122">
        <f t="shared" si="46"/>
        <v>1</v>
      </c>
      <c r="AI61" s="111">
        <f t="shared" si="46"/>
        <v>0</v>
      </c>
      <c r="AJ61" s="147">
        <f t="shared" si="36"/>
        <v>0</v>
      </c>
      <c r="AK61" s="146">
        <f t="shared" si="37"/>
        <v>0</v>
      </c>
      <c r="AP61" s="24"/>
      <c r="AQ61" s="24"/>
      <c r="AR61" s="24"/>
      <c r="AS61" s="24"/>
      <c r="AT61" s="24"/>
      <c r="AU61" s="24"/>
      <c r="AW61" s="24"/>
      <c r="AX61" s="24"/>
      <c r="AY61" s="24"/>
      <c r="AZ61" s="24"/>
      <c r="BA61" s="24"/>
      <c r="BB61" s="24"/>
      <c r="BF61" s="24"/>
      <c r="BG61" s="24"/>
      <c r="BH61" s="24"/>
      <c r="BI61" s="24"/>
      <c r="BJ61" s="24"/>
      <c r="BK61" s="24"/>
      <c r="BM61" s="24"/>
      <c r="BN61" s="24"/>
      <c r="BO61" s="24"/>
      <c r="BP61" s="24"/>
      <c r="BQ61" s="24"/>
      <c r="BR61" s="24"/>
      <c r="BU61" s="24"/>
      <c r="BV61" s="24"/>
      <c r="BW61" s="24"/>
      <c r="BX61" s="24"/>
      <c r="BY61" s="24"/>
      <c r="BZ61" s="24"/>
      <c r="CB61" s="24"/>
      <c r="CC61" s="24"/>
      <c r="CD61" s="24"/>
      <c r="CE61" s="24"/>
      <c r="CF61" s="24"/>
      <c r="CG61" s="24"/>
    </row>
    <row r="62" spans="1:85" ht="14" customHeight="1">
      <c r="A62" s="84" t="str">
        <f>IF('Q2'!A62=0,"",'Q2'!A62)</f>
        <v/>
      </c>
      <c r="B62" s="103">
        <f>IF([1]Summ!$J1097="",0,[1]Summ!$J1097)</f>
        <v>0</v>
      </c>
      <c r="C62" s="103">
        <f>IF([1]Summ!$K1097="",0,[1]Summ!$K1097)</f>
        <v>0</v>
      </c>
      <c r="D62" s="37">
        <f t="shared" si="25"/>
        <v>0</v>
      </c>
      <c r="E62" s="74">
        <f>'Q3'!E62</f>
        <v>1</v>
      </c>
      <c r="F62" s="74">
        <f>'Q3'!F62</f>
        <v>1</v>
      </c>
      <c r="G62" s="21">
        <f t="shared" si="32"/>
        <v>1.65</v>
      </c>
      <c r="H62" s="23">
        <f t="shared" si="41"/>
        <v>1</v>
      </c>
      <c r="I62" s="38">
        <f t="shared" si="42"/>
        <v>0</v>
      </c>
      <c r="J62" s="37">
        <f t="shared" si="33"/>
        <v>0</v>
      </c>
      <c r="K62" s="39">
        <f t="shared" si="43"/>
        <v>0</v>
      </c>
      <c r="L62" s="21">
        <f t="shared" si="44"/>
        <v>0</v>
      </c>
      <c r="M62" s="23">
        <f t="shared" si="45"/>
        <v>0</v>
      </c>
      <c r="N62" s="2"/>
      <c r="O62" s="2"/>
      <c r="P62" s="2"/>
      <c r="Q62" s="2"/>
      <c r="R62" s="2"/>
      <c r="S62" s="2"/>
      <c r="T62" s="2"/>
      <c r="U62" s="55"/>
      <c r="V62" s="55"/>
      <c r="W62" s="109"/>
      <c r="X62" s="117"/>
      <c r="Y62" s="109"/>
      <c r="Z62" s="155">
        <f>'Q2'!Z62</f>
        <v>0.25</v>
      </c>
      <c r="AA62" s="146">
        <f t="shared" si="38"/>
        <v>0</v>
      </c>
      <c r="AB62" s="155">
        <f>'Q2'!AB62</f>
        <v>0.25</v>
      </c>
      <c r="AC62" s="146">
        <f t="shared" si="39"/>
        <v>0</v>
      </c>
      <c r="AD62" s="155">
        <f>'Q2'!AD62</f>
        <v>0.25</v>
      </c>
      <c r="AE62" s="146">
        <f t="shared" si="40"/>
        <v>0</v>
      </c>
      <c r="AF62" s="121">
        <f t="shared" si="31"/>
        <v>0.25</v>
      </c>
      <c r="AG62" s="146">
        <f t="shared" si="34"/>
        <v>0</v>
      </c>
      <c r="AH62" s="122">
        <f t="shared" si="46"/>
        <v>1</v>
      </c>
      <c r="AI62" s="111">
        <f t="shared" si="46"/>
        <v>0</v>
      </c>
      <c r="AJ62" s="147">
        <f t="shared" si="36"/>
        <v>0</v>
      </c>
      <c r="AK62" s="146">
        <f t="shared" si="37"/>
        <v>0</v>
      </c>
      <c r="AP62" s="24"/>
      <c r="AQ62" s="24"/>
      <c r="AR62" s="24"/>
      <c r="AS62" s="24"/>
      <c r="AT62" s="24"/>
      <c r="AU62" s="24"/>
      <c r="AW62" s="24"/>
      <c r="AX62" s="24"/>
      <c r="AY62" s="24"/>
      <c r="AZ62" s="24"/>
      <c r="BA62" s="24"/>
      <c r="BB62" s="24"/>
      <c r="BF62" s="24"/>
      <c r="BG62" s="24"/>
      <c r="BH62" s="24"/>
      <c r="BI62" s="24"/>
      <c r="BJ62" s="24"/>
      <c r="BK62" s="24"/>
      <c r="BM62" s="24"/>
      <c r="BN62" s="24"/>
      <c r="BO62" s="24"/>
      <c r="BP62" s="24"/>
      <c r="BQ62" s="24"/>
      <c r="BR62" s="24"/>
      <c r="BU62" s="24"/>
      <c r="BV62" s="24"/>
      <c r="BW62" s="24"/>
      <c r="BX62" s="24"/>
      <c r="BY62" s="24"/>
      <c r="BZ62" s="24"/>
      <c r="CB62" s="24"/>
      <c r="CC62" s="24"/>
      <c r="CD62" s="24"/>
      <c r="CE62" s="24"/>
      <c r="CF62" s="24"/>
      <c r="CG62" s="24"/>
    </row>
    <row r="63" spans="1:85" ht="14" customHeight="1">
      <c r="A63" s="84" t="str">
        <f>IF('Q2'!A63=0,"",'Q2'!A63)</f>
        <v/>
      </c>
      <c r="B63" s="103">
        <f>IF([1]Summ!$J1098="",0,[1]Summ!$J1098)</f>
        <v>0</v>
      </c>
      <c r="C63" s="103">
        <f>IF([1]Summ!$K1098="",0,[1]Summ!$K1098)</f>
        <v>0</v>
      </c>
      <c r="D63" s="37">
        <f t="shared" si="25"/>
        <v>0</v>
      </c>
      <c r="E63" s="74">
        <f>'Q3'!E63</f>
        <v>1</v>
      </c>
      <c r="F63" s="74">
        <f>'Q3'!F63</f>
        <v>1</v>
      </c>
      <c r="G63" s="21">
        <f t="shared" si="32"/>
        <v>1.65</v>
      </c>
      <c r="H63" s="23">
        <f t="shared" si="41"/>
        <v>1</v>
      </c>
      <c r="I63" s="38">
        <f t="shared" si="42"/>
        <v>0</v>
      </c>
      <c r="J63" s="37">
        <f t="shared" si="33"/>
        <v>0</v>
      </c>
      <c r="K63" s="39">
        <f t="shared" si="43"/>
        <v>0</v>
      </c>
      <c r="L63" s="21">
        <f t="shared" si="44"/>
        <v>0</v>
      </c>
      <c r="M63" s="23">
        <f t="shared" si="45"/>
        <v>0</v>
      </c>
      <c r="N63" s="2"/>
      <c r="O63" s="2"/>
      <c r="P63" s="2"/>
      <c r="Q63" s="2"/>
      <c r="R63" s="2"/>
      <c r="S63" s="2"/>
      <c r="T63" s="2"/>
      <c r="U63" s="55"/>
      <c r="V63" s="55"/>
      <c r="W63" s="109"/>
      <c r="X63" s="117"/>
      <c r="Y63" s="109"/>
      <c r="Z63" s="155">
        <f>'Q2'!Z63</f>
        <v>0.25</v>
      </c>
      <c r="AA63" s="146">
        <f t="shared" si="38"/>
        <v>0</v>
      </c>
      <c r="AB63" s="155">
        <f>'Q2'!AB63</f>
        <v>0.25</v>
      </c>
      <c r="AC63" s="146">
        <f t="shared" si="39"/>
        <v>0</v>
      </c>
      <c r="AD63" s="155">
        <f>'Q2'!AD63</f>
        <v>0.25</v>
      </c>
      <c r="AE63" s="146">
        <f t="shared" si="40"/>
        <v>0</v>
      </c>
      <c r="AF63" s="121">
        <f t="shared" si="31"/>
        <v>0.25</v>
      </c>
      <c r="AG63" s="146">
        <f t="shared" si="34"/>
        <v>0</v>
      </c>
      <c r="AH63" s="122">
        <f t="shared" si="46"/>
        <v>1</v>
      </c>
      <c r="AI63" s="111">
        <f t="shared" si="46"/>
        <v>0</v>
      </c>
      <c r="AJ63" s="147">
        <f t="shared" si="36"/>
        <v>0</v>
      </c>
      <c r="AK63" s="146">
        <f t="shared" si="37"/>
        <v>0</v>
      </c>
      <c r="AP63" s="24"/>
      <c r="AQ63" s="24"/>
      <c r="AR63" s="24"/>
      <c r="AS63" s="24"/>
      <c r="AT63" s="24"/>
      <c r="AU63" s="24"/>
      <c r="AW63" s="24"/>
      <c r="AX63" s="24"/>
      <c r="AY63" s="24"/>
      <c r="AZ63" s="24"/>
      <c r="BA63" s="24"/>
      <c r="BB63" s="24"/>
      <c r="BF63" s="24"/>
      <c r="BG63" s="24"/>
      <c r="BH63" s="24"/>
      <c r="BI63" s="24"/>
      <c r="BJ63" s="24"/>
      <c r="BK63" s="24"/>
      <c r="BM63" s="24"/>
      <c r="BN63" s="24"/>
      <c r="BO63" s="24"/>
      <c r="BP63" s="24"/>
      <c r="BQ63" s="24"/>
      <c r="BR63" s="24"/>
      <c r="BU63" s="24"/>
      <c r="BV63" s="24"/>
      <c r="BW63" s="24"/>
      <c r="BX63" s="24"/>
      <c r="BY63" s="24"/>
      <c r="BZ63" s="24"/>
      <c r="CB63" s="24"/>
      <c r="CC63" s="24"/>
      <c r="CD63" s="24"/>
      <c r="CE63" s="24"/>
      <c r="CF63" s="24"/>
      <c r="CG63" s="24"/>
    </row>
    <row r="64" spans="1:85" ht="14" customHeight="1">
      <c r="A64" s="84" t="str">
        <f>IF('Q2'!A64=0,"",'Q2'!A64)</f>
        <v/>
      </c>
      <c r="B64" s="103">
        <f>IF([1]Summ!$J1099="",0,[1]Summ!$J1099)</f>
        <v>0</v>
      </c>
      <c r="C64" s="103">
        <f>IF([1]Summ!$K1099="",0,[1]Summ!$K1099)</f>
        <v>0</v>
      </c>
      <c r="D64" s="37">
        <f t="shared" si="25"/>
        <v>0</v>
      </c>
      <c r="E64" s="74">
        <f>'Q3'!E64</f>
        <v>1</v>
      </c>
      <c r="F64" s="74">
        <f>'Q3'!F64</f>
        <v>1</v>
      </c>
      <c r="G64" s="21">
        <f t="shared" si="32"/>
        <v>1.65</v>
      </c>
      <c r="H64" s="23">
        <f t="shared" si="41"/>
        <v>1</v>
      </c>
      <c r="I64" s="38">
        <f t="shared" si="42"/>
        <v>0</v>
      </c>
      <c r="J64" s="37">
        <f t="shared" si="33"/>
        <v>0</v>
      </c>
      <c r="K64" s="39">
        <f t="shared" si="43"/>
        <v>0</v>
      </c>
      <c r="L64" s="21">
        <f t="shared" si="44"/>
        <v>0</v>
      </c>
      <c r="M64" s="23">
        <f t="shared" si="45"/>
        <v>0</v>
      </c>
      <c r="N64" s="2"/>
      <c r="O64" s="2"/>
      <c r="P64" s="2"/>
      <c r="Q64" s="2"/>
      <c r="R64" s="2"/>
      <c r="S64" s="2"/>
      <c r="T64" s="2"/>
      <c r="U64" s="55"/>
      <c r="V64" s="55"/>
      <c r="W64" s="109"/>
      <c r="X64" s="117"/>
      <c r="Y64" s="109"/>
      <c r="Z64" s="155">
        <f>'Q2'!Z64</f>
        <v>0.25</v>
      </c>
      <c r="AA64" s="148">
        <f t="shared" si="38"/>
        <v>0</v>
      </c>
      <c r="AB64" s="155">
        <f>'Q2'!AB64</f>
        <v>0.25</v>
      </c>
      <c r="AC64" s="148">
        <f t="shared" si="39"/>
        <v>0</v>
      </c>
      <c r="AD64" s="155">
        <f>'Q2'!AD64</f>
        <v>0.25</v>
      </c>
      <c r="AE64" s="148">
        <f t="shared" si="40"/>
        <v>0</v>
      </c>
      <c r="AF64" s="149">
        <f t="shared" si="31"/>
        <v>0.25</v>
      </c>
      <c r="AG64" s="148">
        <f t="shared" si="34"/>
        <v>0</v>
      </c>
      <c r="AH64" s="122">
        <f t="shared" si="46"/>
        <v>1</v>
      </c>
      <c r="AI64" s="111">
        <f t="shared" si="46"/>
        <v>0</v>
      </c>
      <c r="AJ64" s="150">
        <f t="shared" si="36"/>
        <v>0</v>
      </c>
      <c r="AK64" s="148">
        <f t="shared" si="37"/>
        <v>0</v>
      </c>
      <c r="AP64" s="24"/>
      <c r="AQ64" s="24"/>
      <c r="AR64" s="24"/>
      <c r="AS64" s="24"/>
      <c r="AT64" s="24"/>
      <c r="AU64" s="24"/>
      <c r="AW64" s="24"/>
      <c r="AX64" s="24"/>
      <c r="AY64" s="24"/>
      <c r="AZ64" s="24"/>
      <c r="BA64" s="24"/>
      <c r="BB64" s="24"/>
      <c r="BF64" s="24"/>
      <c r="BG64" s="24"/>
      <c r="BH64" s="24"/>
      <c r="BI64" s="24"/>
      <c r="BJ64" s="24"/>
      <c r="BK64" s="24"/>
      <c r="BM64" s="24"/>
      <c r="BN64" s="24"/>
      <c r="BO64" s="24"/>
      <c r="BP64" s="24"/>
      <c r="BQ64" s="24"/>
      <c r="BR64" s="24"/>
      <c r="BU64" s="24"/>
      <c r="BV64" s="24"/>
      <c r="BW64" s="24"/>
      <c r="BX64" s="24"/>
      <c r="BY64" s="24"/>
      <c r="BZ64" s="24"/>
      <c r="CB64" s="24"/>
      <c r="CC64" s="24"/>
      <c r="CD64" s="24"/>
      <c r="CE64" s="24"/>
      <c r="CF64" s="24"/>
      <c r="CG64" s="24"/>
    </row>
    <row r="65" spans="1:88" ht="14" customHeight="1">
      <c r="A65" s="38" t="s">
        <v>30</v>
      </c>
      <c r="B65" s="38">
        <f>SUM(B37:B64)</f>
        <v>61344</v>
      </c>
      <c r="C65" s="38">
        <f>SUM(C37:C64)</f>
        <v>1900.7999999999993</v>
      </c>
      <c r="D65" s="41">
        <f>SUM(D37:D64)</f>
        <v>63244.800000000003</v>
      </c>
      <c r="E65" s="31"/>
      <c r="F65" s="31"/>
      <c r="G65" s="31"/>
      <c r="H65" s="30"/>
      <c r="I65" s="38">
        <f>SUM(I37:I64)</f>
        <v>59471.400000000009</v>
      </c>
      <c r="J65" s="38">
        <f>SUM(J37:J64)</f>
        <v>57544.343126520325</v>
      </c>
      <c r="K65" s="39">
        <f>SUM(K37:K64)</f>
        <v>1.0000000000000002</v>
      </c>
      <c r="L65" s="21">
        <f>SUM(L37:L64)</f>
        <v>0.93848787167449144</v>
      </c>
      <c r="M65" s="23">
        <f>SUM(M37:M64)</f>
        <v>0.93805984491588956</v>
      </c>
      <c r="N65" s="2"/>
      <c r="O65" s="2"/>
      <c r="P65" s="2"/>
      <c r="Q65" s="2"/>
      <c r="R65" s="2"/>
      <c r="S65" s="2"/>
      <c r="T65" s="2"/>
      <c r="U65" s="55"/>
      <c r="V65" s="55"/>
      <c r="W65" s="109"/>
      <c r="X65" s="151"/>
      <c r="Y65" s="109"/>
      <c r="Z65" s="136"/>
      <c r="AA65" s="152" t="e">
        <f>SUM(AA37:AA64)</f>
        <v>#DIV/0!</v>
      </c>
      <c r="AB65" s="136"/>
      <c r="AC65" s="152" t="e">
        <f>SUM(AC37:AC64)</f>
        <v>#DIV/0!</v>
      </c>
      <c r="AD65" s="136"/>
      <c r="AE65" s="152" t="e">
        <f>SUM(AE37:AE64)</f>
        <v>#DIV/0!</v>
      </c>
      <c r="AF65" s="136"/>
      <c r="AG65" s="152" t="e">
        <f>SUM(AG37:AG64)</f>
        <v>#DIV/0!</v>
      </c>
      <c r="AH65" s="136"/>
      <c r="AI65" s="152" t="e">
        <f>SUM(AI37:AI64)</f>
        <v>#DIV/0!</v>
      </c>
      <c r="AJ65" s="152" t="e">
        <f>SUM(AJ37:AJ64)</f>
        <v>#DIV/0!</v>
      </c>
      <c r="AK65" s="152" t="e">
        <f>SUM(AK37:AK64)</f>
        <v>#DIV/0!</v>
      </c>
      <c r="AP65" s="24"/>
      <c r="AQ65" s="24"/>
      <c r="AR65" s="24"/>
      <c r="AS65" s="24"/>
      <c r="AT65" s="24"/>
      <c r="AU65" s="24"/>
      <c r="AW65" s="24"/>
      <c r="AX65" s="24"/>
      <c r="AY65" s="24"/>
      <c r="AZ65" s="24"/>
      <c r="BA65" s="24"/>
      <c r="BB65" s="24"/>
      <c r="BF65" s="24"/>
      <c r="BG65" s="24"/>
      <c r="BH65" s="24"/>
      <c r="BI65" s="24"/>
      <c r="BJ65" s="24"/>
      <c r="BK65" s="24"/>
      <c r="BM65" s="24"/>
      <c r="BN65" s="24"/>
      <c r="BO65" s="24"/>
      <c r="BP65" s="24"/>
      <c r="BQ65" s="24"/>
      <c r="BR65" s="24"/>
      <c r="BU65" s="24"/>
      <c r="BV65" s="24"/>
      <c r="BW65" s="24"/>
      <c r="BX65" s="24"/>
      <c r="BY65" s="24"/>
      <c r="BZ65" s="24"/>
      <c r="CB65" s="24"/>
      <c r="CC65" s="24"/>
      <c r="CD65" s="24"/>
      <c r="CE65" s="24"/>
      <c r="CF65" s="24"/>
      <c r="CG65" s="24"/>
    </row>
    <row r="66" spans="1:88" ht="13.5" customHeight="1">
      <c r="A66" s="77"/>
      <c r="B66" s="77"/>
      <c r="C66" s="77"/>
      <c r="D66" s="43"/>
      <c r="E66" s="14"/>
      <c r="F66" s="14"/>
      <c r="G66" s="14"/>
      <c r="H66" s="43"/>
      <c r="I66" s="14"/>
      <c r="J66" s="43"/>
      <c r="K66" s="44"/>
      <c r="L66" s="11"/>
      <c r="M66" s="10"/>
      <c r="N66" s="2"/>
      <c r="O66" s="2"/>
      <c r="P66" s="2"/>
      <c r="Q66" s="2"/>
      <c r="R66" s="2"/>
      <c r="S66" s="2"/>
      <c r="T66" s="2"/>
      <c r="U66" s="55"/>
      <c r="V66" s="55"/>
      <c r="W66" s="109"/>
      <c r="X66" s="117"/>
      <c r="Y66" s="109"/>
      <c r="Z66" s="142"/>
      <c r="AA66" s="153"/>
      <c r="AB66" s="142"/>
      <c r="AC66" s="153"/>
      <c r="AD66" s="142"/>
      <c r="AE66" s="153"/>
      <c r="AF66" s="142"/>
      <c r="AG66" s="153"/>
      <c r="AH66" s="142"/>
      <c r="AI66" s="153"/>
      <c r="AJ66" s="142"/>
      <c r="AK66" s="143"/>
      <c r="AP66" s="24"/>
      <c r="AQ66" s="24"/>
      <c r="AR66" s="24"/>
      <c r="AS66" s="24"/>
      <c r="AT66" s="24"/>
      <c r="AU66" s="24"/>
      <c r="AW66" s="24"/>
      <c r="AX66" s="24"/>
      <c r="AY66" s="24"/>
      <c r="AZ66" s="24"/>
      <c r="BA66" s="24"/>
      <c r="BB66" s="24"/>
      <c r="BF66" s="24"/>
      <c r="BG66" s="24"/>
      <c r="BH66" s="24"/>
      <c r="BI66" s="24"/>
      <c r="BJ66" s="24"/>
      <c r="BK66" s="24"/>
      <c r="BM66" s="24"/>
      <c r="BN66" s="24"/>
      <c r="BO66" s="24"/>
      <c r="BP66" s="24"/>
      <c r="BQ66" s="24"/>
      <c r="BR66" s="24"/>
      <c r="BU66" s="24"/>
      <c r="BV66" s="24"/>
      <c r="BW66" s="24"/>
      <c r="BX66" s="24"/>
      <c r="BY66" s="24"/>
      <c r="BZ66" s="24"/>
      <c r="CB66" s="24"/>
      <c r="CC66" s="24"/>
      <c r="CD66" s="24"/>
      <c r="CE66" s="24"/>
      <c r="CF66" s="24"/>
      <c r="CG66" s="24"/>
    </row>
    <row r="67" spans="1:88" ht="15.75" customHeight="1">
      <c r="A67" s="72" t="s">
        <v>144</v>
      </c>
      <c r="B67" s="38"/>
      <c r="C67" s="38"/>
      <c r="D67" s="37"/>
      <c r="E67" s="31"/>
      <c r="F67" s="31"/>
      <c r="G67" s="31"/>
      <c r="H67" s="30"/>
      <c r="I67" s="46"/>
      <c r="J67" s="47"/>
      <c r="K67" s="33" t="s">
        <v>31</v>
      </c>
      <c r="L67" s="2"/>
      <c r="M67" s="30"/>
      <c r="N67" s="2"/>
      <c r="O67" s="2"/>
      <c r="P67" s="2"/>
      <c r="Q67" s="2"/>
      <c r="R67" s="2"/>
      <c r="S67" s="2"/>
      <c r="T67" s="2"/>
      <c r="U67" s="55"/>
      <c r="V67" s="55"/>
      <c r="W67" s="109"/>
      <c r="X67" s="117"/>
      <c r="Y67" s="109"/>
      <c r="Z67" s="144"/>
      <c r="AA67" s="146"/>
      <c r="AB67" s="144"/>
      <c r="AC67" s="146"/>
      <c r="AD67" s="144"/>
      <c r="AE67" s="146"/>
      <c r="AF67" s="144"/>
      <c r="AG67" s="146"/>
      <c r="AH67" s="144"/>
      <c r="AI67" s="146"/>
      <c r="AJ67" s="144"/>
      <c r="AK67" s="145"/>
      <c r="AP67" s="24"/>
      <c r="AQ67" s="24"/>
      <c r="AR67" s="24"/>
      <c r="AS67" s="24"/>
      <c r="AT67" s="24"/>
      <c r="AU67" s="24"/>
      <c r="AW67" s="24"/>
      <c r="AX67" s="24"/>
      <c r="AY67" s="24"/>
      <c r="AZ67" s="24"/>
      <c r="BA67" s="24"/>
      <c r="BB67" s="24"/>
      <c r="BF67" s="24"/>
      <c r="BG67" s="24"/>
      <c r="BH67" s="24"/>
      <c r="BI67" s="24"/>
      <c r="BJ67" s="24"/>
      <c r="BK67" s="24"/>
      <c r="BM67" s="24"/>
      <c r="BN67" s="24"/>
      <c r="BO67" s="24"/>
      <c r="BP67" s="24"/>
      <c r="BQ67" s="24"/>
      <c r="BR67" s="24"/>
      <c r="BU67" s="24"/>
      <c r="BV67" s="24"/>
      <c r="BW67" s="24"/>
      <c r="BX67" s="24"/>
      <c r="BY67" s="24"/>
      <c r="BZ67" s="24"/>
      <c r="CB67" s="24"/>
      <c r="CC67" s="24"/>
      <c r="CD67" s="24"/>
      <c r="CE67" s="24"/>
      <c r="CF67" s="24"/>
      <c r="CG67" s="24"/>
    </row>
    <row r="68" spans="1:88" ht="14" customHeight="1">
      <c r="A68" s="78"/>
      <c r="B68" s="79" t="s">
        <v>6</v>
      </c>
      <c r="C68" s="38"/>
      <c r="D68" s="49"/>
      <c r="E68" s="18" t="s">
        <v>9</v>
      </c>
      <c r="F68" s="2" t="s">
        <v>26</v>
      </c>
      <c r="G68" s="2"/>
      <c r="H68" s="15" t="s">
        <v>11</v>
      </c>
      <c r="I68" s="18" t="s">
        <v>12</v>
      </c>
      <c r="J68" s="15" t="s">
        <v>13</v>
      </c>
      <c r="K68" s="36" t="s">
        <v>6</v>
      </c>
      <c r="L68" s="18" t="s">
        <v>14</v>
      </c>
      <c r="M68" s="15" t="s">
        <v>13</v>
      </c>
      <c r="N68" s="2"/>
      <c r="O68" s="2"/>
      <c r="P68" s="2"/>
      <c r="Q68" s="2"/>
      <c r="R68" s="2"/>
      <c r="S68" s="2"/>
      <c r="T68" s="2"/>
      <c r="U68" s="55"/>
      <c r="V68" s="55"/>
      <c r="W68" s="111"/>
      <c r="X68" s="117"/>
      <c r="Y68" s="109"/>
      <c r="Z68" s="144"/>
      <c r="AA68" s="146"/>
      <c r="AB68" s="144"/>
      <c r="AC68" s="146"/>
      <c r="AD68" s="144"/>
      <c r="AE68" s="146"/>
      <c r="AF68" s="144"/>
      <c r="AG68" s="146"/>
      <c r="AH68" s="144"/>
      <c r="AI68" s="146"/>
      <c r="AJ68" s="144"/>
      <c r="AK68" s="145"/>
      <c r="AP68" s="24"/>
      <c r="AQ68" s="24"/>
      <c r="AR68" s="24"/>
      <c r="AS68" s="24"/>
      <c r="AT68" s="24"/>
      <c r="AU68" s="24"/>
      <c r="AW68" s="24"/>
      <c r="AX68" s="24"/>
      <c r="AY68" s="24"/>
      <c r="AZ68" s="24"/>
      <c r="BA68" s="24"/>
      <c r="BB68" s="24"/>
      <c r="BF68" s="24"/>
      <c r="BG68" s="24"/>
      <c r="BH68" s="24"/>
      <c r="BI68" s="24"/>
      <c r="BJ68" s="24"/>
      <c r="BK68" s="24"/>
      <c r="BM68" s="24"/>
      <c r="BN68" s="24"/>
      <c r="BO68" s="24"/>
      <c r="BP68" s="24"/>
      <c r="BQ68" s="24"/>
      <c r="BR68" s="24"/>
      <c r="BU68" s="24"/>
      <c r="BV68" s="24"/>
      <c r="BW68" s="24"/>
      <c r="BX68" s="24"/>
      <c r="BY68" s="24"/>
      <c r="BZ68" s="24"/>
      <c r="CB68" s="24"/>
      <c r="CC68" s="24"/>
      <c r="CD68" s="24"/>
      <c r="CE68" s="24"/>
      <c r="CF68" s="24"/>
      <c r="CG68" s="24"/>
    </row>
    <row r="69" spans="1:88" ht="14" customHeight="1">
      <c r="A69" s="38" t="s">
        <v>28</v>
      </c>
      <c r="B69" s="79" t="s">
        <v>32</v>
      </c>
      <c r="C69" s="38"/>
      <c r="D69" s="37"/>
      <c r="E69" s="18" t="s">
        <v>17</v>
      </c>
      <c r="F69" s="2" t="s">
        <v>29</v>
      </c>
      <c r="G69" s="2"/>
      <c r="H69" s="15" t="s">
        <v>17</v>
      </c>
      <c r="I69" s="18" t="s">
        <v>32</v>
      </c>
      <c r="J69" s="15" t="s">
        <v>32</v>
      </c>
      <c r="K69" s="36" t="s">
        <v>32</v>
      </c>
      <c r="L69" s="18" t="s">
        <v>18</v>
      </c>
      <c r="M69" s="15" t="s">
        <v>32</v>
      </c>
      <c r="N69" s="2"/>
      <c r="O69" s="2"/>
      <c r="P69" s="2"/>
      <c r="Q69" s="2"/>
      <c r="R69" s="2"/>
      <c r="S69" s="2"/>
      <c r="T69" s="2"/>
      <c r="U69" s="55"/>
      <c r="V69" s="55"/>
      <c r="W69" s="109"/>
      <c r="X69" s="117"/>
      <c r="Y69" s="109"/>
      <c r="Z69" s="144"/>
      <c r="AA69" s="146"/>
      <c r="AB69" s="144"/>
      <c r="AC69" s="146"/>
      <c r="AD69" s="144"/>
      <c r="AE69" s="146"/>
      <c r="AF69" s="144"/>
      <c r="AG69" s="146"/>
      <c r="AH69" s="144"/>
      <c r="AI69" s="146"/>
      <c r="AJ69" s="144"/>
      <c r="AK69" s="145"/>
      <c r="AP69" s="24"/>
      <c r="AQ69" s="24"/>
      <c r="AR69" s="24"/>
      <c r="AS69" s="24"/>
      <c r="AT69" s="24"/>
      <c r="AU69" s="24"/>
      <c r="AW69" s="24"/>
      <c r="AX69" s="24"/>
      <c r="AY69" s="24"/>
      <c r="AZ69" s="24"/>
      <c r="BA69" s="24"/>
      <c r="BB69" s="24"/>
      <c r="BF69" s="24"/>
      <c r="BG69" s="24"/>
      <c r="BH69" s="24"/>
      <c r="BI69" s="24"/>
      <c r="BJ69" s="24"/>
      <c r="BK69" s="24"/>
      <c r="BM69" s="24"/>
      <c r="BN69" s="24"/>
      <c r="BO69" s="24"/>
      <c r="BP69" s="24"/>
      <c r="BQ69" s="24"/>
      <c r="BR69" s="24"/>
      <c r="BU69" s="24"/>
      <c r="BV69" s="24"/>
      <c r="BW69" s="24"/>
      <c r="BX69" s="24"/>
      <c r="BY69" s="24"/>
      <c r="BZ69" s="24"/>
      <c r="CB69" s="24"/>
      <c r="CC69" s="24"/>
      <c r="CD69" s="24"/>
      <c r="CE69" s="24"/>
      <c r="CF69" s="24"/>
      <c r="CG69" s="24"/>
    </row>
    <row r="70" spans="1:88" ht="14" customHeight="1">
      <c r="A70" s="109" t="s">
        <v>111</v>
      </c>
      <c r="B70" s="103">
        <f>[1]Summ!$J1031</f>
        <v>7481.7445312178415</v>
      </c>
      <c r="C70" s="38"/>
      <c r="D70" s="37"/>
      <c r="E70" s="74">
        <f>'Q3'!E70</f>
        <v>1</v>
      </c>
      <c r="F70" s="74">
        <f>'Q3'!F70</f>
        <v>1.4</v>
      </c>
      <c r="G70" s="21"/>
      <c r="H70" s="23">
        <f>(E70*F70)</f>
        <v>1.4</v>
      </c>
      <c r="I70" s="38">
        <f>I124*I$83</f>
        <v>10474.442343704977</v>
      </c>
      <c r="J70" s="50">
        <f>J124*I$83</f>
        <v>10474.442343704977</v>
      </c>
      <c r="K70" s="39">
        <f>B70/B$76</f>
        <v>0.12196375409523086</v>
      </c>
      <c r="L70" s="21">
        <f>(L124*G$37*F$9/F$7)/B$130</f>
        <v>0.17074925573332317</v>
      </c>
      <c r="M70" s="23">
        <f>J70/B$76</f>
        <v>0.17074925573332317</v>
      </c>
      <c r="N70" s="2"/>
      <c r="O70" s="2"/>
      <c r="P70" s="2"/>
      <c r="Q70" s="2"/>
      <c r="R70" s="2"/>
      <c r="S70" s="2"/>
      <c r="T70" s="2"/>
      <c r="U70" s="55"/>
      <c r="V70" s="55"/>
      <c r="W70" s="109"/>
      <c r="X70" s="117"/>
      <c r="Y70" s="109"/>
      <c r="Z70" s="155">
        <f>'Q2'!Z70</f>
        <v>0.25</v>
      </c>
      <c r="AA70" s="146">
        <f>$J70*Z70</f>
        <v>2618.6105859262443</v>
      </c>
      <c r="AB70" s="155">
        <f>'Q2'!AB70</f>
        <v>0.25</v>
      </c>
      <c r="AC70" s="146">
        <f>$J70*AB70</f>
        <v>2618.6105859262443</v>
      </c>
      <c r="AD70" s="155">
        <f>'Q2'!AD70</f>
        <v>0.25</v>
      </c>
      <c r="AE70" s="146">
        <f>$J70*AD70</f>
        <v>2618.6105859262443</v>
      </c>
      <c r="AF70" s="155">
        <f>'Q2'!AF70</f>
        <v>0.25</v>
      </c>
      <c r="AG70" s="146">
        <f>$J70*AF70</f>
        <v>2618.6105859262443</v>
      </c>
      <c r="AH70" s="154">
        <f>SUM(Z70,AB70,AD70,AF70)</f>
        <v>1</v>
      </c>
      <c r="AI70" s="146">
        <f>SUM(AA70,AC70,AE70,AG70)</f>
        <v>10474.442343704977</v>
      </c>
      <c r="AJ70" s="147">
        <f>(AA70+AC70)</f>
        <v>5237.2211718524886</v>
      </c>
      <c r="AK70" s="146">
        <f>(AE70+AG70)</f>
        <v>5237.2211718524886</v>
      </c>
      <c r="AP70" s="24"/>
      <c r="AQ70" s="24"/>
      <c r="AR70" s="24"/>
      <c r="AS70" s="24"/>
      <c r="AT70" s="24"/>
      <c r="AU70" s="24"/>
      <c r="AW70" s="24"/>
      <c r="AX70" s="24"/>
      <c r="AY70" s="24"/>
      <c r="AZ70" s="24"/>
      <c r="BA70" s="24"/>
      <c r="BB70" s="24"/>
      <c r="BF70" s="24"/>
      <c r="BG70" s="24"/>
      <c r="BH70" s="24"/>
      <c r="BI70" s="24"/>
      <c r="BJ70" s="24"/>
      <c r="BK70" s="24"/>
      <c r="BM70" s="24"/>
      <c r="BN70" s="24"/>
      <c r="BO70" s="24"/>
      <c r="BP70" s="24"/>
      <c r="BQ70" s="24"/>
      <c r="BR70" s="24"/>
      <c r="BU70" s="24"/>
      <c r="BV70" s="24"/>
      <c r="BW70" s="24"/>
      <c r="BX70" s="24"/>
      <c r="BY70" s="24"/>
      <c r="BZ70" s="24"/>
      <c r="CB70" s="24"/>
      <c r="CC70" s="24"/>
      <c r="CD70" s="24"/>
      <c r="CE70" s="24"/>
      <c r="CF70" s="24"/>
      <c r="CG70" s="24"/>
    </row>
    <row r="71" spans="1:88" ht="14" customHeight="1">
      <c r="A71" s="109" t="s">
        <v>112</v>
      </c>
      <c r="B71" s="103">
        <f>[1]Summ!$J1032</f>
        <v>7789.3333333333339</v>
      </c>
      <c r="C71" s="38"/>
      <c r="D71" s="37"/>
      <c r="E71" s="74">
        <f>'Q3'!E71</f>
        <v>1</v>
      </c>
      <c r="F71" s="74">
        <f>'Q3'!F71</f>
        <v>1.18</v>
      </c>
      <c r="G71" s="21"/>
      <c r="H71" s="23">
        <f t="shared" ref="H71:H72" si="47">(E71*F71)</f>
        <v>1.18</v>
      </c>
      <c r="I71" s="38">
        <f t="shared" ref="I71:I72" si="48">I125*I$83</f>
        <v>9191.4133333333339</v>
      </c>
      <c r="J71" s="50">
        <f t="shared" ref="J71:J72" si="49">J125*I$83</f>
        <v>9191.4133333333339</v>
      </c>
      <c r="K71" s="39"/>
      <c r="L71" s="21"/>
      <c r="M71" s="23"/>
      <c r="N71" s="2"/>
      <c r="O71" s="2"/>
      <c r="P71" s="2"/>
      <c r="Q71" s="2"/>
      <c r="R71" s="2"/>
      <c r="S71" s="2"/>
      <c r="T71" s="2"/>
      <c r="U71" s="55"/>
      <c r="V71" s="55"/>
      <c r="W71" s="109"/>
      <c r="X71" s="117"/>
      <c r="Y71" s="109"/>
      <c r="Z71" s="155"/>
      <c r="AA71" s="146"/>
      <c r="AB71" s="155"/>
      <c r="AC71" s="146"/>
      <c r="AD71" s="155"/>
      <c r="AE71" s="146"/>
      <c r="AF71" s="155"/>
      <c r="AG71" s="146"/>
      <c r="AH71" s="154"/>
      <c r="AI71" s="146"/>
      <c r="AJ71" s="147"/>
      <c r="AK71" s="146"/>
      <c r="AP71" s="24"/>
      <c r="AQ71" s="24"/>
      <c r="AR71" s="24"/>
      <c r="AS71" s="24"/>
      <c r="AT71" s="24"/>
      <c r="AU71" s="24"/>
      <c r="AW71" s="24"/>
      <c r="AX71" s="24"/>
      <c r="AY71" s="24"/>
      <c r="AZ71" s="24"/>
      <c r="BA71" s="24"/>
      <c r="BB71" s="24"/>
      <c r="BF71" s="24"/>
      <c r="BG71" s="24"/>
      <c r="BH71" s="24"/>
      <c r="BI71" s="24"/>
      <c r="BJ71" s="24"/>
      <c r="BK71" s="24"/>
      <c r="BM71" s="24"/>
      <c r="BN71" s="24"/>
      <c r="BO71" s="24"/>
      <c r="BP71" s="24"/>
      <c r="BQ71" s="24"/>
      <c r="BR71" s="24"/>
      <c r="BU71" s="24"/>
      <c r="BV71" s="24"/>
      <c r="BW71" s="24"/>
      <c r="BX71" s="24"/>
      <c r="BY71" s="24"/>
      <c r="BZ71" s="24"/>
      <c r="CB71" s="24"/>
      <c r="CC71" s="24"/>
      <c r="CD71" s="24"/>
      <c r="CE71" s="24"/>
      <c r="CF71" s="24"/>
      <c r="CG71" s="24"/>
    </row>
    <row r="72" spans="1:88" ht="14" customHeight="1">
      <c r="A72" s="109" t="s">
        <v>113</v>
      </c>
      <c r="B72" s="103">
        <f>[1]Summ!$J1033</f>
        <v>13872</v>
      </c>
      <c r="C72" s="38"/>
      <c r="D72" s="37"/>
      <c r="E72" s="74">
        <f>'Q3'!E72</f>
        <v>1</v>
      </c>
      <c r="F72" s="74">
        <f>'Q3'!F72</f>
        <v>1.18</v>
      </c>
      <c r="G72" s="21"/>
      <c r="H72" s="23">
        <f t="shared" si="47"/>
        <v>1.18</v>
      </c>
      <c r="I72" s="38">
        <f t="shared" si="48"/>
        <v>0</v>
      </c>
      <c r="J72" s="50">
        <f t="shared" si="49"/>
        <v>16368.960000000001</v>
      </c>
      <c r="K72" s="39"/>
      <c r="L72" s="21"/>
      <c r="M72" s="23"/>
      <c r="N72" s="2"/>
      <c r="O72" s="2"/>
      <c r="P72" s="2"/>
      <c r="Q72" s="2"/>
      <c r="R72" s="2"/>
      <c r="S72" s="2"/>
      <c r="T72" s="2"/>
      <c r="U72" s="55"/>
      <c r="V72" s="55"/>
      <c r="W72" s="109"/>
      <c r="X72" s="117"/>
      <c r="Y72" s="109"/>
      <c r="Z72" s="155"/>
      <c r="AA72" s="146"/>
      <c r="AB72" s="155"/>
      <c r="AC72" s="146"/>
      <c r="AD72" s="155"/>
      <c r="AE72" s="146"/>
      <c r="AF72" s="155"/>
      <c r="AG72" s="146"/>
      <c r="AH72" s="154"/>
      <c r="AI72" s="146"/>
      <c r="AJ72" s="147"/>
      <c r="AK72" s="146"/>
      <c r="AP72" s="24"/>
      <c r="AQ72" s="24"/>
      <c r="AR72" s="24"/>
      <c r="AS72" s="24"/>
      <c r="AT72" s="24"/>
      <c r="AU72" s="24"/>
      <c r="AW72" s="24"/>
      <c r="AX72" s="24"/>
      <c r="AY72" s="24"/>
      <c r="AZ72" s="24"/>
      <c r="BA72" s="24"/>
      <c r="BB72" s="24"/>
      <c r="BF72" s="24"/>
      <c r="BG72" s="24"/>
      <c r="BH72" s="24"/>
      <c r="BI72" s="24"/>
      <c r="BJ72" s="24"/>
      <c r="BK72" s="24"/>
      <c r="BM72" s="24"/>
      <c r="BN72" s="24"/>
      <c r="BO72" s="24"/>
      <c r="BP72" s="24"/>
      <c r="BQ72" s="24"/>
      <c r="BR72" s="24"/>
      <c r="BU72" s="24"/>
      <c r="BV72" s="24"/>
      <c r="BW72" s="24"/>
      <c r="BX72" s="24"/>
      <c r="BY72" s="24"/>
      <c r="BZ72" s="24"/>
      <c r="CB72" s="24"/>
      <c r="CC72" s="24"/>
      <c r="CD72" s="24"/>
      <c r="CE72" s="24"/>
      <c r="CF72" s="24"/>
      <c r="CG72" s="24"/>
    </row>
    <row r="73" spans="1:88" ht="13.5" customHeight="1">
      <c r="A73" s="109" t="s">
        <v>114</v>
      </c>
      <c r="B73" s="103">
        <f>[1]Summ!$J1034</f>
        <v>3016</v>
      </c>
      <c r="C73" s="38"/>
      <c r="D73" s="37"/>
      <c r="E73" s="74">
        <f>'Q3'!E73</f>
        <v>1</v>
      </c>
      <c r="F73" s="74">
        <f>'Q3'!F73</f>
        <v>1.18</v>
      </c>
      <c r="G73" s="21"/>
      <c r="H73" s="23">
        <f>(E73*F73)</f>
        <v>1.18</v>
      </c>
      <c r="I73" s="38">
        <f>I127*I$83</f>
        <v>0</v>
      </c>
      <c r="J73" s="50">
        <f>J127*I$83</f>
        <v>3558.8799999999997</v>
      </c>
      <c r="K73" s="39">
        <f>B73/B$76</f>
        <v>4.9165362545644235E-2</v>
      </c>
      <c r="L73" s="21">
        <f>(L127*G$37*F$9/F$7)/B$130</f>
        <v>5.8015127803860193E-2</v>
      </c>
      <c r="M73" s="23">
        <f>J73/B$76</f>
        <v>5.8015127803860193E-2</v>
      </c>
      <c r="O73" s="2"/>
      <c r="P73" s="2"/>
      <c r="Q73" s="2"/>
      <c r="R73" s="2"/>
      <c r="S73" s="2"/>
      <c r="T73" s="2"/>
      <c r="U73" s="55"/>
      <c r="V73" s="55"/>
      <c r="W73" s="109"/>
      <c r="X73" s="117"/>
      <c r="Y73" s="109"/>
      <c r="Z73" s="155">
        <f>'Q2'!Z73</f>
        <v>0.09</v>
      </c>
      <c r="AA73" s="146">
        <f>$H$73*$B$73*Z73</f>
        <v>320.29919999999998</v>
      </c>
      <c r="AB73" s="155">
        <f>'Q2'!AB73</f>
        <v>0.09</v>
      </c>
      <c r="AC73" s="146">
        <f>$H$73*$B$73*AB73</f>
        <v>320.29919999999998</v>
      </c>
      <c r="AD73" s="155">
        <f>'Q2'!AD73</f>
        <v>0.23</v>
      </c>
      <c r="AE73" s="146">
        <f>$H$73*$B$73*AD73</f>
        <v>818.54239999999993</v>
      </c>
      <c r="AF73" s="155">
        <f>'Q2'!AF73</f>
        <v>0.59</v>
      </c>
      <c r="AG73" s="146">
        <f>$H$73*$B$73*AF73</f>
        <v>2099.7391999999995</v>
      </c>
      <c r="AH73" s="154">
        <f>SUM(Z73,AB73,AD73,AF73)</f>
        <v>1</v>
      </c>
      <c r="AI73" s="146">
        <f>SUM(AA73,AC73,AE73,AG73)</f>
        <v>3558.8799999999992</v>
      </c>
      <c r="AJ73" s="147">
        <f>(AA73+AC73)</f>
        <v>640.59839999999997</v>
      </c>
      <c r="AK73" s="146">
        <f>(AE73+AG73)</f>
        <v>2918.2815999999993</v>
      </c>
      <c r="AP73" s="24"/>
      <c r="AQ73" s="24"/>
      <c r="AR73" s="24"/>
      <c r="AS73" s="24"/>
      <c r="AT73" s="24"/>
      <c r="AU73" s="24"/>
      <c r="AW73" s="24"/>
      <c r="AX73" s="24"/>
      <c r="AY73" s="24"/>
      <c r="AZ73" s="24"/>
      <c r="BA73" s="24"/>
      <c r="BB73" s="24"/>
      <c r="BF73" s="24"/>
      <c r="BG73" s="24"/>
      <c r="BH73" s="24"/>
      <c r="BI73" s="24"/>
      <c r="BJ73" s="24"/>
      <c r="BK73" s="24"/>
      <c r="BM73" s="24"/>
      <c r="BN73" s="24"/>
      <c r="BO73" s="24"/>
      <c r="BP73" s="24"/>
      <c r="BQ73" s="24"/>
      <c r="BR73" s="24"/>
      <c r="BU73" s="24"/>
      <c r="BV73" s="24"/>
      <c r="BW73" s="24"/>
      <c r="BX73" s="24"/>
      <c r="BY73" s="24"/>
      <c r="BZ73" s="24"/>
      <c r="CB73" s="24"/>
      <c r="CC73" s="24"/>
      <c r="CD73" s="24"/>
      <c r="CE73" s="24"/>
      <c r="CF73" s="24"/>
      <c r="CG73" s="24"/>
    </row>
    <row r="74" spans="1:88" ht="14" customHeight="1">
      <c r="A74" s="1" t="s">
        <v>115</v>
      </c>
      <c r="B74" s="80">
        <f>B128*B83</f>
        <v>4242.033890011794</v>
      </c>
      <c r="C74" s="38"/>
      <c r="D74" s="37"/>
      <c r="E74" s="31"/>
      <c r="F74" s="31"/>
      <c r="G74" s="31"/>
      <c r="H74" s="30"/>
      <c r="I74" s="38">
        <f>I128*I$83</f>
        <v>48996.95765629501</v>
      </c>
      <c r="J74" s="50">
        <f>J128*I$83</f>
        <v>3132.729539403736</v>
      </c>
      <c r="K74" s="39">
        <f>B74/B$76</f>
        <v>6.915156967285789E-2</v>
      </c>
      <c r="L74" s="21">
        <f>(L128*G$37*F$9/F$7)/B$130</f>
        <v>6.0464850555334931E-2</v>
      </c>
      <c r="M74" s="23">
        <f>J74/B$76</f>
        <v>5.1068230624082812E-2</v>
      </c>
      <c r="O74" s="2"/>
      <c r="P74" s="2"/>
      <c r="Q74" s="2"/>
      <c r="R74" s="2"/>
      <c r="S74" s="2"/>
      <c r="T74" s="2"/>
      <c r="U74" s="55"/>
      <c r="V74" s="55"/>
      <c r="W74" s="109"/>
      <c r="X74" s="117"/>
      <c r="Y74" s="109"/>
      <c r="Z74" s="155"/>
      <c r="AA74" s="146" t="e">
        <f>AA30*$I$83/4</f>
        <v>#DIV/0!</v>
      </c>
      <c r="AB74" s="155"/>
      <c r="AC74" s="146" t="e">
        <f>AC30*$I$83/4</f>
        <v>#DIV/0!</v>
      </c>
      <c r="AD74" s="155"/>
      <c r="AE74" s="146" t="e">
        <f>AE30*$I$83/4</f>
        <v>#DIV/0!</v>
      </c>
      <c r="AF74" s="155"/>
      <c r="AG74" s="146" t="e">
        <f>AG30*$I$83/4</f>
        <v>#DIV/0!</v>
      </c>
      <c r="AH74" s="154"/>
      <c r="AI74" s="146" t="e">
        <f>SUM(AA74,AC74,AE74,AG74)</f>
        <v>#DIV/0!</v>
      </c>
      <c r="AJ74" s="147" t="e">
        <f>(AA74+AC74)</f>
        <v>#DIV/0!</v>
      </c>
      <c r="AK74" s="146" t="e">
        <f>(AE74+AG74)</f>
        <v>#DIV/0!</v>
      </c>
      <c r="AP74" s="24"/>
      <c r="AQ74" s="24"/>
      <c r="AR74" s="24"/>
      <c r="AS74" s="24"/>
      <c r="AT74" s="24"/>
      <c r="AU74" s="24"/>
      <c r="AW74" s="24"/>
      <c r="AX74" s="24"/>
      <c r="AY74" s="24"/>
      <c r="AZ74" s="24"/>
      <c r="BA74" s="24"/>
      <c r="BB74" s="24"/>
      <c r="BF74" s="24"/>
      <c r="BG74" s="24"/>
      <c r="BH74" s="24"/>
      <c r="BI74" s="24"/>
      <c r="BJ74" s="24"/>
      <c r="BK74" s="24"/>
      <c r="BM74" s="24"/>
      <c r="BN74" s="24"/>
      <c r="BO74" s="24"/>
      <c r="BP74" s="24"/>
      <c r="BQ74" s="24"/>
      <c r="BR74" s="24"/>
      <c r="BU74" s="24"/>
      <c r="BV74" s="24"/>
      <c r="BW74" s="24"/>
      <c r="BX74" s="24"/>
      <c r="BY74" s="24"/>
      <c r="BZ74" s="24"/>
      <c r="CB74" s="24"/>
      <c r="CC74" s="24"/>
      <c r="CD74" s="24"/>
      <c r="CE74" s="24"/>
      <c r="CF74" s="24"/>
      <c r="CG74" s="24"/>
    </row>
    <row r="75" spans="1:88" ht="14" customHeight="1">
      <c r="A75" s="1" t="s">
        <v>43</v>
      </c>
      <c r="B75" s="80">
        <f>B129*B83</f>
        <v>24942.888245437029</v>
      </c>
      <c r="C75" s="38"/>
      <c r="D75" s="37"/>
      <c r="E75" s="31"/>
      <c r="F75" s="31"/>
      <c r="G75" s="31"/>
      <c r="H75" s="30"/>
      <c r="I75" s="46"/>
      <c r="J75" s="50">
        <f>J129*I$83</f>
        <v>14817.917910078268</v>
      </c>
      <c r="K75" s="39">
        <f>B75/B$76</f>
        <v>0.40660681151273192</v>
      </c>
      <c r="L75" s="21">
        <f>(L129*G$37*F$9/F$7)/B$130</f>
        <v>0.23258588501720148</v>
      </c>
      <c r="M75" s="23">
        <f>J75/B$76</f>
        <v>0.24155447818985179</v>
      </c>
      <c r="O75" s="2"/>
      <c r="P75" s="2"/>
      <c r="Q75" s="2"/>
      <c r="R75" s="2"/>
      <c r="S75" s="2"/>
      <c r="T75" s="2"/>
      <c r="U75" s="55"/>
      <c r="V75" s="55"/>
      <c r="W75" s="109"/>
      <c r="X75" s="156"/>
      <c r="Y75" s="160" t="s">
        <v>84</v>
      </c>
      <c r="Z75" s="157"/>
      <c r="AA75" s="148" t="e">
        <f>AA79-AA74</f>
        <v>#DIV/0!</v>
      </c>
      <c r="AB75" s="157"/>
      <c r="AC75" s="148" t="e">
        <f>AA75+AC65-SUM(AC70,AC74)</f>
        <v>#DIV/0!</v>
      </c>
      <c r="AD75" s="157"/>
      <c r="AE75" s="148" t="e">
        <f>AC75+AE65-SUM(AE70,AE74)</f>
        <v>#DIV/0!</v>
      </c>
      <c r="AF75" s="157"/>
      <c r="AG75" s="148" t="e">
        <f>IF(SUM(AG6:AG29)+((AG65-AG70-$J$75)*4/I$83)&lt;1,0,AG65-AG70-$J$75-(1-SUM(AG6:AG29))*I$83/4)</f>
        <v>#DIV/0!</v>
      </c>
      <c r="AH75" s="133"/>
      <c r="AI75" s="148" t="e">
        <f>AI76-SUM(AI70,AI74)</f>
        <v>#DIV/0!</v>
      </c>
      <c r="AJ75" s="150" t="e">
        <f>AJ76-SUM(AJ70,AJ74)</f>
        <v>#DIV/0!</v>
      </c>
      <c r="AK75" s="148" t="e">
        <f>AJ75+AK76-SUM(AK70,AK74)</f>
        <v>#DIV/0!</v>
      </c>
      <c r="AP75" s="24"/>
      <c r="AQ75" s="24"/>
      <c r="AR75" s="24"/>
      <c r="AS75" s="24"/>
      <c r="AT75" s="24"/>
      <c r="AU75" s="24"/>
      <c r="AW75" s="24"/>
      <c r="AX75" s="24"/>
      <c r="AY75" s="24"/>
      <c r="AZ75" s="24"/>
      <c r="BA75" s="24"/>
      <c r="BB75" s="24"/>
      <c r="BF75" s="24"/>
      <c r="BG75" s="24"/>
      <c r="BH75" s="24"/>
      <c r="BI75" s="24"/>
      <c r="BJ75" s="24"/>
      <c r="BK75" s="24"/>
      <c r="BM75" s="24"/>
      <c r="BN75" s="24"/>
      <c r="BO75" s="24"/>
      <c r="BP75" s="24"/>
      <c r="BQ75" s="24"/>
      <c r="BR75" s="24"/>
      <c r="BU75" s="24"/>
      <c r="BV75" s="24"/>
      <c r="BW75" s="24"/>
      <c r="BX75" s="24"/>
      <c r="BY75" s="24"/>
      <c r="BZ75" s="24"/>
      <c r="CB75" s="24"/>
      <c r="CC75" s="24"/>
      <c r="CD75" s="24"/>
      <c r="CE75" s="24"/>
      <c r="CF75" s="24"/>
      <c r="CG75" s="24"/>
    </row>
    <row r="76" spans="1:88" ht="14" customHeight="1" thickBot="1">
      <c r="A76" s="1" t="s">
        <v>30</v>
      </c>
      <c r="B76" s="80">
        <f>B65</f>
        <v>61344</v>
      </c>
      <c r="C76" s="38"/>
      <c r="D76" s="37"/>
      <c r="E76" s="31"/>
      <c r="F76" s="31"/>
      <c r="G76" s="31"/>
      <c r="H76" s="30"/>
      <c r="I76" s="38">
        <f>I130*I$83</f>
        <v>59471.399999999987</v>
      </c>
      <c r="J76" s="50">
        <f>J130*I$83</f>
        <v>57544.343126520318</v>
      </c>
      <c r="K76" s="39">
        <f>SUM(K70:K75)</f>
        <v>0.64688749782646493</v>
      </c>
      <c r="L76" s="21">
        <f>SUM(L70:L75)</f>
        <v>0.52181511910971978</v>
      </c>
      <c r="M76" s="23">
        <f>SUM(M70:M75)</f>
        <v>0.52138709235111802</v>
      </c>
      <c r="O76" s="2"/>
      <c r="P76" s="2"/>
      <c r="Q76" s="2"/>
      <c r="R76" s="2"/>
      <c r="S76" s="2"/>
      <c r="T76" s="2"/>
      <c r="U76" s="55"/>
      <c r="V76" s="55"/>
      <c r="W76" s="109"/>
      <c r="X76" s="187"/>
      <c r="Y76" s="187"/>
      <c r="Z76" s="136"/>
      <c r="AA76" s="153" t="e">
        <f>AA65</f>
        <v>#DIV/0!</v>
      </c>
      <c r="AB76" s="136"/>
      <c r="AC76" s="152" t="e">
        <f>AC65</f>
        <v>#DIV/0!</v>
      </c>
      <c r="AD76" s="136"/>
      <c r="AE76" s="152" t="e">
        <f>AE65</f>
        <v>#DIV/0!</v>
      </c>
      <c r="AF76" s="136"/>
      <c r="AG76" s="152" t="e">
        <f>AG65</f>
        <v>#DIV/0!</v>
      </c>
      <c r="AH76" s="136"/>
      <c r="AI76" s="152" t="e">
        <f>SUM(AA76,AC76,AE76,AG76)</f>
        <v>#DIV/0!</v>
      </c>
      <c r="AJ76" s="153" t="e">
        <f>SUM(AA76,AC76)</f>
        <v>#DIV/0!</v>
      </c>
      <c r="AK76" s="153" t="e">
        <f>SUM(AE76,AG76)</f>
        <v>#DIV/0!</v>
      </c>
      <c r="AP76" s="24"/>
      <c r="AQ76" s="24"/>
      <c r="AR76" s="24"/>
      <c r="AS76" s="24"/>
      <c r="AT76" s="24"/>
      <c r="AU76" s="24"/>
      <c r="AW76" s="24"/>
      <c r="AX76" s="24"/>
      <c r="AY76" s="24"/>
      <c r="AZ76" s="24"/>
      <c r="BA76" s="24"/>
      <c r="BB76" s="24"/>
      <c r="BF76" s="24"/>
      <c r="BG76" s="24"/>
      <c r="BH76" s="24"/>
      <c r="BI76" s="24"/>
      <c r="BJ76" s="24"/>
      <c r="BK76" s="24"/>
      <c r="BM76" s="24"/>
      <c r="BN76" s="24"/>
      <c r="BO76" s="24"/>
      <c r="BP76" s="24"/>
      <c r="BQ76" s="24"/>
      <c r="BR76" s="24"/>
      <c r="BU76" s="24"/>
      <c r="BV76" s="24"/>
      <c r="BW76" s="24"/>
      <c r="BX76" s="24"/>
      <c r="BY76" s="24"/>
      <c r="BZ76" s="24"/>
      <c r="CB76" s="24"/>
      <c r="CC76" s="24"/>
      <c r="CD76" s="24"/>
      <c r="CE76" s="24"/>
      <c r="CF76" s="24"/>
      <c r="CG76" s="24"/>
    </row>
    <row r="77" spans="1:88" ht="14" customHeight="1" thickBot="1">
      <c r="A77" s="98" t="s">
        <v>33</v>
      </c>
      <c r="B77" s="80"/>
      <c r="C77" s="38"/>
      <c r="D77" s="37"/>
      <c r="E77" s="31"/>
      <c r="F77" s="31"/>
      <c r="G77" s="31"/>
      <c r="H77" s="30"/>
      <c r="I77" s="38">
        <f>I131*I$83</f>
        <v>9191.413333333332</v>
      </c>
      <c r="J77" s="99">
        <f>J131*I$83</f>
        <v>0</v>
      </c>
      <c r="K77" s="39"/>
      <c r="L77" s="21">
        <f>-(L131*G$37*F$9/F$7)/B$130</f>
        <v>0</v>
      </c>
      <c r="M77" s="23">
        <f>-J77/B$76</f>
        <v>0</v>
      </c>
      <c r="O77" s="2"/>
      <c r="P77" s="2"/>
      <c r="Q77" s="2"/>
      <c r="R77" s="2"/>
      <c r="S77" s="2"/>
      <c r="T77" s="2"/>
      <c r="U77" s="55"/>
      <c r="V77" s="55"/>
      <c r="W77" s="109"/>
      <c r="X77" s="109"/>
      <c r="Y77" s="160" t="s">
        <v>82</v>
      </c>
      <c r="Z77" s="158"/>
      <c r="AA77" s="110" t="e">
        <f>AA31*$I$83/4</f>
        <v>#DIV/0!</v>
      </c>
      <c r="AB77" s="111"/>
      <c r="AC77" s="110" t="e">
        <f>AC31*$I$83/4</f>
        <v>#DIV/0!</v>
      </c>
      <c r="AD77" s="111"/>
      <c r="AE77" s="110" t="e">
        <f>AE31*$I$83/4</f>
        <v>#DIV/0!</v>
      </c>
      <c r="AF77" s="111"/>
      <c r="AG77" s="110" t="e">
        <f>AG31*$I$83/4</f>
        <v>#DIV/0!</v>
      </c>
      <c r="AH77" s="109"/>
      <c r="AI77" s="153" t="e">
        <f>SUM(AA77,AC77,AE77,AG77)</f>
        <v>#DIV/0!</v>
      </c>
      <c r="AJ77" s="152" t="e">
        <f>SUM(AA77,AC77)</f>
        <v>#DIV/0!</v>
      </c>
      <c r="AK77" s="159" t="e">
        <f>SUM(AE77,AG77)</f>
        <v>#DIV/0!</v>
      </c>
      <c r="AP77" s="24"/>
      <c r="AQ77" s="24"/>
      <c r="AR77" s="24"/>
      <c r="AS77" s="24"/>
      <c r="AT77" s="24"/>
      <c r="AU77" s="24"/>
      <c r="AW77" s="24"/>
      <c r="AX77" s="24"/>
      <c r="AY77" s="24"/>
      <c r="AZ77" s="24"/>
      <c r="BA77" s="24"/>
      <c r="BB77" s="24"/>
      <c r="BF77" s="24"/>
      <c r="BG77" s="24"/>
      <c r="BH77" s="24"/>
      <c r="BI77" s="24"/>
      <c r="BJ77" s="24"/>
      <c r="BK77" s="24"/>
      <c r="BM77" s="24"/>
      <c r="BN77" s="24"/>
      <c r="BO77" s="24"/>
      <c r="BP77" s="24"/>
      <c r="BQ77" s="24"/>
      <c r="BR77" s="24"/>
      <c r="BU77" s="24"/>
      <c r="BV77" s="24"/>
      <c r="BW77" s="24"/>
      <c r="BX77" s="24"/>
      <c r="BY77" s="24"/>
      <c r="BZ77" s="24"/>
      <c r="CB77" s="24"/>
      <c r="CC77" s="24"/>
      <c r="CD77" s="24"/>
      <c r="CE77" s="24"/>
      <c r="CF77" s="24"/>
      <c r="CG77" s="24"/>
    </row>
    <row r="78" spans="1:88" ht="14" customHeight="1">
      <c r="A78" s="81" t="s">
        <v>34</v>
      </c>
      <c r="B78" s="38"/>
      <c r="C78" s="38"/>
      <c r="D78" s="37"/>
      <c r="E78" s="31"/>
      <c r="F78" s="31"/>
      <c r="G78" s="31"/>
      <c r="H78" s="30"/>
      <c r="I78" s="46"/>
      <c r="J78" s="47"/>
      <c r="K78" s="31"/>
      <c r="L78" s="31"/>
      <c r="M78" s="47"/>
      <c r="N78" s="2"/>
      <c r="O78" s="2"/>
      <c r="P78" s="2"/>
      <c r="Q78" s="2"/>
      <c r="R78" s="2"/>
      <c r="S78" s="2"/>
      <c r="T78" s="2"/>
      <c r="U78" s="55"/>
      <c r="V78" s="55"/>
      <c r="W78" s="109"/>
      <c r="X78" s="109"/>
      <c r="Y78" s="160" t="s">
        <v>83</v>
      </c>
      <c r="Z78" s="109"/>
      <c r="AA78" s="111" t="e">
        <f>IF(SUM(AG6:AG29)+((AG65-AG70-$J$75)*4/I$83)&lt;1,0,AG65-AG70-$J$75-(1-SUM(AG6:AG29))*I$83/4)</f>
        <v>#DIV/0!</v>
      </c>
      <c r="AB78" s="111"/>
      <c r="AC78" s="111" t="e">
        <f>IF(AA75&lt;0,0,AA75)</f>
        <v>#DIV/0!</v>
      </c>
      <c r="AD78" s="111"/>
      <c r="AE78" s="111" t="e">
        <f>AC75</f>
        <v>#DIV/0!</v>
      </c>
      <c r="AF78" s="111"/>
      <c r="AG78" s="111" t="e">
        <f>AE75</f>
        <v>#DIV/0!</v>
      </c>
      <c r="AH78" s="109"/>
      <c r="AI78" s="145"/>
      <c r="AJ78" s="109"/>
      <c r="AK78" s="145"/>
      <c r="AP78" s="24"/>
      <c r="AQ78" s="24"/>
      <c r="AR78" s="24"/>
      <c r="AS78" s="24"/>
      <c r="AT78" s="24"/>
      <c r="AU78" s="24"/>
      <c r="AW78" s="24"/>
      <c r="AX78" s="24"/>
      <c r="AY78" s="24"/>
      <c r="AZ78" s="24"/>
      <c r="BA78" s="24"/>
      <c r="BB78" s="24"/>
      <c r="BF78" s="24"/>
      <c r="BG78" s="24"/>
      <c r="BH78" s="24"/>
      <c r="BI78" s="24"/>
      <c r="BJ78" s="24"/>
      <c r="BK78" s="24"/>
      <c r="BM78" s="24"/>
      <c r="BN78" s="24"/>
      <c r="BO78" s="24"/>
      <c r="BP78" s="24"/>
      <c r="BQ78" s="24"/>
      <c r="BR78" s="24"/>
      <c r="BU78" s="24"/>
      <c r="BV78" s="24"/>
      <c r="BW78" s="24"/>
      <c r="BX78" s="24"/>
      <c r="BY78" s="24"/>
      <c r="BZ78" s="24"/>
      <c r="CB78" s="24"/>
      <c r="CC78" s="24"/>
      <c r="CD78" s="24"/>
      <c r="CE78" s="24"/>
      <c r="CF78" s="24"/>
      <c r="CG78" s="24"/>
    </row>
    <row r="79" spans="1:88" ht="14" customHeight="1">
      <c r="A79" s="38" t="s">
        <v>35</v>
      </c>
      <c r="B79" s="104" t="str">
        <f>[1]Summ!$J1037</f>
        <v>mix</v>
      </c>
      <c r="C79" s="38"/>
      <c r="D79" s="37"/>
      <c r="E79" s="31"/>
      <c r="F79" s="31"/>
      <c r="G79" s="31"/>
      <c r="H79" s="30"/>
      <c r="I79" s="46"/>
      <c r="J79" s="47"/>
      <c r="K79" s="31"/>
      <c r="L79" s="31"/>
      <c r="M79" s="47"/>
      <c r="N79" s="31"/>
      <c r="O79" s="2"/>
      <c r="P79" s="2"/>
      <c r="Q79" s="2"/>
      <c r="R79" s="2"/>
      <c r="S79" s="2"/>
      <c r="T79" s="2"/>
      <c r="U79" s="55"/>
      <c r="V79" s="55"/>
      <c r="W79" s="109"/>
      <c r="X79" s="109"/>
      <c r="Y79" s="160" t="s">
        <v>51</v>
      </c>
      <c r="Z79" s="109"/>
      <c r="AA79" s="111" t="e">
        <f>AA65-AA70+IF(SUM(AG6:AG29)+((AG65-AG70-$J$75)*4/I$83)&lt;1,0,AG65-AG70-$J$75-(1-SUM(AG6:AG29))*I$83/4)</f>
        <v>#DIV/0!</v>
      </c>
      <c r="AB79" s="111"/>
      <c r="AC79" s="111" t="e">
        <f>AA79-AA74+AC65-AC70</f>
        <v>#DIV/0!</v>
      </c>
      <c r="AD79" s="111"/>
      <c r="AE79" s="111" t="e">
        <f>AC79-AC74+AE65-AE70</f>
        <v>#DIV/0!</v>
      </c>
      <c r="AF79" s="111"/>
      <c r="AG79" s="111" t="e">
        <f>AE79-AE74+AG65-AG70</f>
        <v>#DIV/0!</v>
      </c>
      <c r="AH79" s="109"/>
      <c r="AI79" s="145"/>
      <c r="AJ79" s="109"/>
      <c r="AK79" s="145"/>
      <c r="AS79" s="24"/>
      <c r="AT79" s="24"/>
      <c r="AU79" s="24"/>
      <c r="AV79" s="24"/>
      <c r="AW79" s="24"/>
      <c r="AX79" s="24"/>
      <c r="AZ79" s="24"/>
      <c r="BA79" s="24"/>
      <c r="BB79" s="24"/>
      <c r="BC79" s="24"/>
      <c r="BD79" s="24"/>
      <c r="BE79" s="24"/>
      <c r="BI79" s="24"/>
      <c r="BJ79" s="24"/>
      <c r="BK79" s="24"/>
      <c r="BL79" s="24"/>
      <c r="BM79" s="24"/>
      <c r="BN79" s="24"/>
      <c r="BP79" s="24"/>
      <c r="BQ79" s="24"/>
      <c r="BR79" s="24"/>
      <c r="BS79" s="24"/>
      <c r="BT79" s="24"/>
      <c r="BU79" s="24"/>
      <c r="BX79" s="24"/>
      <c r="BY79" s="24"/>
      <c r="BZ79" s="24"/>
      <c r="CA79" s="24"/>
      <c r="CB79" s="24"/>
      <c r="CC79" s="24"/>
      <c r="CE79" s="24"/>
      <c r="CF79" s="24"/>
      <c r="CG79" s="24"/>
      <c r="CH79" s="24"/>
      <c r="CI79" s="24"/>
      <c r="CJ79" s="24"/>
    </row>
    <row r="80" spans="1:88" ht="14" customHeight="1">
      <c r="A80" s="38" t="s">
        <v>36</v>
      </c>
      <c r="B80" s="104">
        <f>[1]Summ!$J1038</f>
        <v>0.67275201646228777</v>
      </c>
      <c r="C80" s="38"/>
      <c r="D80" s="37"/>
      <c r="E80" s="31"/>
      <c r="F80" s="31"/>
      <c r="G80" s="31"/>
      <c r="H80" s="30"/>
      <c r="I80" s="46"/>
      <c r="J80" s="47"/>
      <c r="K80" s="31"/>
      <c r="L80" s="31"/>
      <c r="M80" s="47"/>
      <c r="N80" s="31"/>
      <c r="O80" s="2"/>
      <c r="P80" s="2"/>
      <c r="Q80" s="2"/>
      <c r="R80" s="2"/>
      <c r="S80" s="2"/>
      <c r="T80" s="2"/>
      <c r="U80" s="55"/>
      <c r="V80" s="55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45"/>
      <c r="AJ80" s="109"/>
      <c r="AK80" s="145"/>
      <c r="AS80" s="24"/>
      <c r="AT80" s="24"/>
      <c r="AU80" s="24"/>
      <c r="AV80" s="24"/>
      <c r="AW80" s="24"/>
      <c r="AX80" s="24"/>
      <c r="AZ80" s="24"/>
      <c r="BA80" s="24"/>
      <c r="BB80" s="24"/>
      <c r="BC80" s="24"/>
      <c r="BD80" s="24"/>
      <c r="BE80" s="24"/>
      <c r="BI80" s="24"/>
      <c r="BJ80" s="24"/>
      <c r="BK80" s="24"/>
      <c r="BL80" s="24"/>
      <c r="BM80" s="24"/>
      <c r="BN80" s="24"/>
      <c r="BP80" s="24"/>
      <c r="BQ80" s="24"/>
      <c r="BR80" s="24"/>
      <c r="BS80" s="24"/>
      <c r="BT80" s="24"/>
      <c r="BU80" s="24"/>
      <c r="BX80" s="24"/>
      <c r="BY80" s="24"/>
      <c r="BZ80" s="24"/>
      <c r="CA80" s="24"/>
      <c r="CB80" s="24"/>
      <c r="CC80" s="24"/>
      <c r="CE80" s="24"/>
      <c r="CF80" s="24"/>
      <c r="CG80" s="24"/>
      <c r="CH80" s="24"/>
      <c r="CI80" s="24"/>
      <c r="CJ80" s="24"/>
    </row>
    <row r="81" spans="1:88" ht="14" customHeight="1">
      <c r="A81" s="38" t="s">
        <v>37</v>
      </c>
      <c r="B81" s="228">
        <f>[1]Summ!$J1039</f>
        <v>4</v>
      </c>
      <c r="C81" s="38"/>
      <c r="D81" s="37"/>
      <c r="E81" s="31"/>
      <c r="F81" s="31"/>
      <c r="G81" s="31"/>
      <c r="H81" s="30"/>
      <c r="I81" s="46"/>
      <c r="J81" s="47"/>
      <c r="K81" s="31"/>
      <c r="L81" s="31"/>
      <c r="M81" s="47"/>
      <c r="N81" s="31"/>
      <c r="O81" s="2"/>
      <c r="P81" s="2"/>
      <c r="Q81" s="2"/>
      <c r="R81" s="2"/>
      <c r="S81" s="2"/>
      <c r="T81" s="2"/>
      <c r="U81" s="55"/>
      <c r="V81" s="55"/>
      <c r="W81" s="109"/>
      <c r="X81" s="109"/>
      <c r="Y81" s="109"/>
      <c r="Z81" s="142" t="s">
        <v>52</v>
      </c>
      <c r="AA81" s="158"/>
      <c r="AB81" s="158"/>
      <c r="AC81" s="158"/>
      <c r="AD81" s="158"/>
      <c r="AE81" s="158"/>
      <c r="AF81" s="158"/>
      <c r="AG81" s="143"/>
      <c r="AH81" s="113" t="s">
        <v>53</v>
      </c>
      <c r="AI81" s="145"/>
      <c r="AJ81" s="109"/>
      <c r="AK81" s="145"/>
      <c r="AS81" s="24"/>
      <c r="AT81" s="24"/>
      <c r="AU81" s="24"/>
      <c r="AV81" s="24"/>
      <c r="AW81" s="24"/>
      <c r="AX81" s="24"/>
      <c r="AZ81" s="24"/>
      <c r="BA81" s="24"/>
      <c r="BB81" s="24"/>
      <c r="BC81" s="24"/>
      <c r="BD81" s="24"/>
      <c r="BE81" s="24"/>
      <c r="BI81" s="24"/>
      <c r="BJ81" s="24"/>
      <c r="BK81" s="24"/>
      <c r="BL81" s="24"/>
      <c r="BM81" s="24"/>
      <c r="BN81" s="24"/>
      <c r="BP81" s="24"/>
      <c r="BQ81" s="24"/>
      <c r="BR81" s="24"/>
      <c r="BS81" s="24"/>
      <c r="BT81" s="24"/>
      <c r="BU81" s="24"/>
      <c r="BX81" s="24"/>
      <c r="BY81" s="24"/>
      <c r="BZ81" s="24"/>
      <c r="CA81" s="24"/>
      <c r="CB81" s="24"/>
      <c r="CC81" s="24"/>
      <c r="CE81" s="24"/>
      <c r="CF81" s="24"/>
      <c r="CG81" s="24"/>
      <c r="CH81" s="24"/>
      <c r="CI81" s="24"/>
      <c r="CJ81" s="24"/>
    </row>
    <row r="82" spans="1:88" ht="14" customHeight="1">
      <c r="A82" s="38" t="s">
        <v>38</v>
      </c>
      <c r="B82" s="104">
        <f>[1]Summ!$J1040</f>
        <v>6.9449963476990497</v>
      </c>
      <c r="C82" s="38"/>
      <c r="D82" s="37"/>
      <c r="E82" s="31"/>
      <c r="F82" s="31"/>
      <c r="G82" s="31"/>
      <c r="H82" s="30"/>
      <c r="I82" s="46"/>
      <c r="J82" s="47"/>
      <c r="K82" s="31"/>
      <c r="L82" s="31"/>
      <c r="M82" s="47"/>
      <c r="N82" s="31"/>
      <c r="O82" s="2"/>
      <c r="P82" s="2"/>
      <c r="Q82" s="2"/>
      <c r="R82" s="2"/>
      <c r="S82" s="2"/>
      <c r="T82" s="2"/>
      <c r="U82" s="55"/>
      <c r="V82" s="55"/>
      <c r="X82" s="109"/>
      <c r="Y82" s="160" t="s">
        <v>54</v>
      </c>
      <c r="Z82" s="161">
        <f>IF($AH$82=0,0,AA82/$AH$82)</f>
        <v>1</v>
      </c>
      <c r="AA82" s="191">
        <f>'Q2'!AA82</f>
        <v>5.6000000000000005</v>
      </c>
      <c r="AB82" s="161">
        <f>IF($AH$82=0,0,AC82/$AH$82)</f>
        <v>1</v>
      </c>
      <c r="AC82" s="191">
        <f>'Q2'!AC82</f>
        <v>5.6000000000000005</v>
      </c>
      <c r="AD82" s="161">
        <f>IF($AH$82=0,0,AE82/$AH$82)</f>
        <v>1</v>
      </c>
      <c r="AE82" s="191">
        <f>'Q2'!AE82</f>
        <v>5.6000000000000005</v>
      </c>
      <c r="AF82" s="161">
        <f>IF($AH$82=0,0,AG82/$AH$82)</f>
        <v>1</v>
      </c>
      <c r="AG82" s="191">
        <f>'Q2'!AG82</f>
        <v>5.6000000000000005</v>
      </c>
      <c r="AH82" s="163">
        <f>IF(PRODUCT(AA82,AC82,AE82,AG82)=0,0,SUM(AA82,AC82,AE82,AG82)/4)</f>
        <v>5.6000000000000005</v>
      </c>
      <c r="AI82" s="145"/>
      <c r="AJ82" s="109"/>
      <c r="AK82" s="145"/>
      <c r="AS82" s="24"/>
      <c r="AT82" s="24"/>
      <c r="AU82" s="24"/>
      <c r="AV82" s="24"/>
      <c r="AW82" s="24"/>
      <c r="AX82" s="24"/>
      <c r="AZ82" s="24"/>
      <c r="BA82" s="24"/>
      <c r="BB82" s="24"/>
      <c r="BC82" s="24"/>
      <c r="BD82" s="24"/>
      <c r="BE82" s="24"/>
      <c r="BI82" s="24"/>
      <c r="BJ82" s="24"/>
      <c r="BK82" s="24"/>
      <c r="BL82" s="24"/>
      <c r="BM82" s="24"/>
      <c r="BN82" s="24"/>
      <c r="BP82" s="24"/>
      <c r="BQ82" s="24"/>
      <c r="BR82" s="24"/>
      <c r="BS82" s="24"/>
      <c r="BT82" s="24"/>
      <c r="BU82" s="24"/>
      <c r="BX82" s="24"/>
      <c r="BY82" s="24"/>
      <c r="BZ82" s="24"/>
      <c r="CA82" s="24"/>
      <c r="CB82" s="24"/>
      <c r="CC82" s="24"/>
      <c r="CE82" s="24"/>
      <c r="CF82" s="24"/>
      <c r="CG82" s="24"/>
      <c r="CH82" s="24"/>
      <c r="CI82" s="24"/>
      <c r="CJ82" s="24"/>
    </row>
    <row r="83" spans="1:88" ht="14" customHeight="1">
      <c r="A83" s="38" t="s">
        <v>39</v>
      </c>
      <c r="B83" s="38">
        <f>365*B80*B81*B82</f>
        <v>6821.5000339671287</v>
      </c>
      <c r="C83" s="38"/>
      <c r="D83" s="37"/>
      <c r="E83" s="31"/>
      <c r="F83" s="31"/>
      <c r="G83" s="31"/>
      <c r="H83" s="23">
        <f>G$37*F$9/F$7</f>
        <v>1.65</v>
      </c>
      <c r="I83" s="38">
        <f xml:space="preserve"> B83*H83</f>
        <v>11255.475056045761</v>
      </c>
      <c r="J83" s="47"/>
      <c r="K83" s="31"/>
      <c r="L83" s="31"/>
      <c r="M83" s="47"/>
      <c r="N83" s="31"/>
      <c r="O83" s="2"/>
      <c r="P83" s="2"/>
      <c r="Q83" s="2"/>
      <c r="R83" s="2"/>
      <c r="S83" s="2"/>
      <c r="T83" s="2"/>
      <c r="U83" s="55"/>
      <c r="V83" s="55"/>
      <c r="X83" s="109"/>
      <c r="Y83" s="160" t="s">
        <v>110</v>
      </c>
      <c r="Z83" s="109"/>
      <c r="AA83" s="164">
        <f>$I$83*Z82/4</f>
        <v>2813.8687640114404</v>
      </c>
      <c r="AB83" s="111"/>
      <c r="AC83" s="164">
        <f>$I$83*AB82/4</f>
        <v>2813.8687640114404</v>
      </c>
      <c r="AD83" s="111"/>
      <c r="AE83" s="164">
        <f>$I$83*AD82/4</f>
        <v>2813.8687640114404</v>
      </c>
      <c r="AF83" s="111"/>
      <c r="AG83" s="164">
        <f>$I$83*AF82/4</f>
        <v>2813.8687640114404</v>
      </c>
      <c r="AH83" s="164">
        <f>SUM(AA83,AC83,AE83,AG83)</f>
        <v>11255.475056045761</v>
      </c>
      <c r="AI83" s="145"/>
      <c r="AJ83" s="109"/>
      <c r="AK83" s="145"/>
      <c r="AS83" s="24"/>
      <c r="AT83" s="24"/>
      <c r="AU83" s="24"/>
      <c r="AV83" s="24"/>
      <c r="AW83" s="24"/>
      <c r="AX83" s="24"/>
      <c r="AZ83" s="24"/>
      <c r="BA83" s="24"/>
      <c r="BB83" s="24"/>
      <c r="BC83" s="24"/>
      <c r="BD83" s="24"/>
      <c r="BE83" s="24"/>
      <c r="BI83" s="24"/>
      <c r="BJ83" s="24"/>
      <c r="BK83" s="24"/>
      <c r="BL83" s="24"/>
      <c r="BM83" s="24"/>
      <c r="BN83" s="24"/>
      <c r="BP83" s="24"/>
      <c r="BQ83" s="24"/>
      <c r="BR83" s="24"/>
      <c r="BS83" s="24"/>
      <c r="BT83" s="24"/>
      <c r="BU83" s="24"/>
      <c r="BX83" s="24"/>
      <c r="BY83" s="24"/>
      <c r="BZ83" s="24"/>
      <c r="CA83" s="24"/>
      <c r="CB83" s="24"/>
      <c r="CC83" s="24"/>
      <c r="CE83" s="24"/>
      <c r="CF83" s="24"/>
      <c r="CG83" s="24"/>
      <c r="CH83" s="24"/>
      <c r="CI83" s="24"/>
      <c r="CJ83" s="24"/>
    </row>
    <row r="84" spans="1:88" ht="14" customHeight="1" thickBot="1">
      <c r="A84" s="45" t="s">
        <v>116</v>
      </c>
      <c r="B84" s="232">
        <f>B70+((1-D29)*B83)</f>
        <v>12770.884804109372</v>
      </c>
      <c r="C84" s="45"/>
      <c r="D84" s="233"/>
      <c r="E84" s="63"/>
      <c r="F84" s="63"/>
      <c r="G84" s="63"/>
      <c r="H84" s="234">
        <f>IF(B84=0,0,I84/B84)</f>
        <v>1.5035390333955092</v>
      </c>
      <c r="I84" s="232">
        <f>(B70*H70)+((1-(D29*H29))*I83)</f>
        <v>19201.523793976001</v>
      </c>
      <c r="J84" s="47"/>
      <c r="K84" s="31"/>
      <c r="L84" s="31"/>
      <c r="M84" s="47"/>
      <c r="N84" s="31"/>
      <c r="O84" s="2"/>
      <c r="P84" s="2"/>
      <c r="Q84" s="2"/>
      <c r="R84" s="2"/>
      <c r="S84" s="2"/>
      <c r="T84" s="2"/>
      <c r="U84" s="55"/>
      <c r="V84" s="55"/>
      <c r="X84" s="109"/>
      <c r="Y84" s="160"/>
      <c r="Z84" s="109"/>
      <c r="AA84" s="109"/>
      <c r="AB84" s="109"/>
      <c r="AC84" s="109"/>
      <c r="AD84" s="109"/>
      <c r="AE84" s="109"/>
      <c r="AF84" s="109"/>
      <c r="AG84" s="109"/>
      <c r="AH84" s="109"/>
      <c r="AI84" s="145"/>
      <c r="AJ84" s="109"/>
      <c r="AK84" s="145"/>
      <c r="AS84" s="24"/>
      <c r="AT84" s="24"/>
      <c r="AU84" s="24"/>
      <c r="AV84" s="24"/>
      <c r="AW84" s="24"/>
      <c r="AX84" s="24"/>
      <c r="AZ84" s="24"/>
      <c r="BA84" s="24"/>
      <c r="BB84" s="24"/>
      <c r="BC84" s="24"/>
      <c r="BD84" s="24"/>
      <c r="BE84" s="24"/>
      <c r="BI84" s="24"/>
      <c r="BJ84" s="24"/>
      <c r="BK84" s="24"/>
      <c r="BL84" s="24"/>
      <c r="BM84" s="24"/>
      <c r="BN84" s="24"/>
      <c r="BP84" s="24"/>
      <c r="BQ84" s="24"/>
      <c r="BR84" s="24"/>
      <c r="BS84" s="24"/>
      <c r="BT84" s="24"/>
      <c r="BU84" s="24"/>
      <c r="BX84" s="24"/>
      <c r="BY84" s="24"/>
      <c r="BZ84" s="24"/>
      <c r="CA84" s="24"/>
      <c r="CB84" s="24"/>
      <c r="CC84" s="24"/>
      <c r="CE84" s="24"/>
      <c r="CF84" s="24"/>
      <c r="CG84" s="24"/>
      <c r="CH84" s="24"/>
      <c r="CI84" s="24"/>
      <c r="CJ84" s="24"/>
    </row>
    <row r="85" spans="1:88" ht="14" customHeight="1" thickBot="1">
      <c r="A85" s="38" t="s">
        <v>40</v>
      </c>
      <c r="B85" s="38"/>
      <c r="C85" s="38"/>
      <c r="D85" s="37"/>
      <c r="E85" s="31"/>
      <c r="F85" s="31"/>
      <c r="G85" s="31"/>
      <c r="H85" s="30"/>
      <c r="I85" s="46"/>
      <c r="J85" s="47"/>
      <c r="K85" s="31"/>
      <c r="L85" s="31"/>
      <c r="M85" s="47"/>
      <c r="N85" s="31"/>
      <c r="O85" s="2"/>
      <c r="P85" s="2"/>
      <c r="Q85" s="2"/>
      <c r="R85" s="2"/>
      <c r="S85" s="2"/>
      <c r="T85" s="2"/>
      <c r="U85" s="55"/>
      <c r="V85" s="55"/>
      <c r="X85" s="109"/>
      <c r="Y85" s="160"/>
      <c r="Z85" s="109"/>
      <c r="AA85" s="112"/>
      <c r="AB85" s="109"/>
      <c r="AC85" s="112"/>
      <c r="AD85" s="109"/>
      <c r="AE85" s="112"/>
      <c r="AF85" s="109"/>
      <c r="AG85" s="112"/>
      <c r="AH85" s="109"/>
      <c r="AI85" s="188"/>
      <c r="AJ85" s="189"/>
      <c r="AK85" s="190"/>
      <c r="AS85" s="24"/>
      <c r="AT85" s="24"/>
      <c r="AU85" s="24"/>
      <c r="AV85" s="24"/>
      <c r="AW85" s="24"/>
      <c r="AX85" s="24"/>
      <c r="AZ85" s="24"/>
      <c r="BA85" s="24"/>
      <c r="BB85" s="24"/>
      <c r="BC85" s="24"/>
      <c r="BD85" s="24"/>
      <c r="BE85" s="24"/>
      <c r="BI85" s="24"/>
      <c r="BJ85" s="24"/>
      <c r="BK85" s="24"/>
      <c r="BL85" s="24"/>
      <c r="BM85" s="24"/>
      <c r="BN85" s="24"/>
      <c r="BP85" s="24"/>
      <c r="BQ85" s="24"/>
      <c r="BR85" s="24"/>
      <c r="BS85" s="24"/>
      <c r="BT85" s="24"/>
      <c r="BU85" s="24"/>
      <c r="BX85" s="24"/>
      <c r="BY85" s="24"/>
      <c r="BZ85" s="24"/>
      <c r="CA85" s="24"/>
      <c r="CB85" s="24"/>
      <c r="CC85" s="24"/>
      <c r="CE85" s="24"/>
      <c r="CF85" s="24"/>
      <c r="CG85" s="24"/>
      <c r="CH85" s="24"/>
      <c r="CI85" s="24"/>
      <c r="CJ85" s="24"/>
    </row>
    <row r="86" spans="1:88" ht="14" customHeight="1">
      <c r="A86" s="105"/>
      <c r="B86" s="106"/>
      <c r="C86" s="38"/>
      <c r="D86" s="37"/>
      <c r="E86" s="31"/>
      <c r="F86" s="31"/>
      <c r="G86" s="31"/>
      <c r="H86" s="30"/>
      <c r="I86" s="46"/>
      <c r="J86" s="47"/>
      <c r="K86" s="31"/>
      <c r="L86" s="31"/>
      <c r="M86" s="47"/>
      <c r="N86" s="3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4"/>
      <c r="AT86" s="24"/>
      <c r="AU86" s="24"/>
      <c r="AV86" s="24"/>
      <c r="AW86" s="24"/>
      <c r="AX86" s="24"/>
      <c r="AZ86" s="24"/>
      <c r="BA86" s="24"/>
      <c r="BB86" s="24"/>
      <c r="BC86" s="24"/>
      <c r="BD86" s="24"/>
      <c r="BE86" s="24"/>
      <c r="BI86" s="24"/>
      <c r="BJ86" s="24"/>
      <c r="BK86" s="24"/>
      <c r="BL86" s="24"/>
      <c r="BM86" s="24"/>
      <c r="BN86" s="24"/>
      <c r="BP86" s="24"/>
      <c r="BQ86" s="24"/>
      <c r="BR86" s="24"/>
      <c r="BS86" s="24"/>
      <c r="BT86" s="24"/>
      <c r="BU86" s="24"/>
      <c r="BX86" s="24"/>
      <c r="BY86" s="24"/>
      <c r="BZ86" s="24"/>
      <c r="CA86" s="24"/>
      <c r="CB86" s="24"/>
      <c r="CC86" s="24"/>
      <c r="CE86" s="24"/>
      <c r="CF86" s="24"/>
      <c r="CG86" s="24"/>
      <c r="CH86" s="24"/>
      <c r="CI86" s="24"/>
      <c r="CJ86" s="24"/>
    </row>
    <row r="87" spans="1:88" ht="14" customHeight="1">
      <c r="A87" s="38" t="s">
        <v>103</v>
      </c>
      <c r="B87" s="74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4"/>
      <c r="AT87" s="24"/>
      <c r="AU87" s="24"/>
      <c r="AV87" s="24"/>
      <c r="AW87" s="24"/>
      <c r="AX87" s="24"/>
      <c r="AZ87" s="24"/>
      <c r="BA87" s="24"/>
      <c r="BB87" s="24"/>
      <c r="BC87" s="24"/>
      <c r="BD87" s="24"/>
      <c r="BE87" s="24"/>
      <c r="BI87" s="24"/>
      <c r="BJ87" s="24"/>
      <c r="BK87" s="24"/>
      <c r="BL87" s="24"/>
      <c r="BM87" s="24"/>
      <c r="BN87" s="24"/>
      <c r="BP87" s="24"/>
      <c r="BQ87" s="24"/>
      <c r="BR87" s="24"/>
      <c r="BS87" s="24"/>
      <c r="BT87" s="24"/>
      <c r="BU87" s="24"/>
      <c r="BX87" s="24"/>
      <c r="BY87" s="24"/>
      <c r="BZ87" s="24"/>
      <c r="CA87" s="24"/>
      <c r="CB87" s="24"/>
      <c r="CC87" s="24"/>
      <c r="CE87" s="24"/>
      <c r="CF87" s="24"/>
      <c r="CG87" s="24"/>
      <c r="CH87" s="24"/>
      <c r="CI87" s="24"/>
      <c r="CJ87" s="24"/>
    </row>
    <row r="88" spans="1:88" ht="15.75" customHeight="1">
      <c r="A88" s="72" t="str">
        <f>A34</f>
        <v>Income : Q4 HHs</v>
      </c>
      <c r="B88" s="2"/>
      <c r="C88" s="2"/>
      <c r="D88" s="30"/>
      <c r="E88" s="2"/>
      <c r="F88" s="2"/>
      <c r="G88" s="2"/>
      <c r="H88" s="16"/>
      <c r="I88" s="2"/>
      <c r="J88" s="32"/>
      <c r="M88" s="56"/>
      <c r="N88" s="57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4"/>
      <c r="AT88" s="24"/>
      <c r="AU88" s="24"/>
      <c r="AV88" s="24"/>
      <c r="AW88" s="24"/>
      <c r="AX88" s="24"/>
      <c r="AZ88" s="24"/>
      <c r="BA88" s="24"/>
      <c r="BB88" s="24"/>
      <c r="BC88" s="24"/>
      <c r="BD88" s="24"/>
      <c r="BE88" s="24"/>
      <c r="BI88" s="24"/>
      <c r="BJ88" s="24"/>
      <c r="BK88" s="24"/>
      <c r="BL88" s="24"/>
      <c r="BM88" s="24"/>
      <c r="BN88" s="24"/>
      <c r="BP88" s="24"/>
      <c r="BQ88" s="24"/>
      <c r="BR88" s="24"/>
      <c r="BS88" s="24"/>
      <c r="BT88" s="24"/>
      <c r="BU88" s="24"/>
      <c r="BX88" s="24"/>
      <c r="BY88" s="24"/>
      <c r="BZ88" s="24"/>
      <c r="CA88" s="24"/>
      <c r="CB88" s="24"/>
      <c r="CC88" s="24"/>
      <c r="CE88" s="24"/>
      <c r="CF88" s="24"/>
      <c r="CG88" s="24"/>
      <c r="CH88" s="24"/>
      <c r="CI88" s="24"/>
      <c r="CJ88" s="24"/>
    </row>
    <row r="89" spans="1:88" ht="14" customHeight="1">
      <c r="A89" s="2"/>
      <c r="B89" s="18" t="s">
        <v>6</v>
      </c>
      <c r="C89" s="18" t="s">
        <v>7</v>
      </c>
      <c r="D89" s="15" t="s">
        <v>8</v>
      </c>
      <c r="H89" s="15" t="s">
        <v>11</v>
      </c>
      <c r="I89" s="18" t="s">
        <v>12</v>
      </c>
      <c r="J89" s="15" t="s">
        <v>13</v>
      </c>
      <c r="K89" s="18" t="s">
        <v>6</v>
      </c>
      <c r="L89" s="18" t="s">
        <v>14</v>
      </c>
      <c r="M89" s="56" t="str">
        <f t="shared" ref="M89:M119" si="50">(J89)</f>
        <v>Curr.</v>
      </c>
      <c r="N89" s="57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4"/>
      <c r="AT89" s="24"/>
      <c r="AU89" s="24"/>
      <c r="AV89" s="24"/>
      <c r="AW89" s="24"/>
      <c r="AX89" s="24"/>
      <c r="AZ89" s="24"/>
      <c r="BA89" s="24"/>
      <c r="BB89" s="24"/>
      <c r="BC89" s="24"/>
      <c r="BD89" s="24"/>
      <c r="BE89" s="24"/>
      <c r="BI89" s="24"/>
      <c r="BJ89" s="24"/>
      <c r="BK89" s="24"/>
      <c r="BL89" s="24"/>
      <c r="BM89" s="24"/>
      <c r="BN89" s="24"/>
      <c r="BP89" s="24"/>
      <c r="BQ89" s="24"/>
      <c r="BR89" s="24"/>
      <c r="BS89" s="24"/>
      <c r="BT89" s="24"/>
      <c r="BU89" s="24"/>
      <c r="BX89" s="24"/>
      <c r="BY89" s="24"/>
      <c r="BZ89" s="24"/>
      <c r="CA89" s="24"/>
      <c r="CB89" s="24"/>
      <c r="CC89" s="24"/>
      <c r="CE89" s="24"/>
      <c r="CF89" s="24"/>
      <c r="CG89" s="24"/>
      <c r="CH89" s="24"/>
      <c r="CI89" s="24"/>
      <c r="CJ89" s="24"/>
    </row>
    <row r="90" spans="1:88" ht="14" customHeight="1">
      <c r="A90" s="2" t="s">
        <v>41</v>
      </c>
      <c r="B90" s="18" t="s">
        <v>15</v>
      </c>
      <c r="C90" s="18" t="s">
        <v>16</v>
      </c>
      <c r="D90" s="15" t="s">
        <v>15</v>
      </c>
      <c r="H90" s="15" t="s">
        <v>17</v>
      </c>
      <c r="I90" s="18" t="s">
        <v>15</v>
      </c>
      <c r="J90" s="15" t="s">
        <v>15</v>
      </c>
      <c r="K90" s="18" t="s">
        <v>15</v>
      </c>
      <c r="L90" s="18" t="s">
        <v>18</v>
      </c>
      <c r="M90" s="56" t="str">
        <f t="shared" si="50"/>
        <v>Access</v>
      </c>
      <c r="N90" s="57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4"/>
      <c r="AT90" s="24"/>
      <c r="AU90" s="24"/>
      <c r="AV90" s="24"/>
      <c r="AW90" s="24"/>
      <c r="AX90" s="24"/>
      <c r="AZ90" s="24"/>
      <c r="BA90" s="24"/>
      <c r="BB90" s="24"/>
      <c r="BC90" s="24"/>
      <c r="BD90" s="24"/>
      <c r="BE90" s="24"/>
      <c r="BI90" s="24"/>
      <c r="BJ90" s="24"/>
      <c r="BK90" s="24"/>
      <c r="BL90" s="24"/>
      <c r="BM90" s="24"/>
      <c r="BN90" s="24"/>
      <c r="BP90" s="24"/>
      <c r="BQ90" s="24"/>
      <c r="BR90" s="24"/>
      <c r="BS90" s="24"/>
      <c r="BT90" s="24"/>
      <c r="BU90" s="24"/>
      <c r="BX90" s="24"/>
      <c r="BY90" s="24"/>
      <c r="BZ90" s="24"/>
      <c r="CA90" s="24"/>
      <c r="CB90" s="24"/>
      <c r="CC90" s="24"/>
      <c r="CE90" s="24"/>
      <c r="CF90" s="24"/>
      <c r="CG90" s="24"/>
      <c r="CH90" s="24"/>
      <c r="CI90" s="24"/>
      <c r="CJ90" s="24"/>
    </row>
    <row r="91" spans="1:88" ht="14" customHeight="1">
      <c r="A91" s="2" t="str">
        <f>IF(A37="","",A37)</f>
        <v>Construction cash income -- see Data2</v>
      </c>
      <c r="B91" s="74">
        <f>(B37/$B$83)</f>
        <v>1.3193579059129517</v>
      </c>
      <c r="C91" s="74">
        <f>(C37/$B$83)</f>
        <v>0</v>
      </c>
      <c r="D91" s="23">
        <f t="shared" ref="D91" si="51">(B91+C91)</f>
        <v>1.3193579059129517</v>
      </c>
      <c r="H91" s="23">
        <f>(E37*F37/G37*F$7/F$9)</f>
        <v>0.33636363636363642</v>
      </c>
      <c r="I91" s="21">
        <f t="shared" ref="I91" si="52">(D91*H91)</f>
        <v>0.4437840228979929</v>
      </c>
      <c r="J91" s="23">
        <f>IF(I$32&lt;=1+I$131,I91,L91+J$33*(I91-L91))</f>
        <v>0.4437840228979929</v>
      </c>
      <c r="K91" s="21">
        <f t="shared" ref="K91" si="53">(B91)</f>
        <v>1.3193579059129517</v>
      </c>
      <c r="L91" s="21">
        <f t="shared" ref="L91" si="54">(K91*H91)</f>
        <v>0.4437840228979929</v>
      </c>
      <c r="M91" s="225">
        <f t="shared" si="50"/>
        <v>0.4437840228979929</v>
      </c>
      <c r="N91" s="227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4"/>
      <c r="AT91" s="24"/>
      <c r="AU91" s="24"/>
      <c r="AV91" s="24"/>
      <c r="AW91" s="24"/>
      <c r="AX91" s="24"/>
      <c r="AZ91" s="24"/>
      <c r="BA91" s="24"/>
      <c r="BB91" s="24"/>
      <c r="BC91" s="24"/>
      <c r="BD91" s="24"/>
      <c r="BE91" s="24"/>
      <c r="BI91" s="24"/>
      <c r="BJ91" s="24"/>
      <c r="BK91" s="24"/>
      <c r="BL91" s="24"/>
      <c r="BM91" s="24"/>
      <c r="BN91" s="24"/>
      <c r="BP91" s="24"/>
      <c r="BQ91" s="24"/>
      <c r="BR91" s="24"/>
      <c r="BS91" s="24"/>
      <c r="BT91" s="24"/>
      <c r="BU91" s="24"/>
      <c r="BX91" s="24"/>
      <c r="BY91" s="24"/>
      <c r="BZ91" s="24"/>
      <c r="CA91" s="24"/>
      <c r="CB91" s="24"/>
      <c r="CC91" s="24"/>
      <c r="CE91" s="24"/>
      <c r="CF91" s="24"/>
      <c r="CG91" s="24"/>
      <c r="CH91" s="24"/>
      <c r="CI91" s="24"/>
      <c r="CJ91" s="24"/>
    </row>
    <row r="92" spans="1:88" ht="14" customHeight="1">
      <c r="A92" s="2" t="str">
        <f t="shared" ref="A92:A118" si="55">IF(A38="","",A38)</f>
        <v>Domestic work cash income -- see Data2</v>
      </c>
      <c r="B92" s="74">
        <f t="shared" ref="B92:C92" si="56">(B38/$B$83)</f>
        <v>1.0203034472393493</v>
      </c>
      <c r="C92" s="74">
        <f t="shared" si="56"/>
        <v>0</v>
      </c>
      <c r="D92" s="23">
        <f t="shared" ref="D92:D118" si="57">(B92+C92)</f>
        <v>1.0203034472393493</v>
      </c>
      <c r="H92" s="23">
        <f t="shared" ref="H92:H118" si="58">(E38*F38/G38*F$7/F$9)</f>
        <v>0.33636363636363642</v>
      </c>
      <c r="I92" s="21">
        <f t="shared" ref="I92:I118" si="59">(D92*H92)</f>
        <v>0.34319297770778118</v>
      </c>
      <c r="J92" s="23">
        <f t="shared" ref="J92:J118" si="60">IF(I$32&lt;=1+I$131,I92,L92+J$33*(I92-L92))</f>
        <v>0.34319297770778118</v>
      </c>
      <c r="K92" s="21">
        <f t="shared" ref="K92:K118" si="61">(B92)</f>
        <v>1.0203034472393493</v>
      </c>
      <c r="L92" s="21">
        <f t="shared" ref="L92:L118" si="62">(K92*H92)</f>
        <v>0.34319297770778118</v>
      </c>
      <c r="M92" s="225">
        <f t="shared" ref="M92:M118" si="63">(J92)</f>
        <v>0.34319297770778118</v>
      </c>
      <c r="N92" s="227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4"/>
      <c r="AT92" s="24"/>
      <c r="AU92" s="24"/>
      <c r="AV92" s="24"/>
      <c r="AW92" s="24"/>
      <c r="AX92" s="24"/>
      <c r="AZ92" s="24"/>
      <c r="BA92" s="24"/>
      <c r="BB92" s="24"/>
      <c r="BC92" s="24"/>
      <c r="BD92" s="24"/>
      <c r="BE92" s="24"/>
      <c r="BI92" s="24"/>
      <c r="BJ92" s="24"/>
      <c r="BK92" s="24"/>
      <c r="BL92" s="24"/>
      <c r="BM92" s="24"/>
      <c r="BN92" s="24"/>
      <c r="BP92" s="24"/>
      <c r="BQ92" s="24"/>
      <c r="BR92" s="24"/>
      <c r="BS92" s="24"/>
      <c r="BT92" s="24"/>
      <c r="BU92" s="24"/>
      <c r="BX92" s="24"/>
      <c r="BY92" s="24"/>
      <c r="BZ92" s="24"/>
      <c r="CA92" s="24"/>
      <c r="CB92" s="24"/>
      <c r="CC92" s="24"/>
      <c r="CE92" s="24"/>
      <c r="CF92" s="24"/>
      <c r="CG92" s="24"/>
      <c r="CH92" s="24"/>
      <c r="CI92" s="24"/>
      <c r="CJ92" s="24"/>
    </row>
    <row r="93" spans="1:88" ht="14" customHeight="1">
      <c r="A93" s="2" t="str">
        <f t="shared" si="55"/>
        <v>Labour migration(formal employment): no. people per HH</v>
      </c>
      <c r="B93" s="74">
        <f t="shared" ref="B93:C93" si="64">(B39/$B$83)</f>
        <v>1.0994649215941263</v>
      </c>
      <c r="C93" s="74">
        <f t="shared" si="64"/>
        <v>0</v>
      </c>
      <c r="D93" s="23">
        <f t="shared" si="57"/>
        <v>1.0994649215941263</v>
      </c>
      <c r="H93" s="23">
        <f t="shared" si="58"/>
        <v>0.56242424242424238</v>
      </c>
      <c r="I93" s="21">
        <f t="shared" si="59"/>
        <v>0.61836572559960556</v>
      </c>
      <c r="J93" s="23">
        <f t="shared" si="60"/>
        <v>0.61836572559960556</v>
      </c>
      <c r="K93" s="21">
        <f t="shared" si="61"/>
        <v>1.0994649215941263</v>
      </c>
      <c r="L93" s="21">
        <f t="shared" si="62"/>
        <v>0.61836572559960556</v>
      </c>
      <c r="M93" s="225">
        <f t="shared" si="63"/>
        <v>0.61836572559960556</v>
      </c>
      <c r="N93" s="227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4"/>
      <c r="AT93" s="24"/>
      <c r="AU93" s="24"/>
      <c r="AV93" s="24"/>
      <c r="AW93" s="24"/>
      <c r="AX93" s="24"/>
      <c r="AZ93" s="24"/>
      <c r="BA93" s="24"/>
      <c r="BB93" s="24"/>
      <c r="BC93" s="24"/>
      <c r="BD93" s="24"/>
      <c r="BE93" s="24"/>
      <c r="BI93" s="24"/>
      <c r="BJ93" s="24"/>
      <c r="BK93" s="24"/>
      <c r="BL93" s="24"/>
      <c r="BM93" s="24"/>
      <c r="BN93" s="24"/>
      <c r="BP93" s="24"/>
      <c r="BQ93" s="24"/>
      <c r="BR93" s="24"/>
      <c r="BS93" s="24"/>
      <c r="BT93" s="24"/>
      <c r="BU93" s="24"/>
      <c r="BX93" s="24"/>
      <c r="BY93" s="24"/>
      <c r="BZ93" s="24"/>
      <c r="CA93" s="24"/>
      <c r="CB93" s="24"/>
      <c r="CC93" s="24"/>
      <c r="CE93" s="24"/>
      <c r="CF93" s="24"/>
      <c r="CG93" s="24"/>
      <c r="CH93" s="24"/>
      <c r="CI93" s="24"/>
      <c r="CJ93" s="24"/>
    </row>
    <row r="94" spans="1:88" ht="14" customHeight="1">
      <c r="A94" s="2" t="str">
        <f t="shared" si="55"/>
        <v>Formal Employment</v>
      </c>
      <c r="B94" s="74">
        <f t="shared" ref="B94:C94" si="65">(B40/$B$83)</f>
        <v>2.286887036915783</v>
      </c>
      <c r="C94" s="74">
        <f t="shared" si="65"/>
        <v>0</v>
      </c>
      <c r="D94" s="23">
        <f t="shared" si="57"/>
        <v>2.286887036915783</v>
      </c>
      <c r="H94" s="23">
        <f t="shared" si="58"/>
        <v>0.70303030303030301</v>
      </c>
      <c r="I94" s="21">
        <f t="shared" si="59"/>
        <v>1.6077508865589747</v>
      </c>
      <c r="J94" s="23">
        <f t="shared" si="60"/>
        <v>1.6077508865589747</v>
      </c>
      <c r="K94" s="21">
        <f t="shared" si="61"/>
        <v>2.286887036915783</v>
      </c>
      <c r="L94" s="21">
        <f t="shared" si="62"/>
        <v>1.6077508865589747</v>
      </c>
      <c r="M94" s="225">
        <f t="shared" si="63"/>
        <v>1.6077508865589747</v>
      </c>
      <c r="N94" s="227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4"/>
      <c r="AT94" s="24"/>
      <c r="AU94" s="24"/>
      <c r="AV94" s="24"/>
      <c r="AW94" s="24"/>
      <c r="AX94" s="24"/>
      <c r="AZ94" s="24"/>
      <c r="BA94" s="24"/>
      <c r="BB94" s="24"/>
      <c r="BC94" s="24"/>
      <c r="BD94" s="24"/>
      <c r="BE94" s="24"/>
      <c r="BI94" s="24"/>
      <c r="BJ94" s="24"/>
      <c r="BK94" s="24"/>
      <c r="BL94" s="24"/>
      <c r="BM94" s="24"/>
      <c r="BN94" s="24"/>
      <c r="BP94" s="24"/>
      <c r="BQ94" s="24"/>
      <c r="BR94" s="24"/>
      <c r="BS94" s="24"/>
      <c r="BT94" s="24"/>
      <c r="BU94" s="24"/>
      <c r="BX94" s="24"/>
      <c r="BY94" s="24"/>
      <c r="BZ94" s="24"/>
      <c r="CA94" s="24"/>
      <c r="CB94" s="24"/>
      <c r="CC94" s="24"/>
      <c r="CE94" s="24"/>
      <c r="CF94" s="24"/>
      <c r="CG94" s="24"/>
      <c r="CH94" s="24"/>
      <c r="CI94" s="24"/>
      <c r="CJ94" s="24"/>
    </row>
    <row r="95" spans="1:88" ht="14" customHeight="1">
      <c r="A95" s="2" t="str">
        <f t="shared" si="55"/>
        <v>Self-employment -- see Data2</v>
      </c>
      <c r="B95" s="74">
        <f t="shared" ref="B95:C95" si="66">(B41/$B$83)</f>
        <v>1.393241948644077</v>
      </c>
      <c r="C95" s="74">
        <f t="shared" si="66"/>
        <v>0.27864838972881528</v>
      </c>
      <c r="D95" s="23">
        <f t="shared" si="57"/>
        <v>1.6718903383728922</v>
      </c>
      <c r="H95" s="23">
        <f t="shared" si="58"/>
        <v>0.60606060606060608</v>
      </c>
      <c r="I95" s="21">
        <f t="shared" si="59"/>
        <v>1.0132668717411468</v>
      </c>
      <c r="J95" s="23">
        <f t="shared" si="60"/>
        <v>0.84205625078698543</v>
      </c>
      <c r="K95" s="21">
        <f t="shared" si="61"/>
        <v>1.393241948644077</v>
      </c>
      <c r="L95" s="21">
        <f t="shared" si="62"/>
        <v>0.84438905978428913</v>
      </c>
      <c r="M95" s="225">
        <f t="shared" si="63"/>
        <v>0.84205625078698543</v>
      </c>
      <c r="N95" s="227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4"/>
      <c r="AT95" s="24"/>
      <c r="AU95" s="24"/>
      <c r="AV95" s="24"/>
      <c r="AW95" s="24"/>
      <c r="AX95" s="24"/>
      <c r="AZ95" s="24"/>
      <c r="BA95" s="24"/>
      <c r="BB95" s="24"/>
      <c r="BC95" s="24"/>
      <c r="BD95" s="24"/>
      <c r="BE95" s="24"/>
      <c r="BI95" s="24"/>
      <c r="BJ95" s="24"/>
      <c r="BK95" s="24"/>
      <c r="BL95" s="24"/>
      <c r="BM95" s="24"/>
      <c r="BN95" s="24"/>
      <c r="BP95" s="24"/>
      <c r="BQ95" s="24"/>
      <c r="BR95" s="24"/>
      <c r="BS95" s="24"/>
      <c r="BT95" s="24"/>
      <c r="BU95" s="24"/>
      <c r="BX95" s="24"/>
      <c r="BY95" s="24"/>
      <c r="BZ95" s="24"/>
      <c r="CA95" s="24"/>
      <c r="CB95" s="24"/>
      <c r="CC95" s="24"/>
      <c r="CE95" s="24"/>
      <c r="CF95" s="24"/>
      <c r="CG95" s="24"/>
      <c r="CH95" s="24"/>
      <c r="CI95" s="24"/>
      <c r="CJ95" s="24"/>
    </row>
    <row r="96" spans="1:88" ht="14" customHeight="1">
      <c r="A96" s="2" t="str">
        <f t="shared" si="55"/>
        <v>Small business -- see Data2</v>
      </c>
      <c r="B96" s="74">
        <f t="shared" ref="B96:C96" si="67">(B42/$B$83)</f>
        <v>0.87077621790254811</v>
      </c>
      <c r="C96" s="74">
        <f t="shared" si="67"/>
        <v>0</v>
      </c>
      <c r="D96" s="23">
        <f t="shared" si="57"/>
        <v>0.87077621790254811</v>
      </c>
      <c r="H96" s="23">
        <f t="shared" si="58"/>
        <v>0.70303030303030301</v>
      </c>
      <c r="I96" s="21">
        <f t="shared" si="59"/>
        <v>0.61218206834360955</v>
      </c>
      <c r="J96" s="23">
        <f t="shared" si="60"/>
        <v>0.61218206834360955</v>
      </c>
      <c r="K96" s="21">
        <f t="shared" si="61"/>
        <v>0.87077621790254811</v>
      </c>
      <c r="L96" s="21">
        <f t="shared" si="62"/>
        <v>0.61218206834360955</v>
      </c>
      <c r="M96" s="225">
        <f t="shared" si="63"/>
        <v>0.61218206834360955</v>
      </c>
      <c r="N96" s="227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4"/>
      <c r="AT96" s="24"/>
      <c r="AU96" s="24"/>
      <c r="AV96" s="24"/>
      <c r="AW96" s="24"/>
      <c r="AX96" s="24"/>
      <c r="AZ96" s="24"/>
      <c r="BA96" s="24"/>
      <c r="BB96" s="24"/>
      <c r="BC96" s="24"/>
      <c r="BD96" s="24"/>
      <c r="BE96" s="24"/>
      <c r="BI96" s="24"/>
      <c r="BJ96" s="24"/>
      <c r="BK96" s="24"/>
      <c r="BL96" s="24"/>
      <c r="BM96" s="24"/>
      <c r="BN96" s="24"/>
      <c r="BP96" s="24"/>
      <c r="BQ96" s="24"/>
      <c r="BR96" s="24"/>
      <c r="BS96" s="24"/>
      <c r="BT96" s="24"/>
      <c r="BU96" s="24"/>
      <c r="BX96" s="24"/>
      <c r="BY96" s="24"/>
      <c r="BZ96" s="24"/>
      <c r="CA96" s="24"/>
      <c r="CB96" s="24"/>
      <c r="CC96" s="24"/>
      <c r="CE96" s="24"/>
      <c r="CF96" s="24"/>
      <c r="CG96" s="24"/>
      <c r="CH96" s="24"/>
      <c r="CI96" s="24"/>
      <c r="CJ96" s="24"/>
    </row>
    <row r="97" spans="1:88" ht="14" customHeight="1">
      <c r="A97" s="2" t="str">
        <f t="shared" si="55"/>
        <v>Social development -- see Data2</v>
      </c>
      <c r="B97" s="74">
        <f t="shared" ref="B97:C97" si="68">(B43/$B$83)</f>
        <v>0</v>
      </c>
      <c r="C97" s="74">
        <f t="shared" si="68"/>
        <v>0</v>
      </c>
      <c r="D97" s="23">
        <f t="shared" si="57"/>
        <v>0</v>
      </c>
      <c r="H97" s="23">
        <f t="shared" si="58"/>
        <v>0</v>
      </c>
      <c r="I97" s="21">
        <f t="shared" si="59"/>
        <v>0</v>
      </c>
      <c r="J97" s="23">
        <f t="shared" si="60"/>
        <v>0</v>
      </c>
      <c r="K97" s="21">
        <f t="shared" si="61"/>
        <v>0</v>
      </c>
      <c r="L97" s="21">
        <f t="shared" si="62"/>
        <v>0</v>
      </c>
      <c r="M97" s="225">
        <f t="shared" si="63"/>
        <v>0</v>
      </c>
      <c r="N97" s="227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4"/>
      <c r="AT97" s="24"/>
      <c r="AU97" s="24"/>
      <c r="AV97" s="24"/>
      <c r="AW97" s="24"/>
      <c r="AX97" s="24"/>
      <c r="AZ97" s="24"/>
      <c r="BA97" s="24"/>
      <c r="BB97" s="24"/>
      <c r="BC97" s="24"/>
      <c r="BD97" s="24"/>
      <c r="BE97" s="24"/>
      <c r="BI97" s="24"/>
      <c r="BJ97" s="24"/>
      <c r="BK97" s="24"/>
      <c r="BL97" s="24"/>
      <c r="BM97" s="24"/>
      <c r="BN97" s="24"/>
      <c r="BP97" s="24"/>
      <c r="BQ97" s="24"/>
      <c r="BR97" s="24"/>
      <c r="BS97" s="24"/>
      <c r="BT97" s="24"/>
      <c r="BU97" s="24"/>
      <c r="BX97" s="24"/>
      <c r="BY97" s="24"/>
      <c r="BZ97" s="24"/>
      <c r="CA97" s="24"/>
      <c r="CB97" s="24"/>
      <c r="CC97" s="24"/>
      <c r="CE97" s="24"/>
      <c r="CF97" s="24"/>
      <c r="CG97" s="24"/>
      <c r="CH97" s="24"/>
      <c r="CI97" s="24"/>
      <c r="CJ97" s="24"/>
    </row>
    <row r="98" spans="1:88" ht="14" customHeight="1">
      <c r="A98" s="2" t="str">
        <f t="shared" si="55"/>
        <v>Helping friends</v>
      </c>
      <c r="B98" s="74">
        <f t="shared" ref="B98:C98" si="69">(B44/$B$83)</f>
        <v>0.56292603985619272</v>
      </c>
      <c r="C98" s="74">
        <f t="shared" si="69"/>
        <v>0</v>
      </c>
      <c r="D98" s="23">
        <f t="shared" si="57"/>
        <v>0.56292603985619272</v>
      </c>
      <c r="H98" s="23">
        <f t="shared" si="58"/>
        <v>0.67272727272727284</v>
      </c>
      <c r="I98" s="21">
        <f t="shared" si="59"/>
        <v>0.37869569953962062</v>
      </c>
      <c r="J98" s="23">
        <f t="shared" si="60"/>
        <v>0.37869569953962062</v>
      </c>
      <c r="K98" s="21">
        <f t="shared" si="61"/>
        <v>0.56292603985619272</v>
      </c>
      <c r="L98" s="21">
        <f t="shared" si="62"/>
        <v>0.37869569953962062</v>
      </c>
      <c r="M98" s="225">
        <f t="shared" si="63"/>
        <v>0.37869569953962062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4"/>
      <c r="AT98" s="24"/>
      <c r="AU98" s="24"/>
      <c r="AV98" s="24"/>
      <c r="AW98" s="24"/>
      <c r="AX98" s="24"/>
      <c r="AZ98" s="24"/>
      <c r="BA98" s="24"/>
      <c r="BB98" s="24"/>
      <c r="BC98" s="24"/>
      <c r="BD98" s="24"/>
      <c r="BE98" s="24"/>
      <c r="BI98" s="24"/>
      <c r="BJ98" s="24"/>
      <c r="BK98" s="24"/>
      <c r="BL98" s="24"/>
      <c r="BM98" s="24"/>
      <c r="BN98" s="24"/>
      <c r="BP98" s="24"/>
      <c r="BQ98" s="24"/>
      <c r="BR98" s="24"/>
      <c r="BS98" s="24"/>
      <c r="BT98" s="24"/>
      <c r="BU98" s="24"/>
      <c r="BX98" s="24"/>
      <c r="BY98" s="24"/>
      <c r="BZ98" s="24"/>
      <c r="CA98" s="24"/>
      <c r="CB98" s="24"/>
      <c r="CC98" s="24"/>
      <c r="CE98" s="24"/>
      <c r="CF98" s="24"/>
      <c r="CG98" s="24"/>
      <c r="CH98" s="24"/>
      <c r="CI98" s="24"/>
      <c r="CJ98" s="24"/>
    </row>
    <row r="99" spans="1:88" ht="14" customHeight="1">
      <c r="A99" s="2" t="str">
        <f t="shared" si="55"/>
        <v>Gifts and support</v>
      </c>
      <c r="B99" s="74">
        <f t="shared" ref="B99:C99" si="70">(B45/$B$83)</f>
        <v>0.43978596863765057</v>
      </c>
      <c r="C99" s="74">
        <f t="shared" si="70"/>
        <v>0</v>
      </c>
      <c r="D99" s="23">
        <f t="shared" si="57"/>
        <v>0.43978596863765057</v>
      </c>
      <c r="H99" s="23">
        <f t="shared" si="58"/>
        <v>0.60606060606060608</v>
      </c>
      <c r="I99" s="21">
        <f t="shared" si="59"/>
        <v>0.26653695068948519</v>
      </c>
      <c r="J99" s="23">
        <f t="shared" si="60"/>
        <v>0.26653695068948519</v>
      </c>
      <c r="K99" s="21">
        <f t="shared" si="61"/>
        <v>0.43978596863765057</v>
      </c>
      <c r="L99" s="21">
        <f t="shared" si="62"/>
        <v>0.26653695068948519</v>
      </c>
      <c r="M99" s="225">
        <f t="shared" si="63"/>
        <v>0.26653695068948519</v>
      </c>
      <c r="N99" s="227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4"/>
      <c r="AT99" s="24"/>
      <c r="AU99" s="24"/>
      <c r="AV99" s="24"/>
      <c r="AW99" s="24"/>
      <c r="AX99" s="24"/>
      <c r="AZ99" s="24"/>
      <c r="BA99" s="24"/>
      <c r="BB99" s="24"/>
      <c r="BC99" s="24"/>
      <c r="BD99" s="24"/>
      <c r="BE99" s="24"/>
      <c r="BI99" s="24"/>
      <c r="BJ99" s="24"/>
      <c r="BK99" s="24"/>
      <c r="BL99" s="24"/>
      <c r="BM99" s="24"/>
      <c r="BN99" s="24"/>
      <c r="BP99" s="24"/>
      <c r="BQ99" s="24"/>
      <c r="BR99" s="24"/>
      <c r="BS99" s="24"/>
      <c r="BT99" s="24"/>
      <c r="BU99" s="24"/>
      <c r="BX99" s="24"/>
      <c r="BY99" s="24"/>
      <c r="BZ99" s="24"/>
      <c r="CA99" s="24"/>
      <c r="CB99" s="24"/>
      <c r="CC99" s="24"/>
      <c r="CE99" s="24"/>
      <c r="CF99" s="24"/>
      <c r="CG99" s="24"/>
      <c r="CH99" s="24"/>
      <c r="CI99" s="24"/>
      <c r="CJ99" s="24"/>
    </row>
    <row r="100" spans="1:88" ht="14" customHeight="1">
      <c r="A100" s="2" t="str">
        <f t="shared" si="55"/>
        <v>Remittances: no. times per year</v>
      </c>
      <c r="B100" s="74">
        <f t="shared" ref="B100:C100" si="71">(B46/$B$83)</f>
        <v>0</v>
      </c>
      <c r="C100" s="74">
        <f t="shared" si="71"/>
        <v>0</v>
      </c>
      <c r="D100" s="23">
        <f t="shared" si="57"/>
        <v>0</v>
      </c>
      <c r="H100" s="23">
        <f t="shared" si="58"/>
        <v>0.67272727272727284</v>
      </c>
      <c r="I100" s="21">
        <f t="shared" si="59"/>
        <v>0</v>
      </c>
      <c r="J100" s="23">
        <f t="shared" si="60"/>
        <v>0</v>
      </c>
      <c r="K100" s="21">
        <f t="shared" si="61"/>
        <v>0</v>
      </c>
      <c r="L100" s="21">
        <f t="shared" si="62"/>
        <v>0</v>
      </c>
      <c r="M100" s="225">
        <f t="shared" si="63"/>
        <v>0</v>
      </c>
      <c r="N100" s="227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4"/>
      <c r="AT100" s="24"/>
      <c r="AU100" s="24"/>
      <c r="AV100" s="24"/>
      <c r="AW100" s="24"/>
      <c r="AX100" s="24"/>
      <c r="AZ100" s="24"/>
      <c r="BA100" s="24"/>
      <c r="BB100" s="24"/>
      <c r="BC100" s="24"/>
      <c r="BD100" s="24"/>
      <c r="BE100" s="24"/>
      <c r="BI100" s="24"/>
      <c r="BJ100" s="24"/>
      <c r="BK100" s="24"/>
      <c r="BL100" s="24"/>
      <c r="BM100" s="24"/>
      <c r="BN100" s="24"/>
      <c r="BP100" s="24"/>
      <c r="BQ100" s="24"/>
      <c r="BR100" s="24"/>
      <c r="BS100" s="24"/>
      <c r="BT100" s="24"/>
      <c r="BU100" s="24"/>
      <c r="BX100" s="24"/>
      <c r="BY100" s="24"/>
      <c r="BZ100" s="24"/>
      <c r="CA100" s="24"/>
      <c r="CB100" s="24"/>
      <c r="CC100" s="24"/>
      <c r="CE100" s="24"/>
      <c r="CF100" s="24"/>
      <c r="CG100" s="24"/>
      <c r="CH100" s="24"/>
      <c r="CI100" s="24"/>
      <c r="CJ100" s="24"/>
    </row>
    <row r="101" spans="1:88" ht="14" customHeight="1">
      <c r="A101" s="2" t="str">
        <f t="shared" si="55"/>
        <v/>
      </c>
      <c r="B101" s="74">
        <f t="shared" ref="B101:C101" si="72">(B47/$B$83)</f>
        <v>0</v>
      </c>
      <c r="C101" s="74">
        <f t="shared" si="72"/>
        <v>0</v>
      </c>
      <c r="D101" s="23">
        <f t="shared" si="57"/>
        <v>0</v>
      </c>
      <c r="H101" s="23">
        <f t="shared" si="58"/>
        <v>0.60606060606060608</v>
      </c>
      <c r="I101" s="21">
        <f t="shared" si="59"/>
        <v>0</v>
      </c>
      <c r="J101" s="23">
        <f t="shared" si="60"/>
        <v>0</v>
      </c>
      <c r="K101" s="21">
        <f t="shared" si="61"/>
        <v>0</v>
      </c>
      <c r="L101" s="21">
        <f t="shared" si="62"/>
        <v>0</v>
      </c>
      <c r="M101" s="225">
        <f t="shared" si="63"/>
        <v>0</v>
      </c>
      <c r="N101" s="22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4"/>
      <c r="AT101" s="24"/>
      <c r="AU101" s="24"/>
      <c r="AV101" s="24"/>
      <c r="AW101" s="24"/>
      <c r="AX101" s="24"/>
      <c r="AZ101" s="24"/>
      <c r="BA101" s="24"/>
      <c r="BB101" s="24"/>
      <c r="BC101" s="24"/>
      <c r="BD101" s="24"/>
      <c r="BE101" s="24"/>
      <c r="BI101" s="24"/>
      <c r="BJ101" s="24"/>
      <c r="BK101" s="24"/>
      <c r="BL101" s="24"/>
      <c r="BM101" s="24"/>
      <c r="BN101" s="24"/>
      <c r="BP101" s="24"/>
      <c r="BQ101" s="24"/>
      <c r="BR101" s="24"/>
      <c r="BS101" s="24"/>
      <c r="BT101" s="24"/>
      <c r="BU101" s="24"/>
      <c r="BX101" s="24"/>
      <c r="BY101" s="24"/>
      <c r="BZ101" s="24"/>
      <c r="CA101" s="24"/>
      <c r="CB101" s="24"/>
      <c r="CC101" s="24"/>
      <c r="CE101" s="24"/>
      <c r="CF101" s="24"/>
      <c r="CG101" s="24"/>
      <c r="CH101" s="24"/>
      <c r="CI101" s="24"/>
      <c r="CJ101" s="24"/>
    </row>
    <row r="102" spans="1:88" ht="14" customHeight="1">
      <c r="A102" s="2" t="str">
        <f t="shared" si="55"/>
        <v/>
      </c>
      <c r="B102" s="74">
        <f t="shared" ref="B102:C102" si="73">(B48/$B$83)</f>
        <v>0</v>
      </c>
      <c r="C102" s="74">
        <f t="shared" si="73"/>
        <v>0</v>
      </c>
      <c r="D102" s="23">
        <f t="shared" si="57"/>
        <v>0</v>
      </c>
      <c r="H102" s="23">
        <f t="shared" si="58"/>
        <v>0.60606060606060608</v>
      </c>
      <c r="I102" s="21">
        <f t="shared" si="59"/>
        <v>0</v>
      </c>
      <c r="J102" s="23">
        <f t="shared" si="60"/>
        <v>0</v>
      </c>
      <c r="K102" s="21">
        <f t="shared" si="61"/>
        <v>0</v>
      </c>
      <c r="L102" s="21">
        <f t="shared" si="62"/>
        <v>0</v>
      </c>
      <c r="M102" s="225">
        <f t="shared" si="63"/>
        <v>0</v>
      </c>
      <c r="N102" s="22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4"/>
      <c r="AT102" s="24"/>
      <c r="AU102" s="24"/>
      <c r="AV102" s="24"/>
      <c r="AW102" s="24"/>
      <c r="AX102" s="24"/>
      <c r="AZ102" s="24"/>
      <c r="BA102" s="24"/>
      <c r="BB102" s="24"/>
      <c r="BC102" s="24"/>
      <c r="BD102" s="24"/>
      <c r="BE102" s="24"/>
      <c r="BI102" s="24"/>
      <c r="BJ102" s="24"/>
      <c r="BK102" s="24"/>
      <c r="BL102" s="24"/>
      <c r="BM102" s="24"/>
      <c r="BN102" s="24"/>
      <c r="BP102" s="24"/>
      <c r="BQ102" s="24"/>
      <c r="BR102" s="24"/>
      <c r="BS102" s="24"/>
      <c r="BT102" s="24"/>
      <c r="BU102" s="24"/>
      <c r="BX102" s="24"/>
      <c r="BY102" s="24"/>
      <c r="BZ102" s="24"/>
      <c r="CA102" s="24"/>
      <c r="CB102" s="24"/>
      <c r="CC102" s="24"/>
      <c r="CE102" s="24"/>
      <c r="CF102" s="24"/>
      <c r="CG102" s="24"/>
      <c r="CH102" s="24"/>
      <c r="CI102" s="24"/>
      <c r="CJ102" s="24"/>
    </row>
    <row r="103" spans="1:88" ht="14" customHeight="1">
      <c r="A103" s="2" t="str">
        <f t="shared" si="55"/>
        <v/>
      </c>
      <c r="B103" s="74">
        <f t="shared" ref="B103:C103" si="74">(B49/$B$83)</f>
        <v>0</v>
      </c>
      <c r="C103" s="74">
        <f t="shared" si="74"/>
        <v>0</v>
      </c>
      <c r="D103" s="23">
        <f t="shared" si="57"/>
        <v>0</v>
      </c>
      <c r="H103" s="23">
        <f t="shared" si="58"/>
        <v>0.60606060606060608</v>
      </c>
      <c r="I103" s="21">
        <f t="shared" si="59"/>
        <v>0</v>
      </c>
      <c r="J103" s="23">
        <f t="shared" si="60"/>
        <v>0</v>
      </c>
      <c r="K103" s="21">
        <f t="shared" si="61"/>
        <v>0</v>
      </c>
      <c r="L103" s="21">
        <f t="shared" si="62"/>
        <v>0</v>
      </c>
      <c r="M103" s="225">
        <f t="shared" si="63"/>
        <v>0</v>
      </c>
      <c r="N103" s="22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4"/>
      <c r="AT103" s="24"/>
      <c r="AU103" s="24"/>
      <c r="AV103" s="24"/>
      <c r="AW103" s="24"/>
      <c r="AX103" s="24"/>
      <c r="AZ103" s="24"/>
      <c r="BA103" s="24"/>
      <c r="BB103" s="24"/>
      <c r="BC103" s="24"/>
      <c r="BD103" s="24"/>
      <c r="BE103" s="24"/>
      <c r="BI103" s="24"/>
      <c r="BJ103" s="24"/>
      <c r="BK103" s="24"/>
      <c r="BL103" s="24"/>
      <c r="BM103" s="24"/>
      <c r="BN103" s="24"/>
      <c r="BP103" s="24"/>
      <c r="BQ103" s="24"/>
      <c r="BR103" s="24"/>
      <c r="BS103" s="24"/>
      <c r="BT103" s="24"/>
      <c r="BU103" s="24"/>
      <c r="BX103" s="24"/>
      <c r="BY103" s="24"/>
      <c r="BZ103" s="24"/>
      <c r="CA103" s="24"/>
      <c r="CB103" s="24"/>
      <c r="CC103" s="24"/>
      <c r="CE103" s="24"/>
      <c r="CF103" s="24"/>
      <c r="CG103" s="24"/>
      <c r="CH103" s="24"/>
      <c r="CI103" s="24"/>
      <c r="CJ103" s="24"/>
    </row>
    <row r="104" spans="1:88" ht="14" customHeight="1">
      <c r="A104" s="2" t="str">
        <f t="shared" si="55"/>
        <v/>
      </c>
      <c r="B104" s="74">
        <f t="shared" ref="B104:C104" si="75">(B50/$B$83)</f>
        <v>0</v>
      </c>
      <c r="C104" s="74">
        <f t="shared" si="75"/>
        <v>0</v>
      </c>
      <c r="D104" s="23">
        <f t="shared" si="57"/>
        <v>0</v>
      </c>
      <c r="H104" s="23">
        <f t="shared" si="58"/>
        <v>0.60606060606060608</v>
      </c>
      <c r="I104" s="21">
        <f t="shared" si="59"/>
        <v>0</v>
      </c>
      <c r="J104" s="23">
        <f t="shared" si="60"/>
        <v>0</v>
      </c>
      <c r="K104" s="21">
        <f t="shared" si="61"/>
        <v>0</v>
      </c>
      <c r="L104" s="21">
        <f t="shared" si="62"/>
        <v>0</v>
      </c>
      <c r="M104" s="225">
        <f t="shared" si="63"/>
        <v>0</v>
      </c>
      <c r="N104" s="22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4"/>
      <c r="AT104" s="24"/>
      <c r="AU104" s="24"/>
      <c r="AV104" s="24"/>
      <c r="AW104" s="24"/>
      <c r="AX104" s="24"/>
      <c r="AZ104" s="24"/>
      <c r="BA104" s="24"/>
      <c r="BB104" s="24"/>
      <c r="BC104" s="24"/>
      <c r="BD104" s="24"/>
      <c r="BE104" s="24"/>
      <c r="BI104" s="24"/>
      <c r="BJ104" s="24"/>
      <c r="BK104" s="24"/>
      <c r="BL104" s="24"/>
      <c r="BM104" s="24"/>
      <c r="BN104" s="24"/>
      <c r="BP104" s="24"/>
      <c r="BQ104" s="24"/>
      <c r="BR104" s="24"/>
      <c r="BS104" s="24"/>
      <c r="BT104" s="24"/>
      <c r="BU104" s="24"/>
      <c r="BX104" s="24"/>
      <c r="BY104" s="24"/>
      <c r="BZ104" s="24"/>
      <c r="CA104" s="24"/>
      <c r="CB104" s="24"/>
      <c r="CC104" s="24"/>
      <c r="CE104" s="24"/>
      <c r="CF104" s="24"/>
      <c r="CG104" s="24"/>
      <c r="CH104" s="24"/>
      <c r="CI104" s="24"/>
      <c r="CJ104" s="24"/>
    </row>
    <row r="105" spans="1:88" ht="14" customHeight="1">
      <c r="A105" s="2" t="str">
        <f t="shared" si="55"/>
        <v/>
      </c>
      <c r="B105" s="74">
        <f t="shared" ref="B105:C105" si="76">(B51/$B$83)</f>
        <v>0</v>
      </c>
      <c r="C105" s="74">
        <f t="shared" si="76"/>
        <v>0</v>
      </c>
      <c r="D105" s="23">
        <f t="shared" si="57"/>
        <v>0</v>
      </c>
      <c r="H105" s="23">
        <f t="shared" si="58"/>
        <v>0.60606060606060608</v>
      </c>
      <c r="I105" s="21">
        <f t="shared" si="59"/>
        <v>0</v>
      </c>
      <c r="J105" s="23">
        <f t="shared" si="60"/>
        <v>0</v>
      </c>
      <c r="K105" s="21">
        <f t="shared" si="61"/>
        <v>0</v>
      </c>
      <c r="L105" s="21">
        <f t="shared" si="62"/>
        <v>0</v>
      </c>
      <c r="M105" s="225">
        <f t="shared" si="63"/>
        <v>0</v>
      </c>
      <c r="N105" s="22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4"/>
      <c r="AT105" s="24"/>
      <c r="AU105" s="24"/>
      <c r="AV105" s="24"/>
      <c r="AW105" s="24"/>
      <c r="AX105" s="24"/>
      <c r="AZ105" s="24"/>
      <c r="BA105" s="24"/>
      <c r="BB105" s="24"/>
      <c r="BC105" s="24"/>
      <c r="BD105" s="24"/>
      <c r="BE105" s="24"/>
      <c r="BI105" s="24"/>
      <c r="BJ105" s="24"/>
      <c r="BK105" s="24"/>
      <c r="BL105" s="24"/>
      <c r="BM105" s="24"/>
      <c r="BN105" s="24"/>
      <c r="BP105" s="24"/>
      <c r="BQ105" s="24"/>
      <c r="BR105" s="24"/>
      <c r="BS105" s="24"/>
      <c r="BT105" s="24"/>
      <c r="BU105" s="24"/>
      <c r="BX105" s="24"/>
      <c r="BY105" s="24"/>
      <c r="BZ105" s="24"/>
      <c r="CA105" s="24"/>
      <c r="CB105" s="24"/>
      <c r="CC105" s="24"/>
      <c r="CE105" s="24"/>
      <c r="CF105" s="24"/>
      <c r="CG105" s="24"/>
      <c r="CH105" s="24"/>
      <c r="CI105" s="24"/>
      <c r="CJ105" s="24"/>
    </row>
    <row r="106" spans="1:88" ht="14" customHeight="1">
      <c r="A106" s="2" t="str">
        <f t="shared" si="55"/>
        <v/>
      </c>
      <c r="B106" s="74">
        <f t="shared" ref="B106:C106" si="77">(B52/$B$83)</f>
        <v>0</v>
      </c>
      <c r="C106" s="74">
        <f t="shared" si="77"/>
        <v>0</v>
      </c>
      <c r="D106" s="23">
        <f t="shared" si="57"/>
        <v>0</v>
      </c>
      <c r="H106" s="23">
        <f t="shared" si="58"/>
        <v>0.60606060606060608</v>
      </c>
      <c r="I106" s="21">
        <f t="shared" si="59"/>
        <v>0</v>
      </c>
      <c r="J106" s="23">
        <f t="shared" si="60"/>
        <v>0</v>
      </c>
      <c r="K106" s="21">
        <f t="shared" si="61"/>
        <v>0</v>
      </c>
      <c r="L106" s="21">
        <f t="shared" si="62"/>
        <v>0</v>
      </c>
      <c r="M106" s="225">
        <f t="shared" si="63"/>
        <v>0</v>
      </c>
      <c r="N106" s="22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4"/>
      <c r="AT106" s="24"/>
      <c r="AU106" s="24"/>
      <c r="AV106" s="24"/>
      <c r="AW106" s="24"/>
      <c r="AX106" s="24"/>
      <c r="AZ106" s="24"/>
      <c r="BA106" s="24"/>
      <c r="BB106" s="24"/>
      <c r="BC106" s="24"/>
      <c r="BD106" s="24"/>
      <c r="BE106" s="24"/>
      <c r="BI106" s="24"/>
      <c r="BJ106" s="24"/>
      <c r="BK106" s="24"/>
      <c r="BL106" s="24"/>
      <c r="BM106" s="24"/>
      <c r="BN106" s="24"/>
      <c r="BP106" s="24"/>
      <c r="BQ106" s="24"/>
      <c r="BR106" s="24"/>
      <c r="BS106" s="24"/>
      <c r="BT106" s="24"/>
      <c r="BU106" s="24"/>
      <c r="BX106" s="24"/>
      <c r="BY106" s="24"/>
      <c r="BZ106" s="24"/>
      <c r="CA106" s="24"/>
      <c r="CB106" s="24"/>
      <c r="CC106" s="24"/>
      <c r="CE106" s="24"/>
      <c r="CF106" s="24"/>
      <c r="CG106" s="24"/>
      <c r="CH106" s="24"/>
      <c r="CI106" s="24"/>
      <c r="CJ106" s="24"/>
    </row>
    <row r="107" spans="1:88" ht="14" customHeight="1">
      <c r="A107" s="2" t="str">
        <f t="shared" si="55"/>
        <v/>
      </c>
      <c r="B107" s="74">
        <f t="shared" ref="B107:C107" si="78">(B53/$B$83)</f>
        <v>0</v>
      </c>
      <c r="C107" s="74">
        <f t="shared" si="78"/>
        <v>0</v>
      </c>
      <c r="D107" s="23">
        <f t="shared" si="57"/>
        <v>0</v>
      </c>
      <c r="H107" s="23">
        <f t="shared" si="58"/>
        <v>0.60606060606060608</v>
      </c>
      <c r="I107" s="21">
        <f t="shared" si="59"/>
        <v>0</v>
      </c>
      <c r="J107" s="23">
        <f t="shared" si="60"/>
        <v>0</v>
      </c>
      <c r="K107" s="21">
        <f t="shared" si="61"/>
        <v>0</v>
      </c>
      <c r="L107" s="21">
        <f t="shared" si="62"/>
        <v>0</v>
      </c>
      <c r="M107" s="225">
        <f t="shared" si="6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4"/>
      <c r="AT107" s="24"/>
      <c r="AU107" s="24"/>
      <c r="AV107" s="24"/>
      <c r="AW107" s="24"/>
      <c r="AX107" s="24"/>
      <c r="AZ107" s="24"/>
      <c r="BA107" s="24"/>
      <c r="BB107" s="24"/>
      <c r="BC107" s="24"/>
      <c r="BD107" s="24"/>
      <c r="BE107" s="24"/>
      <c r="BI107" s="24"/>
      <c r="BJ107" s="24"/>
      <c r="BK107" s="24"/>
      <c r="BL107" s="24"/>
      <c r="BM107" s="24"/>
      <c r="BN107" s="24"/>
      <c r="BP107" s="24"/>
      <c r="BQ107" s="24"/>
      <c r="BR107" s="24"/>
      <c r="BS107" s="24"/>
      <c r="BT107" s="24"/>
      <c r="BU107" s="24"/>
      <c r="BX107" s="24"/>
      <c r="BY107" s="24"/>
      <c r="BZ107" s="24"/>
      <c r="CA107" s="24"/>
      <c r="CB107" s="24"/>
      <c r="CC107" s="24"/>
      <c r="CE107" s="24"/>
      <c r="CF107" s="24"/>
      <c r="CG107" s="24"/>
      <c r="CH107" s="24"/>
      <c r="CI107" s="24"/>
      <c r="CJ107" s="24"/>
    </row>
    <row r="108" spans="1:88" ht="14" customHeight="1">
      <c r="A108" s="2" t="str">
        <f t="shared" si="55"/>
        <v/>
      </c>
      <c r="B108" s="74">
        <f t="shared" ref="B108:C108" si="79">(B54/$B$83)</f>
        <v>0</v>
      </c>
      <c r="C108" s="74">
        <f t="shared" si="79"/>
        <v>0</v>
      </c>
      <c r="D108" s="23">
        <f t="shared" si="57"/>
        <v>0</v>
      </c>
      <c r="H108" s="23">
        <f t="shared" si="58"/>
        <v>0.60606060606060608</v>
      </c>
      <c r="I108" s="21">
        <f t="shared" si="59"/>
        <v>0</v>
      </c>
      <c r="J108" s="23">
        <f t="shared" si="60"/>
        <v>0</v>
      </c>
      <c r="K108" s="21">
        <f t="shared" si="61"/>
        <v>0</v>
      </c>
      <c r="L108" s="21">
        <f t="shared" si="62"/>
        <v>0</v>
      </c>
      <c r="M108" s="225">
        <f t="shared" si="6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4"/>
      <c r="AT108" s="24"/>
      <c r="AU108" s="24"/>
      <c r="AV108" s="24"/>
      <c r="AW108" s="24"/>
      <c r="AX108" s="24"/>
      <c r="AZ108" s="24"/>
      <c r="BA108" s="24"/>
      <c r="BB108" s="24"/>
      <c r="BC108" s="24"/>
      <c r="BD108" s="24"/>
      <c r="BE108" s="24"/>
      <c r="BI108" s="24"/>
      <c r="BJ108" s="24"/>
      <c r="BK108" s="24"/>
      <c r="BL108" s="24"/>
      <c r="BM108" s="24"/>
      <c r="BN108" s="24"/>
      <c r="BP108" s="24"/>
      <c r="BQ108" s="24"/>
      <c r="BR108" s="24"/>
      <c r="BS108" s="24"/>
      <c r="BT108" s="24"/>
      <c r="BU108" s="24"/>
      <c r="BX108" s="24"/>
      <c r="BY108" s="24"/>
      <c r="BZ108" s="24"/>
      <c r="CA108" s="24"/>
      <c r="CB108" s="24"/>
      <c r="CC108" s="24"/>
      <c r="CE108" s="24"/>
      <c r="CF108" s="24"/>
      <c r="CG108" s="24"/>
      <c r="CH108" s="24"/>
      <c r="CI108" s="24"/>
      <c r="CJ108" s="24"/>
    </row>
    <row r="109" spans="1:88" ht="14" customHeight="1">
      <c r="A109" s="2" t="str">
        <f t="shared" si="55"/>
        <v/>
      </c>
      <c r="B109" s="74">
        <f t="shared" ref="B109:C109" si="80">(B55/$B$83)</f>
        <v>0</v>
      </c>
      <c r="C109" s="74">
        <f t="shared" si="80"/>
        <v>0</v>
      </c>
      <c r="D109" s="23">
        <f t="shared" si="57"/>
        <v>0</v>
      </c>
      <c r="H109" s="23">
        <f t="shared" si="58"/>
        <v>0.60606060606060608</v>
      </c>
      <c r="I109" s="21">
        <f t="shared" si="59"/>
        <v>0</v>
      </c>
      <c r="J109" s="23">
        <f t="shared" si="60"/>
        <v>0</v>
      </c>
      <c r="K109" s="21">
        <f t="shared" si="61"/>
        <v>0</v>
      </c>
      <c r="L109" s="21">
        <f t="shared" si="62"/>
        <v>0</v>
      </c>
      <c r="M109" s="225">
        <f t="shared" si="6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4"/>
      <c r="AT109" s="24"/>
      <c r="AU109" s="24"/>
      <c r="AV109" s="24"/>
      <c r="AW109" s="24"/>
      <c r="AX109" s="24"/>
      <c r="AZ109" s="24"/>
      <c r="BA109" s="24"/>
      <c r="BB109" s="24"/>
      <c r="BC109" s="24"/>
      <c r="BD109" s="24"/>
      <c r="BE109" s="24"/>
      <c r="BI109" s="24"/>
      <c r="BJ109" s="24"/>
      <c r="BK109" s="24"/>
      <c r="BL109" s="24"/>
      <c r="BM109" s="24"/>
      <c r="BN109" s="24"/>
      <c r="BP109" s="24"/>
      <c r="BQ109" s="24"/>
      <c r="BR109" s="24"/>
      <c r="BS109" s="24"/>
      <c r="BT109" s="24"/>
      <c r="BU109" s="24"/>
      <c r="BX109" s="24"/>
      <c r="BY109" s="24"/>
      <c r="BZ109" s="24"/>
      <c r="CA109" s="24"/>
      <c r="CB109" s="24"/>
      <c r="CC109" s="24"/>
      <c r="CE109" s="24"/>
      <c r="CF109" s="24"/>
      <c r="CG109" s="24"/>
      <c r="CH109" s="24"/>
      <c r="CI109" s="24"/>
      <c r="CJ109" s="24"/>
    </row>
    <row r="110" spans="1:88" ht="14" customHeight="1">
      <c r="A110" s="2" t="str">
        <f t="shared" si="55"/>
        <v/>
      </c>
      <c r="B110" s="74">
        <f t="shared" ref="B110:C110" si="81">(B56/$B$83)</f>
        <v>0</v>
      </c>
      <c r="C110" s="74">
        <f t="shared" si="81"/>
        <v>0</v>
      </c>
      <c r="D110" s="23">
        <f t="shared" si="57"/>
        <v>0</v>
      </c>
      <c r="H110" s="23">
        <f t="shared" si="58"/>
        <v>0.60606060606060608</v>
      </c>
      <c r="I110" s="21">
        <f t="shared" si="59"/>
        <v>0</v>
      </c>
      <c r="J110" s="23">
        <f t="shared" si="60"/>
        <v>0</v>
      </c>
      <c r="K110" s="21">
        <f t="shared" si="61"/>
        <v>0</v>
      </c>
      <c r="L110" s="21">
        <f t="shared" si="62"/>
        <v>0</v>
      </c>
      <c r="M110" s="225">
        <f t="shared" si="6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4"/>
      <c r="AT110" s="24"/>
      <c r="AU110" s="24"/>
      <c r="AV110" s="24"/>
      <c r="AW110" s="24"/>
      <c r="AX110" s="24"/>
      <c r="AZ110" s="24"/>
      <c r="BA110" s="24"/>
      <c r="BB110" s="24"/>
      <c r="BC110" s="24"/>
      <c r="BD110" s="24"/>
      <c r="BE110" s="24"/>
      <c r="BI110" s="24"/>
      <c r="BJ110" s="24"/>
      <c r="BK110" s="24"/>
      <c r="BL110" s="24"/>
      <c r="BM110" s="24"/>
      <c r="BN110" s="24"/>
      <c r="BP110" s="24"/>
      <c r="BQ110" s="24"/>
      <c r="BR110" s="24"/>
      <c r="BS110" s="24"/>
      <c r="BT110" s="24"/>
      <c r="BU110" s="24"/>
      <c r="BX110" s="24"/>
      <c r="BY110" s="24"/>
      <c r="BZ110" s="24"/>
      <c r="CA110" s="24"/>
      <c r="CB110" s="24"/>
      <c r="CC110" s="24"/>
      <c r="CE110" s="24"/>
      <c r="CF110" s="24"/>
      <c r="CG110" s="24"/>
      <c r="CH110" s="24"/>
      <c r="CI110" s="24"/>
      <c r="CJ110" s="24"/>
    </row>
    <row r="111" spans="1:88" ht="14" customHeight="1">
      <c r="A111" s="2" t="str">
        <f t="shared" si="55"/>
        <v/>
      </c>
      <c r="B111" s="74">
        <f t="shared" ref="B111:C111" si="82">(B57/$B$83)</f>
        <v>0</v>
      </c>
      <c r="C111" s="74">
        <f t="shared" si="82"/>
        <v>0</v>
      </c>
      <c r="D111" s="23">
        <f t="shared" si="57"/>
        <v>0</v>
      </c>
      <c r="H111" s="23">
        <f t="shared" si="58"/>
        <v>0.60606060606060608</v>
      </c>
      <c r="I111" s="21">
        <f t="shared" si="59"/>
        <v>0</v>
      </c>
      <c r="J111" s="23">
        <f t="shared" si="60"/>
        <v>0</v>
      </c>
      <c r="K111" s="21">
        <f t="shared" si="61"/>
        <v>0</v>
      </c>
      <c r="L111" s="21">
        <f t="shared" si="62"/>
        <v>0</v>
      </c>
      <c r="M111" s="225">
        <f t="shared" si="6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4"/>
      <c r="AT111" s="24"/>
      <c r="AU111" s="24"/>
      <c r="AV111" s="24"/>
      <c r="AW111" s="24"/>
      <c r="AX111" s="24"/>
      <c r="AZ111" s="24"/>
      <c r="BA111" s="24"/>
      <c r="BB111" s="24"/>
      <c r="BC111" s="24"/>
      <c r="BD111" s="24"/>
      <c r="BE111" s="24"/>
      <c r="BI111" s="24"/>
      <c r="BJ111" s="24"/>
      <c r="BK111" s="24"/>
      <c r="BL111" s="24"/>
      <c r="BM111" s="24"/>
      <c r="BN111" s="24"/>
      <c r="BP111" s="24"/>
      <c r="BQ111" s="24"/>
      <c r="BR111" s="24"/>
      <c r="BS111" s="24"/>
      <c r="BT111" s="24"/>
      <c r="BU111" s="24"/>
      <c r="BX111" s="24"/>
      <c r="BY111" s="24"/>
      <c r="BZ111" s="24"/>
      <c r="CA111" s="24"/>
      <c r="CB111" s="24"/>
      <c r="CC111" s="24"/>
      <c r="CE111" s="24"/>
      <c r="CF111" s="24"/>
      <c r="CG111" s="24"/>
      <c r="CH111" s="24"/>
      <c r="CI111" s="24"/>
      <c r="CJ111" s="24"/>
    </row>
    <row r="112" spans="1:88" ht="14" customHeight="1">
      <c r="A112" s="2" t="str">
        <f t="shared" si="55"/>
        <v/>
      </c>
      <c r="B112" s="74">
        <f t="shared" ref="B112:C112" si="83">(B58/$B$83)</f>
        <v>0</v>
      </c>
      <c r="C112" s="74">
        <f t="shared" si="83"/>
        <v>0</v>
      </c>
      <c r="D112" s="23">
        <f t="shared" si="57"/>
        <v>0</v>
      </c>
      <c r="H112" s="23">
        <f t="shared" si="58"/>
        <v>0.60606060606060608</v>
      </c>
      <c r="I112" s="21">
        <f t="shared" si="59"/>
        <v>0</v>
      </c>
      <c r="J112" s="23">
        <f t="shared" si="60"/>
        <v>0</v>
      </c>
      <c r="K112" s="21">
        <f t="shared" si="61"/>
        <v>0</v>
      </c>
      <c r="L112" s="21">
        <f t="shared" si="62"/>
        <v>0</v>
      </c>
      <c r="M112" s="225">
        <f t="shared" si="6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4"/>
      <c r="AT112" s="24"/>
      <c r="AU112" s="24"/>
      <c r="AV112" s="24"/>
      <c r="AW112" s="24"/>
      <c r="AX112" s="24"/>
      <c r="AZ112" s="24"/>
      <c r="BA112" s="24"/>
      <c r="BB112" s="24"/>
      <c r="BC112" s="24"/>
      <c r="BD112" s="24"/>
      <c r="BE112" s="24"/>
      <c r="BI112" s="24"/>
      <c r="BJ112" s="24"/>
      <c r="BK112" s="24"/>
      <c r="BL112" s="24"/>
      <c r="BM112" s="24"/>
      <c r="BN112" s="24"/>
      <c r="BP112" s="24"/>
      <c r="BQ112" s="24"/>
      <c r="BR112" s="24"/>
      <c r="BS112" s="24"/>
      <c r="BT112" s="24"/>
      <c r="BU112" s="24"/>
      <c r="BX112" s="24"/>
      <c r="BY112" s="24"/>
      <c r="BZ112" s="24"/>
      <c r="CA112" s="24"/>
      <c r="CB112" s="24"/>
      <c r="CC112" s="24"/>
      <c r="CE112" s="24"/>
      <c r="CF112" s="24"/>
      <c r="CG112" s="24"/>
      <c r="CH112" s="24"/>
      <c r="CI112" s="24"/>
      <c r="CJ112" s="24"/>
    </row>
    <row r="113" spans="1:88" ht="14" customHeight="1">
      <c r="A113" s="2" t="str">
        <f t="shared" si="55"/>
        <v/>
      </c>
      <c r="B113" s="74">
        <f t="shared" ref="B113:C113" si="84">(B59/$B$83)</f>
        <v>0</v>
      </c>
      <c r="C113" s="74">
        <f t="shared" si="84"/>
        <v>0</v>
      </c>
      <c r="D113" s="23">
        <f t="shared" si="57"/>
        <v>0</v>
      </c>
      <c r="H113" s="23">
        <f t="shared" si="58"/>
        <v>0.60606060606060608</v>
      </c>
      <c r="I113" s="21">
        <f t="shared" si="59"/>
        <v>0</v>
      </c>
      <c r="J113" s="23">
        <f t="shared" si="60"/>
        <v>0</v>
      </c>
      <c r="K113" s="21">
        <f t="shared" si="61"/>
        <v>0</v>
      </c>
      <c r="L113" s="21">
        <f t="shared" si="62"/>
        <v>0</v>
      </c>
      <c r="M113" s="225">
        <f t="shared" si="6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4"/>
      <c r="AT113" s="24"/>
      <c r="AU113" s="24"/>
      <c r="AV113" s="24"/>
      <c r="AW113" s="24"/>
      <c r="AX113" s="24"/>
      <c r="AZ113" s="24"/>
      <c r="BA113" s="24"/>
      <c r="BB113" s="24"/>
      <c r="BC113" s="24"/>
      <c r="BD113" s="24"/>
      <c r="BE113" s="24"/>
      <c r="BI113" s="24"/>
      <c r="BJ113" s="24"/>
      <c r="BK113" s="24"/>
      <c r="BL113" s="24"/>
      <c r="BM113" s="24"/>
      <c r="BN113" s="24"/>
      <c r="BP113" s="24"/>
      <c r="BQ113" s="24"/>
      <c r="BR113" s="24"/>
      <c r="BS113" s="24"/>
      <c r="BT113" s="24"/>
      <c r="BU113" s="24"/>
      <c r="BX113" s="24"/>
      <c r="BY113" s="24"/>
      <c r="BZ113" s="24"/>
      <c r="CA113" s="24"/>
      <c r="CB113" s="24"/>
      <c r="CC113" s="24"/>
      <c r="CE113" s="24"/>
      <c r="CF113" s="24"/>
      <c r="CG113" s="24"/>
      <c r="CH113" s="24"/>
      <c r="CI113" s="24"/>
      <c r="CJ113" s="24"/>
    </row>
    <row r="114" spans="1:88" ht="14" customHeight="1">
      <c r="A114" s="2" t="str">
        <f t="shared" si="55"/>
        <v/>
      </c>
      <c r="B114" s="74">
        <f t="shared" ref="B114:C114" si="85">(B60/$B$83)</f>
        <v>0</v>
      </c>
      <c r="C114" s="74">
        <f t="shared" si="85"/>
        <v>0</v>
      </c>
      <c r="D114" s="23">
        <f t="shared" si="57"/>
        <v>0</v>
      </c>
      <c r="H114" s="23">
        <f t="shared" si="58"/>
        <v>0.60606060606060608</v>
      </c>
      <c r="I114" s="21">
        <f t="shared" si="59"/>
        <v>0</v>
      </c>
      <c r="J114" s="23">
        <f t="shared" si="60"/>
        <v>0</v>
      </c>
      <c r="K114" s="21">
        <f t="shared" si="61"/>
        <v>0</v>
      </c>
      <c r="L114" s="21">
        <f t="shared" si="62"/>
        <v>0</v>
      </c>
      <c r="M114" s="225">
        <f t="shared" si="6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4"/>
      <c r="AT114" s="24"/>
      <c r="AU114" s="24"/>
      <c r="AV114" s="24"/>
      <c r="AW114" s="24"/>
      <c r="AX114" s="24"/>
      <c r="AZ114" s="24"/>
      <c r="BA114" s="24"/>
      <c r="BB114" s="24"/>
      <c r="BC114" s="24"/>
      <c r="BD114" s="24"/>
      <c r="BE114" s="24"/>
      <c r="BI114" s="24"/>
      <c r="BJ114" s="24"/>
      <c r="BK114" s="24"/>
      <c r="BL114" s="24"/>
      <c r="BM114" s="24"/>
      <c r="BN114" s="24"/>
      <c r="BP114" s="24"/>
      <c r="BQ114" s="24"/>
      <c r="BR114" s="24"/>
      <c r="BS114" s="24"/>
      <c r="BT114" s="24"/>
      <c r="BU114" s="24"/>
      <c r="BX114" s="24"/>
      <c r="BY114" s="24"/>
      <c r="BZ114" s="24"/>
      <c r="CA114" s="24"/>
      <c r="CB114" s="24"/>
      <c r="CC114" s="24"/>
      <c r="CE114" s="24"/>
      <c r="CF114" s="24"/>
      <c r="CG114" s="24"/>
      <c r="CH114" s="24"/>
      <c r="CI114" s="24"/>
      <c r="CJ114" s="24"/>
    </row>
    <row r="115" spans="1:88" ht="14" customHeight="1">
      <c r="A115" s="2" t="str">
        <f t="shared" si="55"/>
        <v/>
      </c>
      <c r="B115" s="74">
        <f t="shared" ref="B115:C115" si="86">(B61/$B$83)</f>
        <v>0</v>
      </c>
      <c r="C115" s="74">
        <f t="shared" si="86"/>
        <v>0</v>
      </c>
      <c r="D115" s="23">
        <f t="shared" si="57"/>
        <v>0</v>
      </c>
      <c r="H115" s="23">
        <f t="shared" si="58"/>
        <v>0.60606060606060608</v>
      </c>
      <c r="I115" s="21">
        <f t="shared" si="59"/>
        <v>0</v>
      </c>
      <c r="J115" s="23">
        <f t="shared" si="60"/>
        <v>0</v>
      </c>
      <c r="K115" s="21">
        <f t="shared" si="61"/>
        <v>0</v>
      </c>
      <c r="L115" s="21">
        <f t="shared" si="62"/>
        <v>0</v>
      </c>
      <c r="M115" s="225">
        <f t="shared" si="6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4"/>
      <c r="AT115" s="24"/>
      <c r="AU115" s="24"/>
      <c r="AV115" s="24"/>
      <c r="AW115" s="24"/>
      <c r="AX115" s="24"/>
      <c r="AZ115" s="24"/>
      <c r="BA115" s="24"/>
      <c r="BB115" s="24"/>
      <c r="BC115" s="24"/>
      <c r="BD115" s="24"/>
      <c r="BE115" s="24"/>
      <c r="BI115" s="24"/>
      <c r="BJ115" s="24"/>
      <c r="BK115" s="24"/>
      <c r="BL115" s="24"/>
      <c r="BM115" s="24"/>
      <c r="BN115" s="24"/>
      <c r="BP115" s="24"/>
      <c r="BQ115" s="24"/>
      <c r="BR115" s="24"/>
      <c r="BS115" s="24"/>
      <c r="BT115" s="24"/>
      <c r="BU115" s="24"/>
      <c r="BX115" s="24"/>
      <c r="BY115" s="24"/>
      <c r="BZ115" s="24"/>
      <c r="CA115" s="24"/>
      <c r="CB115" s="24"/>
      <c r="CC115" s="24"/>
      <c r="CE115" s="24"/>
      <c r="CF115" s="24"/>
      <c r="CG115" s="24"/>
      <c r="CH115" s="24"/>
      <c r="CI115" s="24"/>
      <c r="CJ115" s="24"/>
    </row>
    <row r="116" spans="1:88" ht="14" customHeight="1">
      <c r="A116" s="2" t="str">
        <f t="shared" si="55"/>
        <v/>
      </c>
      <c r="B116" s="74">
        <f t="shared" ref="B116:C116" si="87">(B62/$B$83)</f>
        <v>0</v>
      </c>
      <c r="C116" s="74">
        <f t="shared" si="87"/>
        <v>0</v>
      </c>
      <c r="D116" s="23">
        <f t="shared" si="57"/>
        <v>0</v>
      </c>
      <c r="H116" s="23">
        <f t="shared" si="58"/>
        <v>0.60606060606060608</v>
      </c>
      <c r="I116" s="21">
        <f t="shared" si="59"/>
        <v>0</v>
      </c>
      <c r="J116" s="23">
        <f t="shared" si="60"/>
        <v>0</v>
      </c>
      <c r="K116" s="21">
        <f t="shared" si="61"/>
        <v>0</v>
      </c>
      <c r="L116" s="21">
        <f t="shared" si="62"/>
        <v>0</v>
      </c>
      <c r="M116" s="225">
        <f t="shared" si="6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4"/>
      <c r="AT116" s="24"/>
      <c r="AU116" s="24"/>
      <c r="AV116" s="24"/>
      <c r="AW116" s="24"/>
      <c r="AX116" s="24"/>
      <c r="AZ116" s="24"/>
      <c r="BA116" s="24"/>
      <c r="BB116" s="24"/>
      <c r="BC116" s="24"/>
      <c r="BD116" s="24"/>
      <c r="BE116" s="24"/>
      <c r="BI116" s="24"/>
      <c r="BJ116" s="24"/>
      <c r="BK116" s="24"/>
      <c r="BL116" s="24"/>
      <c r="BM116" s="24"/>
      <c r="BN116" s="24"/>
      <c r="BP116" s="24"/>
      <c r="BQ116" s="24"/>
      <c r="BR116" s="24"/>
      <c r="BS116" s="24"/>
      <c r="BT116" s="24"/>
      <c r="BU116" s="24"/>
      <c r="BX116" s="24"/>
      <c r="BY116" s="24"/>
      <c r="BZ116" s="24"/>
      <c r="CA116" s="24"/>
      <c r="CB116" s="24"/>
      <c r="CC116" s="24"/>
      <c r="CE116" s="24"/>
      <c r="CF116" s="24"/>
      <c r="CG116" s="24"/>
      <c r="CH116" s="24"/>
      <c r="CI116" s="24"/>
      <c r="CJ116" s="24"/>
    </row>
    <row r="117" spans="1:88" ht="14" customHeight="1">
      <c r="A117" s="2" t="str">
        <f t="shared" si="55"/>
        <v/>
      </c>
      <c r="B117" s="74">
        <f t="shared" ref="B117:C117" si="88">(B63/$B$83)</f>
        <v>0</v>
      </c>
      <c r="C117" s="74">
        <f t="shared" si="88"/>
        <v>0</v>
      </c>
      <c r="D117" s="23">
        <f t="shared" si="57"/>
        <v>0</v>
      </c>
      <c r="H117" s="23">
        <f t="shared" si="58"/>
        <v>0.60606060606060608</v>
      </c>
      <c r="I117" s="21">
        <f t="shared" si="59"/>
        <v>0</v>
      </c>
      <c r="J117" s="23">
        <f t="shared" si="60"/>
        <v>0</v>
      </c>
      <c r="K117" s="21">
        <f t="shared" si="61"/>
        <v>0</v>
      </c>
      <c r="L117" s="21">
        <f t="shared" si="62"/>
        <v>0</v>
      </c>
      <c r="M117" s="225">
        <f t="shared" si="6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4"/>
      <c r="AT117" s="24"/>
      <c r="AU117" s="24"/>
      <c r="AV117" s="24"/>
      <c r="AW117" s="24"/>
      <c r="AX117" s="24"/>
      <c r="AZ117" s="24"/>
      <c r="BA117" s="24"/>
      <c r="BB117" s="24"/>
      <c r="BC117" s="24"/>
      <c r="BD117" s="24"/>
      <c r="BE117" s="24"/>
      <c r="BI117" s="24"/>
      <c r="BJ117" s="24"/>
      <c r="BK117" s="24"/>
      <c r="BL117" s="24"/>
      <c r="BM117" s="24"/>
      <c r="BN117" s="24"/>
      <c r="BP117" s="24"/>
      <c r="BQ117" s="24"/>
      <c r="BR117" s="24"/>
      <c r="BS117" s="24"/>
      <c r="BT117" s="24"/>
      <c r="BU117" s="24"/>
      <c r="BX117" s="24"/>
      <c r="BY117" s="24"/>
      <c r="BZ117" s="24"/>
      <c r="CA117" s="24"/>
      <c r="CB117" s="24"/>
      <c r="CC117" s="24"/>
      <c r="CE117" s="24"/>
      <c r="CF117" s="24"/>
      <c r="CG117" s="24"/>
      <c r="CH117" s="24"/>
      <c r="CI117" s="24"/>
      <c r="CJ117" s="24"/>
    </row>
    <row r="118" spans="1:88" ht="14" customHeight="1">
      <c r="A118" s="2" t="str">
        <f t="shared" si="55"/>
        <v/>
      </c>
      <c r="B118" s="74">
        <f t="shared" ref="B118:C118" si="89">(B64/$B$83)</f>
        <v>0</v>
      </c>
      <c r="C118" s="74">
        <f t="shared" si="89"/>
        <v>0</v>
      </c>
      <c r="D118" s="23">
        <f t="shared" si="57"/>
        <v>0</v>
      </c>
      <c r="H118" s="23">
        <f t="shared" si="58"/>
        <v>0.60606060606060608</v>
      </c>
      <c r="I118" s="21">
        <f t="shared" si="59"/>
        <v>0</v>
      </c>
      <c r="J118" s="23">
        <f t="shared" si="60"/>
        <v>0</v>
      </c>
      <c r="K118" s="21">
        <f t="shared" si="61"/>
        <v>0</v>
      </c>
      <c r="L118" s="21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4"/>
      <c r="AT118" s="24"/>
      <c r="AU118" s="24"/>
      <c r="AV118" s="24"/>
      <c r="AW118" s="24"/>
      <c r="AX118" s="24"/>
      <c r="AZ118" s="24"/>
      <c r="BA118" s="24"/>
      <c r="BB118" s="24"/>
      <c r="BC118" s="24"/>
      <c r="BD118" s="24"/>
      <c r="BE118" s="24"/>
      <c r="BI118" s="24"/>
      <c r="BJ118" s="24"/>
      <c r="BK118" s="24"/>
      <c r="BL118" s="24"/>
      <c r="BM118" s="24"/>
      <c r="BN118" s="24"/>
      <c r="BP118" s="24"/>
      <c r="BQ118" s="24"/>
      <c r="BR118" s="24"/>
      <c r="BS118" s="24"/>
      <c r="BT118" s="24"/>
      <c r="BU118" s="24"/>
      <c r="BX118" s="24"/>
      <c r="BY118" s="24"/>
      <c r="BZ118" s="24"/>
      <c r="CA118" s="24"/>
      <c r="CB118" s="24"/>
      <c r="CC118" s="24"/>
      <c r="CE118" s="24"/>
      <c r="CF118" s="24"/>
      <c r="CG118" s="24"/>
      <c r="CH118" s="24"/>
      <c r="CI118" s="24"/>
      <c r="CJ118" s="24"/>
    </row>
    <row r="119" spans="1:88" ht="14" customHeight="1">
      <c r="A119" s="2" t="s">
        <v>30</v>
      </c>
      <c r="B119" s="21">
        <f>SUM(B91:B118)</f>
        <v>8.992743486702679</v>
      </c>
      <c r="C119" s="21">
        <f>SUM(C91:C118)</f>
        <v>0.27864838972881528</v>
      </c>
      <c r="D119" s="23">
        <f>SUM(D91:D118)</f>
        <v>9.271391876431494</v>
      </c>
      <c r="E119" s="21"/>
      <c r="F119" s="2"/>
      <c r="G119" s="2"/>
      <c r="H119" s="30"/>
      <c r="I119" s="21">
        <f>SUM(I91:I118)</f>
        <v>5.2837752030782159</v>
      </c>
      <c r="J119" s="23">
        <f>SUM(J91:J118)</f>
        <v>5.1125645821240546</v>
      </c>
      <c r="K119" s="21">
        <f>SUM(K91:K118)</f>
        <v>8.992743486702679</v>
      </c>
      <c r="L119" s="21">
        <f>SUM(L91:L118)</f>
        <v>5.1148973911213584</v>
      </c>
      <c r="M119" s="56">
        <f t="shared" si="50"/>
        <v>5.1125645821240546</v>
      </c>
      <c r="N119" s="5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4"/>
      <c r="AT119" s="24"/>
      <c r="AU119" s="24"/>
      <c r="AV119" s="24"/>
      <c r="AW119" s="24"/>
      <c r="AX119" s="24"/>
      <c r="AZ119" s="24"/>
      <c r="BA119" s="24"/>
      <c r="BB119" s="24"/>
      <c r="BC119" s="24"/>
      <c r="BD119" s="24"/>
      <c r="BE119" s="24"/>
      <c r="BI119" s="24"/>
      <c r="BJ119" s="24"/>
      <c r="BK119" s="24"/>
      <c r="BL119" s="24"/>
      <c r="BM119" s="24"/>
      <c r="BN119" s="24"/>
      <c r="BP119" s="24"/>
      <c r="BQ119" s="24"/>
      <c r="BR119" s="24"/>
      <c r="BS119" s="24"/>
      <c r="BT119" s="24"/>
      <c r="BU119" s="24"/>
      <c r="BX119" s="24"/>
      <c r="BY119" s="24"/>
      <c r="BZ119" s="24"/>
      <c r="CA119" s="24"/>
      <c r="CB119" s="24"/>
      <c r="CC119" s="24"/>
      <c r="CE119" s="24"/>
      <c r="CF119" s="24"/>
      <c r="CG119" s="24"/>
      <c r="CH119" s="24"/>
      <c r="CI119" s="24"/>
      <c r="CJ119" s="24"/>
    </row>
    <row r="120" spans="1:88" ht="14" customHeight="1">
      <c r="A120" s="82"/>
      <c r="B120" s="82"/>
      <c r="C120" s="82"/>
      <c r="D120" s="10"/>
      <c r="E120" s="11"/>
      <c r="F120" s="11"/>
      <c r="G120" s="11"/>
      <c r="H120" s="10"/>
      <c r="I120" s="11"/>
      <c r="J120" s="61"/>
      <c r="K120" s="14"/>
      <c r="L120" s="11"/>
      <c r="M120" s="62"/>
      <c r="N120" s="5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4"/>
      <c r="AT120" s="24"/>
      <c r="AU120" s="24"/>
      <c r="AV120" s="24"/>
      <c r="AW120" s="24"/>
      <c r="AX120" s="24"/>
      <c r="AZ120" s="24"/>
      <c r="BA120" s="24"/>
      <c r="BB120" s="24"/>
      <c r="BC120" s="24"/>
      <c r="BD120" s="24"/>
      <c r="BE120" s="24"/>
      <c r="BI120" s="24"/>
      <c r="BJ120" s="24"/>
      <c r="BK120" s="24"/>
      <c r="BL120" s="24"/>
      <c r="BM120" s="24"/>
      <c r="BN120" s="24"/>
      <c r="BP120" s="24"/>
      <c r="BQ120" s="24"/>
      <c r="BR120" s="24"/>
      <c r="BS120" s="24"/>
      <c r="BT120" s="24"/>
      <c r="BU120" s="24"/>
      <c r="BX120" s="24"/>
      <c r="BY120" s="24"/>
      <c r="BZ120" s="24"/>
      <c r="CA120" s="24"/>
      <c r="CB120" s="24"/>
      <c r="CC120" s="24"/>
      <c r="CE120" s="24"/>
      <c r="CF120" s="24"/>
      <c r="CG120" s="24"/>
      <c r="CH120" s="24"/>
      <c r="CI120" s="24"/>
      <c r="CJ120" s="24"/>
    </row>
    <row r="121" spans="1:88">
      <c r="A121" s="72" t="str">
        <f>A67</f>
        <v>Expenditure : Q4 HHs</v>
      </c>
      <c r="B121" s="2"/>
      <c r="C121" s="2"/>
      <c r="D121" s="30"/>
      <c r="E121" s="2"/>
      <c r="F121" s="2"/>
      <c r="G121" s="2"/>
      <c r="H121" s="30"/>
      <c r="I121" s="21"/>
      <c r="J121" s="17"/>
      <c r="L121" s="2"/>
      <c r="M121" s="56"/>
      <c r="N121" s="5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1"/>
      <c r="AC121" s="2"/>
      <c r="AD121" s="2"/>
      <c r="AE121" s="2"/>
      <c r="AF121" s="2"/>
      <c r="AG121" s="2"/>
      <c r="AM121" s="20"/>
      <c r="AN121" s="20"/>
      <c r="AO121" s="20"/>
      <c r="AV121" s="20"/>
      <c r="AW121" s="20"/>
      <c r="AX121" s="20"/>
      <c r="BC121" s="20"/>
      <c r="BD121" s="20"/>
      <c r="BE121" s="20"/>
      <c r="BL121" s="20"/>
      <c r="BM121" s="20"/>
      <c r="BN121" s="20"/>
      <c r="BS121" s="20"/>
      <c r="BT121" s="20"/>
      <c r="BU121" s="20"/>
      <c r="CA121" s="20"/>
      <c r="CB121" s="20"/>
      <c r="CC121" s="20"/>
      <c r="CH121" s="20"/>
      <c r="CI121" s="20"/>
      <c r="CJ121" s="20"/>
    </row>
    <row r="122" spans="1:88" ht="14" customHeight="1">
      <c r="A122" s="83"/>
      <c r="B122" s="18" t="s">
        <v>6</v>
      </c>
      <c r="C122" s="2"/>
      <c r="D122" s="15"/>
      <c r="H122" s="15" t="s">
        <v>11</v>
      </c>
      <c r="I122" s="18" t="s">
        <v>12</v>
      </c>
      <c r="J122" s="15" t="s">
        <v>13</v>
      </c>
      <c r="K122" s="18" t="s">
        <v>6</v>
      </c>
      <c r="L122" s="18" t="s">
        <v>14</v>
      </c>
      <c r="M122" s="56" t="str">
        <f t="shared" ref="M122:M130" si="90">(J122)</f>
        <v>Curr.</v>
      </c>
      <c r="N122" s="5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4"/>
      <c r="AT122" s="24"/>
      <c r="AU122" s="24"/>
      <c r="AV122" s="24"/>
      <c r="AW122" s="24"/>
      <c r="AX122" s="24"/>
      <c r="AZ122" s="24"/>
      <c r="BA122" s="24"/>
      <c r="BB122" s="24"/>
      <c r="BC122" s="24"/>
      <c r="BD122" s="24"/>
      <c r="BE122" s="24"/>
      <c r="BI122" s="24"/>
      <c r="BJ122" s="24"/>
      <c r="BK122" s="24"/>
      <c r="BL122" s="24"/>
      <c r="BM122" s="24"/>
      <c r="BN122" s="24"/>
      <c r="BP122" s="24"/>
      <c r="BQ122" s="24"/>
      <c r="BR122" s="24"/>
      <c r="BS122" s="24"/>
      <c r="BT122" s="24"/>
      <c r="BU122" s="24"/>
      <c r="BX122" s="24"/>
      <c r="BY122" s="24"/>
      <c r="BZ122" s="24"/>
      <c r="CA122" s="24"/>
      <c r="CB122" s="24"/>
      <c r="CC122" s="24"/>
      <c r="CE122" s="24"/>
      <c r="CF122" s="24"/>
      <c r="CG122" s="24"/>
      <c r="CH122" s="24"/>
      <c r="CI122" s="24"/>
      <c r="CJ122" s="24"/>
    </row>
    <row r="123" spans="1:88" ht="14" customHeight="1">
      <c r="A123" s="2" t="s">
        <v>41</v>
      </c>
      <c r="B123" s="18" t="s">
        <v>32</v>
      </c>
      <c r="C123" s="2"/>
      <c r="D123" s="30"/>
      <c r="H123" s="15" t="s">
        <v>17</v>
      </c>
      <c r="I123" s="18" t="s">
        <v>32</v>
      </c>
      <c r="J123" s="15" t="s">
        <v>32</v>
      </c>
      <c r="K123" s="18" t="s">
        <v>32</v>
      </c>
      <c r="L123" s="18" t="s">
        <v>18</v>
      </c>
      <c r="M123" s="56" t="str">
        <f t="shared" si="90"/>
        <v>Expend</v>
      </c>
      <c r="N123" s="5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1"/>
      <c r="AC123" s="2"/>
      <c r="AD123" s="2"/>
      <c r="AE123" s="2"/>
      <c r="AF123" s="2"/>
      <c r="AG123" s="2"/>
    </row>
    <row r="124" spans="1:88" ht="14" customHeight="1">
      <c r="A124" s="109" t="s">
        <v>111</v>
      </c>
      <c r="B124" s="74">
        <f>B70/B$83</f>
        <v>1.0967887552536943</v>
      </c>
      <c r="C124" s="2"/>
      <c r="D124" s="23"/>
      <c r="H124" s="23">
        <f>(E70*F70/G$37*F$7/F$9)</f>
        <v>0.84848484848484851</v>
      </c>
      <c r="I124" s="28">
        <f>IF(SUMPRODUCT($B$124:$B124,$H$124:$H124)&lt;I$119,($B124*$H124),I$119)</f>
        <v>0.93060864082131645</v>
      </c>
      <c r="J124" s="235">
        <f>IF(SUMPRODUCT($B$124:$B124,$H$124:$H124)&lt;J$119,($B124*$H124),J$119)</f>
        <v>0.93060864082131645</v>
      </c>
      <c r="K124" s="21">
        <f>(B124)</f>
        <v>1.0967887552536943</v>
      </c>
      <c r="L124" s="28">
        <f>IF(SUMPRODUCT($B$124:$B124,$H$124:$H124)&lt;L$119,($B124*$H124),L$119)</f>
        <v>0.93060864082131645</v>
      </c>
      <c r="M124" s="56">
        <f t="shared" si="90"/>
        <v>0.93060864082131645</v>
      </c>
      <c r="N124" s="5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1"/>
      <c r="AC124" s="2"/>
      <c r="AD124" s="2"/>
      <c r="AE124" s="2"/>
      <c r="AF124" s="2"/>
      <c r="AG124" s="2"/>
    </row>
    <row r="125" spans="1:88" ht="14" customHeight="1">
      <c r="A125" s="109" t="s">
        <v>112</v>
      </c>
      <c r="B125" s="74">
        <f>B71/B$83</f>
        <v>1.1418798350138466</v>
      </c>
      <c r="C125" s="2"/>
      <c r="D125" s="23"/>
      <c r="H125" s="23">
        <f>(E71*F71/G$37*F$7/F$9)</f>
        <v>0.7151515151515152</v>
      </c>
      <c r="I125" s="28">
        <f>IF(SUMPRODUCT($B$124:$B125,$H$124:$H125)&lt;I$119,($B125*$H125),IF(SUMPRODUCT($B$124:$B124,$H$124:$H124)&lt;I$119,I$119-SUMPRODUCT($B$124:$B124,$H$124:$H124),0))</f>
        <v>0.81661709413111461</v>
      </c>
      <c r="J125" s="235">
        <f>IF(SUMPRODUCT($B$124:$B125,$H$124:$H125)&lt;J$119,($B125*$H125),IF(SUMPRODUCT($B$124:$B124,$H$124:$H124)&lt;J$119,J$119-SUMPRODUCT($B$124:$B124,$H$124:$H124),0))</f>
        <v>0.81661709413111461</v>
      </c>
      <c r="K125" s="21">
        <f t="shared" ref="K125:K126" si="91">(B125)</f>
        <v>1.1418798350138466</v>
      </c>
      <c r="L125" s="28">
        <f>IF(SUMPRODUCT($B$124:$B125,$H$124:$H125)&lt;L$119,($B125*$H125),IF(SUMPRODUCT($B$124:$B124,$H$124:$H124)&lt;L$119,L$119-SUMPRODUCT($B$124:$B124,$H$124:$H124),0))</f>
        <v>0.81661709413111461</v>
      </c>
      <c r="M125" s="56">
        <f t="shared" ref="M125:M126" si="92">(J125)</f>
        <v>0.81661709413111461</v>
      </c>
      <c r="N125" s="5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1"/>
      <c r="AC125" s="2"/>
      <c r="AD125" s="2"/>
      <c r="AE125" s="2"/>
      <c r="AF125" s="2"/>
      <c r="AG125" s="2"/>
    </row>
    <row r="126" spans="1:88" ht="14" customHeight="1">
      <c r="A126" s="109" t="s">
        <v>113</v>
      </c>
      <c r="B126" s="74">
        <f>B72/B$83</f>
        <v>2.0335703189804963</v>
      </c>
      <c r="C126" s="2"/>
      <c r="D126" s="23"/>
      <c r="H126" s="23">
        <f>(E72*F72/G$37*F$7/F$9)</f>
        <v>0.7151515151515152</v>
      </c>
      <c r="I126" s="28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1.4543108947860521</v>
      </c>
      <c r="K126" s="21">
        <f t="shared" si="91"/>
        <v>2.0335703189804963</v>
      </c>
      <c r="L126" s="28">
        <f>IF(SUMPRODUCT($B$124:$B126,$H$124:$H126)&lt;(L$119-L$128),($B126*$H126),IF(SUMPRODUCT($B$124:$B125,$H$124:$H125)&lt;(L$119-L$128),L$119-L$128-SUMPRODUCT($B$124:$B125,$H$124:$H125),0))</f>
        <v>1.4543108947860521</v>
      </c>
      <c r="M126" s="56">
        <f t="shared" si="92"/>
        <v>1.4543108947860521</v>
      </c>
      <c r="N126" s="5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1"/>
      <c r="AC126" s="2"/>
      <c r="AD126" s="2"/>
      <c r="AE126" s="2"/>
      <c r="AF126" s="2"/>
      <c r="AG126" s="2"/>
    </row>
    <row r="127" spans="1:88" ht="14" customHeight="1">
      <c r="A127" s="109" t="s">
        <v>114</v>
      </c>
      <c r="B127" s="74">
        <f>B73/B83</f>
        <v>0.44213149380371802</v>
      </c>
      <c r="C127" s="2"/>
      <c r="D127" s="23"/>
      <c r="H127" s="23">
        <f>(E73*F73/G$37*F$7/F$9)</f>
        <v>0.7151515151515152</v>
      </c>
      <c r="I127" s="28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0.31619100768993169</v>
      </c>
      <c r="K127" s="21">
        <f>(B127)</f>
        <v>0.44213149380371802</v>
      </c>
      <c r="L127" s="28">
        <f>IF(SUMPRODUCT($B$124:$B127,$H$124:$H127)&lt;(L$119-L$128),($B127*$H127),IF(SUMPRODUCT($B$124:$B126,$H$124:$H126)&lt;(L$119-L128),L$119-L$128-SUMPRODUCT($B$124:$B126,$H$124:$H126),0))</f>
        <v>0.31619100768993169</v>
      </c>
      <c r="M127" s="56">
        <f t="shared" si="90"/>
        <v>0.31619100768993169</v>
      </c>
      <c r="N127" s="57"/>
      <c r="Q127" s="2"/>
      <c r="R127" s="21"/>
      <c r="S127" s="2"/>
      <c r="T127" s="2"/>
      <c r="U127" s="2"/>
      <c r="V127" s="2"/>
      <c r="W127" s="2"/>
      <c r="X127" s="2"/>
      <c r="Y127" s="2"/>
      <c r="Z127" s="2"/>
      <c r="AA127" s="2"/>
      <c r="AB127" s="21"/>
      <c r="AC127" s="2"/>
      <c r="AD127" s="2"/>
      <c r="AE127" s="2"/>
      <c r="AF127" s="2"/>
      <c r="AG127" s="2"/>
    </row>
    <row r="128" spans="1:88" ht="14" customHeight="1">
      <c r="A128" s="1" t="s">
        <v>115</v>
      </c>
      <c r="B128" s="21">
        <f>(B30)</f>
        <v>0.62186232777085926</v>
      </c>
      <c r="C128" s="2"/>
      <c r="D128" s="30"/>
      <c r="E128" s="2"/>
      <c r="F128" s="2"/>
      <c r="G128" s="2"/>
      <c r="H128" s="23"/>
      <c r="I128" s="28">
        <f>(I30)</f>
        <v>4.3531665622568996</v>
      </c>
      <c r="J128" s="226">
        <f>(J30)</f>
        <v>0.27832939292251579</v>
      </c>
      <c r="K128" s="21">
        <f>(B128)</f>
        <v>0.62186232777085926</v>
      </c>
      <c r="L128" s="21">
        <f>IF(L124=L119,0,(L119-L124)/(B119-B124)*K128)</f>
        <v>0.32954235818541761</v>
      </c>
      <c r="M128" s="56">
        <f t="shared" si="90"/>
        <v>0.27832939292251579</v>
      </c>
      <c r="N128" s="57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1"/>
      <c r="AC128" s="2"/>
      <c r="AD128" s="2"/>
      <c r="AE128" s="2"/>
      <c r="AF128" s="2"/>
      <c r="AG128" s="2"/>
    </row>
    <row r="129" spans="1:33" ht="14" customHeight="1">
      <c r="A129" s="55" t="s">
        <v>43</v>
      </c>
      <c r="B129" s="28">
        <f>IF(SUM(B124:B128)&gt;B130,0,B130-B124-B125-B126-B127-B128)</f>
        <v>3.6565107558800642</v>
      </c>
      <c r="C129" s="2"/>
      <c r="D129" s="30"/>
      <c r="E129" s="2"/>
      <c r="F129" s="2"/>
      <c r="G129" s="2"/>
      <c r="H129" s="23"/>
      <c r="I129" s="28"/>
      <c r="J129" s="226">
        <f>IF(SUM(J124:J128)&gt;J130,0,J130-SUM(J124:J128))</f>
        <v>1.3165075517731237</v>
      </c>
      <c r="K129" s="28">
        <f>(B129)</f>
        <v>3.6565107558800642</v>
      </c>
      <c r="L129" s="59">
        <f>IF(SUM(L124:L128)&gt;L130,0,L130-SUM(L124:L128))</f>
        <v>1.2676273955075255</v>
      </c>
      <c r="M129" s="56">
        <f t="shared" si="90"/>
        <v>1.3165075517731237</v>
      </c>
      <c r="N129" s="57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1"/>
      <c r="AC129" s="2"/>
      <c r="AD129" s="2"/>
      <c r="AE129" s="2"/>
      <c r="AF129" s="2"/>
      <c r="AG129" s="2"/>
    </row>
    <row r="130" spans="1:33" ht="14" customHeight="1">
      <c r="A130" s="2" t="s">
        <v>30</v>
      </c>
      <c r="B130" s="21">
        <f>(B119)</f>
        <v>8.992743486702679</v>
      </c>
      <c r="C130" s="2"/>
      <c r="D130" s="30"/>
      <c r="E130" s="2"/>
      <c r="F130" s="2"/>
      <c r="G130" s="2"/>
      <c r="H130" s="23"/>
      <c r="I130" s="28">
        <f>(I119)</f>
        <v>5.2837752030782159</v>
      </c>
      <c r="J130" s="226">
        <f>(J119)</f>
        <v>5.1125645821240546</v>
      </c>
      <c r="K130" s="21">
        <f>(B130)</f>
        <v>8.992743486702679</v>
      </c>
      <c r="L130" s="21">
        <f>(L119)</f>
        <v>5.1148973911213584</v>
      </c>
      <c r="M130" s="56">
        <f t="shared" si="90"/>
        <v>5.1125645821240546</v>
      </c>
      <c r="N130" s="5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1"/>
      <c r="AC130" s="2"/>
      <c r="AD130" s="2"/>
      <c r="AE130" s="2"/>
      <c r="AF130" s="2"/>
      <c r="AG130" s="2"/>
    </row>
    <row r="131" spans="1:33" ht="14" customHeight="1">
      <c r="A131" s="2" t="s">
        <v>33</v>
      </c>
      <c r="B131" s="21"/>
      <c r="C131" s="2"/>
      <c r="D131" s="30"/>
      <c r="E131" s="2"/>
      <c r="F131" s="2"/>
      <c r="G131" s="2"/>
      <c r="H131" s="23"/>
      <c r="I131" s="28">
        <f>IF(SUMPRODUCT($B124:$B125,$H124:$H125)&gt;(I119-I128),SUMPRODUCT($B124:$B125,$H124:$H125)+I128-I119,0)</f>
        <v>0.81661709413111438</v>
      </c>
      <c r="J131" s="235">
        <f>IF(SUMPRODUCT($B124:$B125,$H124:$H125)&gt;(J119-J128),SUMPRODUCT($B124:$B125,$H124:$H125)+J128-J119,0)</f>
        <v>0</v>
      </c>
      <c r="K131" s="28"/>
      <c r="L131" s="28">
        <f>IF(I131&lt;SUM(L126:L127),0,I131-(SUM(L126:L127)))</f>
        <v>0</v>
      </c>
      <c r="M131" s="235">
        <f>IF(I131&lt;SUM(M126:M127),0,I131-(SUM(M126:M127)))</f>
        <v>0</v>
      </c>
      <c r="N131" s="5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1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5"/>
      <c r="N132" s="57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1"/>
      <c r="C143" s="21"/>
      <c r="D143" s="2"/>
      <c r="E143" s="2"/>
      <c r="F143" s="2"/>
      <c r="G143" s="2"/>
      <c r="H143" s="2"/>
      <c r="I143" s="21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7"/>
      <c r="AC143" s="2"/>
      <c r="AD143" s="2"/>
      <c r="AE143" s="2"/>
      <c r="AF143" s="2"/>
      <c r="AG143" s="2"/>
    </row>
    <row r="144" spans="1:33">
      <c r="B144" s="21"/>
      <c r="C144" s="21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7"/>
      <c r="AC144" s="2"/>
      <c r="AD144" s="2"/>
      <c r="AE144" s="2"/>
      <c r="AF144" s="2"/>
      <c r="AG144" s="2"/>
    </row>
    <row r="145" spans="1:33">
      <c r="B145" s="21"/>
      <c r="C145" s="21"/>
      <c r="D145" s="2"/>
      <c r="E145" s="2"/>
      <c r="F145" s="2"/>
      <c r="G145" s="2"/>
      <c r="H145" s="2"/>
      <c r="I145" s="21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7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7"/>
      <c r="AC146" s="2"/>
      <c r="AD146" s="2"/>
      <c r="AE146" s="2"/>
      <c r="AF146" s="2"/>
      <c r="AG146" s="2"/>
    </row>
    <row r="147" spans="1:33">
      <c r="B147" s="21"/>
      <c r="C147" s="21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7"/>
      <c r="AC147" s="2"/>
      <c r="AD147" s="2"/>
      <c r="AE147" s="2"/>
      <c r="AF147" s="2"/>
      <c r="AG147" s="2"/>
    </row>
    <row r="148" spans="1:33">
      <c r="B148" s="21"/>
      <c r="C148" s="21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7"/>
      <c r="AC148" s="2"/>
      <c r="AD148" s="2"/>
      <c r="AE148" s="2"/>
      <c r="AF148" s="2"/>
      <c r="AG148" s="2"/>
    </row>
    <row r="149" spans="1:33">
      <c r="B149" s="21"/>
      <c r="C149" s="21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7"/>
      <c r="AC149" s="2"/>
      <c r="AD149" s="2"/>
      <c r="AE149" s="2"/>
      <c r="AF149" s="2"/>
      <c r="AG149" s="2"/>
    </row>
    <row r="150" spans="1:33">
      <c r="B150" s="21"/>
      <c r="C150" s="21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7"/>
      <c r="AC150" s="2"/>
      <c r="AD150" s="2"/>
      <c r="AE150" s="2"/>
      <c r="AF150" s="2"/>
      <c r="AG150" s="2"/>
    </row>
    <row r="151" spans="1:33">
      <c r="B151" s="21"/>
      <c r="C151" s="21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7"/>
      <c r="AC151" s="2"/>
      <c r="AD151" s="2"/>
      <c r="AE151" s="2"/>
      <c r="AF151" s="2"/>
      <c r="AG151" s="2"/>
    </row>
    <row r="152" spans="1:33">
      <c r="B152" s="21"/>
      <c r="C152" s="21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7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8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0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0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0"/>
    </row>
    <row r="157" spans="1:33">
      <c r="A157" s="21"/>
      <c r="B157" s="2"/>
      <c r="C157" s="2"/>
      <c r="D157" s="2"/>
      <c r="E157" s="2"/>
      <c r="F157" s="2"/>
      <c r="H157" s="2"/>
      <c r="I157" s="2"/>
      <c r="J157" s="2"/>
      <c r="L157" s="2"/>
      <c r="W157" s="70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0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0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0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0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0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1"/>
      <c r="AB165" s="70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1"/>
      <c r="AB166" s="70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0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0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0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1"/>
      <c r="AB171" s="70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1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0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0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1"/>
      <c r="AB177" s="70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1"/>
      <c r="AB178" s="70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0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0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0"/>
    </row>
    <row r="186" spans="1:28">
      <c r="AB186" s="70"/>
    </row>
    <row r="187" spans="1:28">
      <c r="AB187" s="70"/>
    </row>
    <row r="188" spans="1:28">
      <c r="AB188" s="70"/>
    </row>
    <row r="189" spans="1:28">
      <c r="W189" s="71"/>
      <c r="AB189" s="70"/>
    </row>
    <row r="190" spans="1:28">
      <c r="W190" s="71"/>
      <c r="AB190" s="70"/>
    </row>
    <row r="191" spans="1:28">
      <c r="W191" s="71"/>
    </row>
    <row r="193" spans="23:28">
      <c r="AB193" s="70"/>
    </row>
    <row r="194" spans="23:28">
      <c r="AB194" s="70"/>
    </row>
    <row r="195" spans="23:28">
      <c r="AB195" s="70"/>
    </row>
    <row r="196" spans="23:28">
      <c r="AB196" s="70"/>
    </row>
    <row r="197" spans="23:28">
      <c r="AB197" s="70"/>
    </row>
    <row r="198" spans="23:28">
      <c r="W198" s="71"/>
      <c r="AB198" s="70"/>
    </row>
    <row r="199" spans="23:28">
      <c r="W199" s="71"/>
    </row>
    <row r="200" spans="23:28">
      <c r="W200" s="71"/>
    </row>
    <row r="207" spans="23:28">
      <c r="W207" s="71"/>
    </row>
    <row r="208" spans="23:28">
      <c r="W208" s="71"/>
    </row>
    <row r="209" spans="23:23">
      <c r="W209" s="71"/>
    </row>
    <row r="219" spans="23:23">
      <c r="W219" s="71"/>
    </row>
    <row r="220" spans="23:23">
      <c r="W220" s="71"/>
    </row>
    <row r="221" spans="23:23">
      <c r="W221" s="71"/>
    </row>
    <row r="228" spans="23:23">
      <c r="W228" s="71"/>
    </row>
    <row r="229" spans="23:23">
      <c r="W229" s="71"/>
    </row>
    <row r="230" spans="23:23">
      <c r="W230" s="71"/>
    </row>
    <row r="237" spans="23:23">
      <c r="W237" s="71"/>
    </row>
    <row r="238" spans="23:23">
      <c r="W238" s="71"/>
    </row>
    <row r="239" spans="23:23">
      <c r="W239" s="71"/>
    </row>
    <row r="249" spans="23:23">
      <c r="W249" s="71"/>
    </row>
    <row r="250" spans="23:23">
      <c r="W250" s="71"/>
    </row>
    <row r="251" spans="23:23">
      <c r="W251" s="71"/>
    </row>
    <row r="258" spans="23:23">
      <c r="W258" s="71"/>
    </row>
    <row r="259" spans="23:23">
      <c r="W259" s="71"/>
    </row>
    <row r="260" spans="23:23">
      <c r="W260" s="71"/>
    </row>
    <row r="267" spans="23:23">
      <c r="W267" s="71"/>
    </row>
    <row r="268" spans="23:23">
      <c r="W268" s="71"/>
    </row>
    <row r="269" spans="23:23">
      <c r="W269" s="71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7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3" t="str">
        <f>'Q2'!A1</f>
        <v>ZA UP: 59899</v>
      </c>
      <c r="L2" s="263"/>
      <c r="M2" s="263"/>
      <c r="N2" s="263"/>
      <c r="O2" s="263"/>
      <c r="P2" s="263"/>
      <c r="Q2" s="263"/>
      <c r="R2" s="246"/>
      <c r="S2" s="246"/>
      <c r="T2" s="246"/>
      <c r="U2" s="246"/>
      <c r="V2" s="246"/>
    </row>
    <row r="3" spans="1:22" s="91" customFormat="1" ht="17">
      <c r="A3" s="89"/>
      <c r="B3" s="264" t="str">
        <f>'Q1'!A3</f>
        <v>Sources of Food : Q1 HHs</v>
      </c>
      <c r="C3" s="265"/>
      <c r="D3" s="265"/>
      <c r="E3" s="265"/>
      <c r="F3" s="243"/>
      <c r="G3" s="262" t="str">
        <f>'Q2'!A3</f>
        <v>Sources of Food : Q2 HHs</v>
      </c>
      <c r="H3" s="262"/>
      <c r="I3" s="262"/>
      <c r="J3" s="262"/>
      <c r="K3" s="244"/>
      <c r="L3" s="262" t="str">
        <f>'Q3'!A3</f>
        <v>Sources of Food : Q3 HHs</v>
      </c>
      <c r="M3" s="262"/>
      <c r="N3" s="262"/>
      <c r="O3" s="262"/>
      <c r="P3" s="262"/>
      <c r="Q3" s="245"/>
      <c r="R3" s="262" t="str">
        <f>'Q4'!A3</f>
        <v>Sources of Food : Q4 HHs</v>
      </c>
      <c r="S3" s="262"/>
      <c r="T3" s="262"/>
      <c r="U3" s="262"/>
      <c r="V3" s="89"/>
    </row>
    <row r="4" spans="1:22">
      <c r="A4" s="86"/>
      <c r="B4" s="86"/>
      <c r="C4" s="86"/>
      <c r="D4" s="86"/>
      <c r="E4" s="86"/>
      <c r="F4" s="87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7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7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7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7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7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7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7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7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7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7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7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7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7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7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G52" workbookViewId="0">
      <selection activeCell="I95" sqref="I9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21">
      <c r="A2" s="86"/>
      <c r="B2" s="86"/>
      <c r="C2" s="86"/>
      <c r="D2" s="86"/>
      <c r="E2" s="86"/>
      <c r="F2" s="86"/>
      <c r="G2" s="88"/>
      <c r="H2" s="88"/>
      <c r="I2" s="88"/>
      <c r="J2" s="88"/>
      <c r="K2" s="267" t="str">
        <f>'Q2'!A1</f>
        <v>ZA UP: 59899</v>
      </c>
      <c r="L2" s="267"/>
      <c r="M2" s="267"/>
      <c r="N2" s="267"/>
      <c r="O2" s="267"/>
      <c r="P2" s="267"/>
      <c r="Q2" s="267"/>
      <c r="R2" s="86"/>
      <c r="S2" s="86"/>
      <c r="T2" s="86"/>
      <c r="U2" s="86"/>
      <c r="V2" s="86"/>
    </row>
    <row r="3" spans="1:22" s="91" customFormat="1" ht="17">
      <c r="A3" s="89"/>
      <c r="B3" s="88"/>
      <c r="C3" s="268" t="str">
        <f>'Q1'!A34</f>
        <v>Income : Q1 HHs</v>
      </c>
      <c r="D3" s="268"/>
      <c r="E3" s="268"/>
      <c r="F3" s="89"/>
      <c r="G3" s="266" t="str">
        <f>'Q2'!A34</f>
        <v>Income : Q2 HHs</v>
      </c>
      <c r="H3" s="266"/>
      <c r="I3" s="266"/>
      <c r="J3" s="266"/>
      <c r="K3" s="88"/>
      <c r="L3" s="266" t="str">
        <f>'Q3'!A34</f>
        <v>Income : Q3 HHs</v>
      </c>
      <c r="M3" s="266"/>
      <c r="N3" s="266"/>
      <c r="O3" s="266"/>
      <c r="P3" s="266"/>
      <c r="Q3" s="90"/>
      <c r="R3" s="266" t="str">
        <f>'Q4'!A34</f>
        <v>Income : Q4 HHs</v>
      </c>
      <c r="S3" s="266"/>
      <c r="T3" s="266"/>
      <c r="U3" s="266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</row>
    <row r="71" spans="1:9">
      <c r="B71" s="254" t="s">
        <v>125</v>
      </c>
      <c r="C71" s="254" t="s">
        <v>126</v>
      </c>
      <c r="D71" s="254" t="s">
        <v>127</v>
      </c>
      <c r="E71" s="254" t="s">
        <v>128</v>
      </c>
      <c r="F71" s="254" t="s">
        <v>129</v>
      </c>
      <c r="G71" s="254" t="s">
        <v>130</v>
      </c>
      <c r="H71" s="254" t="s">
        <v>131</v>
      </c>
      <c r="I71" s="254" t="s">
        <v>132</v>
      </c>
    </row>
    <row r="72" spans="1:9">
      <c r="A72" t="str">
        <f>'Q1'!Q7</f>
        <v>Own crops Consumed</v>
      </c>
      <c r="B72" s="108">
        <f>'Q1'!R7</f>
        <v>0</v>
      </c>
      <c r="C72" s="108">
        <f>'Q2'!R7</f>
        <v>0</v>
      </c>
      <c r="D72" s="108">
        <f>'Q3'!R7</f>
        <v>0</v>
      </c>
      <c r="E72" s="108">
        <f>'Q4'!R7</f>
        <v>0</v>
      </c>
      <c r="F72" s="108">
        <f>'Q1'!T7</f>
        <v>0</v>
      </c>
      <c r="G72" s="108">
        <f>'Q2'!T7</f>
        <v>0</v>
      </c>
      <c r="H72" s="108">
        <f>'Q3'!T7</f>
        <v>0</v>
      </c>
      <c r="I72" s="108">
        <f>'Q4'!T7</f>
        <v>0</v>
      </c>
    </row>
    <row r="73" spans="1:9">
      <c r="A73" t="str">
        <f>'Q1'!Q8</f>
        <v>Own crops sold</v>
      </c>
      <c r="B73" s="108">
        <f>'Q1'!R8</f>
        <v>0</v>
      </c>
      <c r="C73" s="108">
        <f>'Q2'!R8</f>
        <v>0</v>
      </c>
      <c r="D73" s="108">
        <f>'Q3'!R8</f>
        <v>0</v>
      </c>
      <c r="E73" s="108">
        <f>'Q4'!R8</f>
        <v>0</v>
      </c>
      <c r="F73" s="108">
        <f>'Q1'!T8</f>
        <v>0</v>
      </c>
      <c r="G73" s="108">
        <f>'Q2'!T8</f>
        <v>0</v>
      </c>
      <c r="H73" s="108">
        <f>'Q3'!T8</f>
        <v>0</v>
      </c>
      <c r="I73" s="108">
        <f>'Q4'!T8</f>
        <v>0</v>
      </c>
    </row>
    <row r="74" spans="1:9">
      <c r="A74" t="str">
        <f>'Q1'!Q9</f>
        <v>Animal products consumed</v>
      </c>
      <c r="B74" s="108">
        <f>'Q1'!R9</f>
        <v>0</v>
      </c>
      <c r="C74" s="108">
        <f>'Q2'!R9</f>
        <v>0</v>
      </c>
      <c r="D74" s="108">
        <f>'Q3'!R9</f>
        <v>0</v>
      </c>
      <c r="E74" s="108">
        <f>'Q4'!R9</f>
        <v>0</v>
      </c>
      <c r="F74" s="108">
        <f>'Q1'!T9</f>
        <v>0</v>
      </c>
      <c r="G74" s="108">
        <f>'Q2'!T9</f>
        <v>0</v>
      </c>
      <c r="H74" s="108">
        <f>'Q3'!T9</f>
        <v>0</v>
      </c>
      <c r="I74" s="108">
        <f>'Q4'!T9</f>
        <v>0</v>
      </c>
    </row>
    <row r="75" spans="1:9">
      <c r="A75" t="str">
        <f>'Q1'!Q10</f>
        <v>Animal products sold</v>
      </c>
      <c r="B75" s="108">
        <f>'Q1'!R10</f>
        <v>0</v>
      </c>
      <c r="C75" s="108">
        <f>'Q2'!R10</f>
        <v>0</v>
      </c>
      <c r="D75" s="108">
        <f>'Q3'!R10</f>
        <v>0</v>
      </c>
      <c r="E75" s="108">
        <f>'Q4'!R10</f>
        <v>0</v>
      </c>
      <c r="F75" s="108">
        <f>'Q1'!T10</f>
        <v>0</v>
      </c>
      <c r="G75" s="108">
        <f>'Q2'!T10</f>
        <v>0</v>
      </c>
      <c r="H75" s="108">
        <f>'Q3'!T10</f>
        <v>0</v>
      </c>
      <c r="I75" s="108">
        <f>'Q4'!T10</f>
        <v>0</v>
      </c>
    </row>
    <row r="76" spans="1:9">
      <c r="A76" t="str">
        <f>'Q1'!Q11</f>
        <v>Animals sold</v>
      </c>
      <c r="B76" s="108">
        <f>'Q1'!R11</f>
        <v>0</v>
      </c>
      <c r="C76" s="108">
        <f>'Q2'!R11</f>
        <v>0</v>
      </c>
      <c r="D76" s="108">
        <f>'Q3'!R11</f>
        <v>0</v>
      </c>
      <c r="E76" s="108">
        <f>'Q4'!R11</f>
        <v>0</v>
      </c>
      <c r="F76" s="108">
        <f>'Q1'!T11</f>
        <v>0</v>
      </c>
      <c r="G76" s="108">
        <f>'Q2'!T11</f>
        <v>0</v>
      </c>
      <c r="H76" s="108">
        <f>'Q3'!T11</f>
        <v>0</v>
      </c>
      <c r="I76" s="108">
        <f>'Q4'!T11</f>
        <v>0</v>
      </c>
    </row>
    <row r="77" spans="1:9">
      <c r="A77" t="str">
        <f>'Q1'!Q12</f>
        <v>Wild foods consumed and sold</v>
      </c>
      <c r="B77" s="108">
        <f>'Q1'!R12</f>
        <v>0</v>
      </c>
      <c r="C77" s="108">
        <f>'Q2'!R12</f>
        <v>0</v>
      </c>
      <c r="D77" s="108">
        <f>'Q3'!R12</f>
        <v>0</v>
      </c>
      <c r="E77" s="108">
        <f>'Q4'!R12</f>
        <v>0</v>
      </c>
      <c r="F77" s="108">
        <f>'Q1'!T12</f>
        <v>0</v>
      </c>
      <c r="G77" s="108">
        <f>'Q2'!T12</f>
        <v>0</v>
      </c>
      <c r="H77" s="108">
        <f>'Q3'!T12</f>
        <v>0</v>
      </c>
      <c r="I77" s="108">
        <f>'Q4'!T12</f>
        <v>0</v>
      </c>
    </row>
    <row r="78" spans="1:9">
      <c r="A78" t="str">
        <f>'Q1'!Q13</f>
        <v>Labour - casual</v>
      </c>
      <c r="B78" s="108">
        <f>'Q1'!R13</f>
        <v>6044.2269142499463</v>
      </c>
      <c r="C78" s="108">
        <f>'Q2'!R13</f>
        <v>14145.295226184951</v>
      </c>
      <c r="D78" s="108">
        <f>'Q3'!R13</f>
        <v>20839.051002861754</v>
      </c>
      <c r="E78" s="108">
        <f>'Q4'!R13</f>
        <v>29770.072861231078</v>
      </c>
      <c r="F78" s="108">
        <f>'Q1'!T13</f>
        <v>2530.8000000000006</v>
      </c>
      <c r="G78" s="108">
        <f>'Q2'!T13</f>
        <v>6147.1800000000012</v>
      </c>
      <c r="H78" s="108">
        <f>'Q3'!T13</f>
        <v>9024.3000000000011</v>
      </c>
      <c r="I78" s="108">
        <f>'Q4'!T13</f>
        <v>13120.200000000003</v>
      </c>
    </row>
    <row r="79" spans="1:9">
      <c r="A79" t="str">
        <f>'Q1'!Q14</f>
        <v>Labour - formal emp</v>
      </c>
      <c r="B79" s="108">
        <f>'Q1'!R14</f>
        <v>0</v>
      </c>
      <c r="C79" s="108">
        <f>'Q2'!R14</f>
        <v>0</v>
      </c>
      <c r="D79" s="108">
        <f>'Q3'!R14</f>
        <v>13531.851300559581</v>
      </c>
      <c r="E79" s="108">
        <f>'Q4'!R14</f>
        <v>34731.751671436257</v>
      </c>
      <c r="F79" s="108">
        <f>'Q1'!T14</f>
        <v>0</v>
      </c>
      <c r="G79" s="108">
        <f>'Q2'!T14</f>
        <v>0</v>
      </c>
      <c r="H79" s="108">
        <f>'Q3'!T14</f>
        <v>9743.9999999999982</v>
      </c>
      <c r="I79" s="108">
        <f>'Q4'!T14</f>
        <v>25055.999999999993</v>
      </c>
    </row>
    <row r="80" spans="1:9">
      <c r="A80" t="str">
        <f>'Q1'!Q15</f>
        <v>Labour - public works</v>
      </c>
      <c r="B80" s="108">
        <f>'Q1'!R15</f>
        <v>0</v>
      </c>
      <c r="C80" s="108">
        <f>'Q2'!R15</f>
        <v>0</v>
      </c>
      <c r="D80" s="108">
        <f>'Q3'!R15</f>
        <v>0</v>
      </c>
      <c r="E80" s="108">
        <f>'Q4'!R15</f>
        <v>0</v>
      </c>
      <c r="F80" s="108">
        <f>'Q1'!T15</f>
        <v>0</v>
      </c>
      <c r="G80" s="108">
        <f>'Q2'!T15</f>
        <v>0</v>
      </c>
      <c r="H80" s="108">
        <f>'Q3'!T15</f>
        <v>0</v>
      </c>
      <c r="I80" s="108">
        <f>'Q4'!T15</f>
        <v>0</v>
      </c>
    </row>
    <row r="81" spans="1:9">
      <c r="A81" t="str">
        <f>'Q1'!Q16</f>
        <v>Self - employment</v>
      </c>
      <c r="B81" s="108">
        <f>'Q1'!R16</f>
        <v>3518.2813381454916</v>
      </c>
      <c r="C81" s="108">
        <f>'Q2'!R16</f>
        <v>8209.3231223394796</v>
      </c>
      <c r="D81" s="108">
        <f>'Q3'!R16</f>
        <v>10554.844014436472</v>
      </c>
      <c r="E81" s="108">
        <f>'Q4'!R16</f>
        <v>14289.634973390919</v>
      </c>
      <c r="F81" s="108">
        <f>'Q1'!T16</f>
        <v>2808</v>
      </c>
      <c r="G81" s="108">
        <f>'Q2'!T16</f>
        <v>6552</v>
      </c>
      <c r="H81" s="108">
        <f>'Q3'!T16</f>
        <v>7295.0429868591054</v>
      </c>
      <c r="I81" s="108">
        <f>'Q4'!T16</f>
        <v>9477.7431265203286</v>
      </c>
    </row>
    <row r="82" spans="1:9">
      <c r="A82" t="str">
        <f>'Q1'!Q17</f>
        <v>Small business/petty trading</v>
      </c>
      <c r="B82" s="108">
        <f>'Q1'!R17</f>
        <v>0</v>
      </c>
      <c r="C82" s="108">
        <f>'Q2'!R17</f>
        <v>4239.9800741753361</v>
      </c>
      <c r="D82" s="108">
        <f>'Q3'!R17</f>
        <v>7036.5626762909824</v>
      </c>
      <c r="E82" s="108">
        <f>'Q4'!R17</f>
        <v>8931.021858369324</v>
      </c>
      <c r="F82" s="108">
        <f>'Q1'!T17</f>
        <v>0</v>
      </c>
      <c r="G82" s="108">
        <f>'Q2'!T17</f>
        <v>3271.1999999999994</v>
      </c>
      <c r="H82" s="108">
        <f>'Q3'!T17</f>
        <v>5428.8</v>
      </c>
      <c r="I82" s="108">
        <f>'Q4'!T17</f>
        <v>6890.3999999999987</v>
      </c>
    </row>
    <row r="83" spans="1:9">
      <c r="A83" t="str">
        <f>'Q1'!Q18</f>
        <v>Food transfer - official</v>
      </c>
      <c r="B83" s="108">
        <f>'Q1'!R18</f>
        <v>1220.9989961164727</v>
      </c>
      <c r="C83" s="108">
        <f>'Q2'!R18</f>
        <v>1220.9989961164727</v>
      </c>
      <c r="D83" s="108">
        <f>'Q3'!R18</f>
        <v>1220.9989961164724</v>
      </c>
      <c r="E83" s="108">
        <f>'Q4'!R18</f>
        <v>1220.9989961164727</v>
      </c>
      <c r="F83" s="108">
        <f>'Q1'!T18</f>
        <v>1339.9375066721143</v>
      </c>
      <c r="G83" s="108">
        <f>'Q2'!T18</f>
        <v>1339.9375066721143</v>
      </c>
      <c r="H83" s="108">
        <f>'Q3'!T18</f>
        <v>1339.9375066721143</v>
      </c>
      <c r="I83" s="108">
        <f>'Q4'!T18</f>
        <v>1339.9375066721143</v>
      </c>
    </row>
    <row r="84" spans="1:9">
      <c r="A84" t="str">
        <f>'Q1'!Q19</f>
        <v>Food transfer - gifts</v>
      </c>
      <c r="B84" s="108">
        <f>'Q1'!R19</f>
        <v>0</v>
      </c>
      <c r="C84" s="108">
        <f>'Q2'!R19</f>
        <v>0</v>
      </c>
      <c r="D84" s="108">
        <f>'Q3'!R19</f>
        <v>0</v>
      </c>
      <c r="E84" s="108">
        <f>'Q4'!R19</f>
        <v>0</v>
      </c>
      <c r="F84" s="108">
        <f>'Q1'!T19</f>
        <v>0</v>
      </c>
      <c r="G84" s="108">
        <f>'Q2'!T19</f>
        <v>0</v>
      </c>
      <c r="H84" s="108">
        <f>'Q3'!T19</f>
        <v>0</v>
      </c>
      <c r="I84" s="108">
        <f>'Q4'!T19</f>
        <v>0</v>
      </c>
    </row>
    <row r="85" spans="1:9">
      <c r="A85" t="str">
        <f>'Q1'!Q20</f>
        <v>Cash transfer - official</v>
      </c>
      <c r="B85" s="108">
        <f>'Q1'!R20</f>
        <v>15408.268014237179</v>
      </c>
      <c r="C85" s="108">
        <f>'Q2'!R20</f>
        <v>15408.268014237179</v>
      </c>
      <c r="D85" s="108">
        <f>'Q3'!R20</f>
        <v>4582.7869737895116</v>
      </c>
      <c r="E85" s="108">
        <f>'Q4'!R20</f>
        <v>0</v>
      </c>
      <c r="F85" s="108">
        <f>'Q1'!T20</f>
        <v>0</v>
      </c>
      <c r="G85" s="108">
        <f>'Q2'!T20</f>
        <v>0</v>
      </c>
      <c r="H85" s="108">
        <f>'Q3'!T20</f>
        <v>0</v>
      </c>
      <c r="I85" s="108">
        <f>'Q4'!T20</f>
        <v>0</v>
      </c>
    </row>
    <row r="86" spans="1:9">
      <c r="A86" t="str">
        <f>'Q1'!Q21</f>
        <v>Cash transfer - gifts</v>
      </c>
      <c r="B86" s="108">
        <f>'Q1'!R21</f>
        <v>3825.0033009581762</v>
      </c>
      <c r="C86" s="108">
        <f>'Q2'!R21</f>
        <v>2616.1579181081861</v>
      </c>
      <c r="D86" s="108">
        <f>'Q3'!R21</f>
        <v>3518.2813381454912</v>
      </c>
      <c r="E86" s="108">
        <f>'Q4'!R21</f>
        <v>4510.6171001865278</v>
      </c>
      <c r="F86" s="108">
        <f>'Q1'!T21</f>
        <v>2742.0000000000005</v>
      </c>
      <c r="G86" s="108">
        <f>'Q2'!T21</f>
        <v>1740</v>
      </c>
      <c r="H86" s="108">
        <f>'Q3'!T21</f>
        <v>2340</v>
      </c>
      <c r="I86" s="108">
        <f>'Q4'!T21</f>
        <v>2999.9999999999995</v>
      </c>
    </row>
    <row r="87" spans="1:9">
      <c r="A87" t="str">
        <f>'Q1'!Q22</f>
        <v>Other</v>
      </c>
      <c r="B87" s="108">
        <f>'Q1'!R22</f>
        <v>0</v>
      </c>
      <c r="C87" s="108">
        <f>'Q2'!R22</f>
        <v>0</v>
      </c>
      <c r="D87" s="108">
        <f>'Q3'!R22</f>
        <v>0</v>
      </c>
      <c r="E87" s="108">
        <f>'Q4'!R22</f>
        <v>0</v>
      </c>
      <c r="F87" s="108">
        <f>'Q1'!T22</f>
        <v>0</v>
      </c>
      <c r="G87" s="108">
        <f>'Q2'!T22</f>
        <v>0</v>
      </c>
      <c r="H87" s="108">
        <f>'Q3'!T22</f>
        <v>0</v>
      </c>
      <c r="I87" s="108">
        <f>'Q4'!T22</f>
        <v>0</v>
      </c>
    </row>
    <row r="88" spans="1:9">
      <c r="A88" t="str">
        <f>'Q1'!Q23</f>
        <v>TOTAL</v>
      </c>
      <c r="B88" s="108">
        <f>'Q1'!R23</f>
        <v>30016.778563707263</v>
      </c>
      <c r="C88" s="108">
        <f>'Q2'!R23</f>
        <v>45840.023351161602</v>
      </c>
      <c r="D88" s="108">
        <f>'Q3'!R23</f>
        <v>61284.37630220026</v>
      </c>
      <c r="E88" s="108">
        <f>'Q4'!R23</f>
        <v>93454.097460730569</v>
      </c>
      <c r="F88" s="108">
        <f>'Q1'!T23</f>
        <v>9420.7375066721161</v>
      </c>
      <c r="G88" s="108">
        <f>'Q2'!T23</f>
        <v>19050.317506672112</v>
      </c>
      <c r="H88" s="108">
        <f>'Q3'!T23</f>
        <v>35172.080493531219</v>
      </c>
      <c r="I88" s="108">
        <f>'Q4'!T23</f>
        <v>58884.280633192437</v>
      </c>
    </row>
    <row r="89" spans="1:9">
      <c r="A89" t="str">
        <f>'Q1'!Q24</f>
        <v>Food Poverty line</v>
      </c>
      <c r="B89" s="108">
        <f>'Q1'!R24</f>
        <v>19201.523793976001</v>
      </c>
      <c r="C89" s="108">
        <f>'Q2'!R24</f>
        <v>19201.523793976001</v>
      </c>
      <c r="D89" s="108">
        <f>'Q3'!R24</f>
        <v>19201.523793975997</v>
      </c>
      <c r="E89" s="108">
        <f>'Q4'!R24</f>
        <v>19201.523793976001</v>
      </c>
      <c r="F89" s="108">
        <f>'Q1'!T24</f>
        <v>19201.523793976001</v>
      </c>
      <c r="G89" s="108">
        <f>'Q2'!T24</f>
        <v>19201.523793976001</v>
      </c>
      <c r="H89" s="108">
        <f>'Q3'!T24</f>
        <v>19201.523793975997</v>
      </c>
      <c r="I89" s="108">
        <f>'Q4'!T24</f>
        <v>19201.523793976001</v>
      </c>
    </row>
    <row r="90" spans="1:9">
      <c r="A90" s="107" t="str">
        <f>'Q1'!Q25</f>
        <v>Lower Bound Poverty line</v>
      </c>
      <c r="B90" s="108">
        <f>'Q1'!R25</f>
        <v>28392.937127309335</v>
      </c>
      <c r="C90" s="108">
        <f>'Q2'!R25</f>
        <v>28392.937127309335</v>
      </c>
      <c r="D90" s="108">
        <f>'Q3'!R25</f>
        <v>28392.937127309335</v>
      </c>
      <c r="E90" s="108">
        <f>'Q4'!R25</f>
        <v>28392.937127309335</v>
      </c>
      <c r="F90" s="108">
        <f>'Q1'!T25</f>
        <v>28392.937127309335</v>
      </c>
      <c r="G90" s="108">
        <f>'Q2'!T25</f>
        <v>28392.937127309335</v>
      </c>
      <c r="H90" s="108">
        <f>'Q3'!T25</f>
        <v>28392.937127309335</v>
      </c>
      <c r="I90" s="108">
        <f>'Q4'!T25</f>
        <v>28392.937127309335</v>
      </c>
    </row>
    <row r="91" spans="1:9">
      <c r="A91" s="107" t="str">
        <f>'Q1'!Q26</f>
        <v>Upper Bound Poverty line</v>
      </c>
      <c r="B91" s="108">
        <f>'Q1'!R26</f>
        <v>44761.897127309334</v>
      </c>
      <c r="C91" s="108">
        <f>'Q2'!R26</f>
        <v>44761.897127309334</v>
      </c>
      <c r="D91" s="108">
        <f>'Q3'!R26</f>
        <v>44761.897127309327</v>
      </c>
      <c r="E91" s="108">
        <f>'Q4'!R26</f>
        <v>44761.897127309334</v>
      </c>
      <c r="F91" s="108">
        <f>'Q1'!T26</f>
        <v>44761.897127309334</v>
      </c>
      <c r="G91" s="108">
        <f>'Q2'!T26</f>
        <v>44761.897127309334</v>
      </c>
      <c r="H91" s="108">
        <f>'Q3'!T26</f>
        <v>44761.897127309327</v>
      </c>
      <c r="I91" s="108">
        <f>'Q4'!T26</f>
        <v>44761.897127309334</v>
      </c>
    </row>
    <row r="92" spans="1:9">
      <c r="A92" s="107" t="str">
        <f>'Q1'!Q27</f>
        <v>Resilience line</v>
      </c>
      <c r="B92" s="108">
        <f>'Q1'!R27</f>
        <v>0</v>
      </c>
      <c r="C92" s="108">
        <f>'Q2'!R27</f>
        <v>0</v>
      </c>
      <c r="D92" s="108">
        <f>'Q3'!R27</f>
        <v>0</v>
      </c>
      <c r="E92" s="108">
        <f>'Q4'!R27</f>
        <v>0</v>
      </c>
      <c r="F92" s="108">
        <f>'Q1'!T27</f>
        <v>0</v>
      </c>
      <c r="G92" s="108">
        <f>'Q2'!T27</f>
        <v>0</v>
      </c>
      <c r="H92" s="108">
        <f>'Q3'!T27</f>
        <v>0</v>
      </c>
      <c r="I92" s="108">
        <f>'Q4'!T27</f>
        <v>0</v>
      </c>
    </row>
    <row r="93" spans="1:9">
      <c r="A93" t="str">
        <f>'Q1'!Q24</f>
        <v>Food Poverty line</v>
      </c>
      <c r="F93" s="108">
        <f>'Q1'!T24</f>
        <v>19201.523793976001</v>
      </c>
      <c r="G93" s="108">
        <f>'Q2'!T24</f>
        <v>19201.523793976001</v>
      </c>
      <c r="H93" s="108">
        <f>'Q3'!T24</f>
        <v>19201.523793975997</v>
      </c>
      <c r="I93" s="108">
        <f>'Q4'!T24</f>
        <v>19201.523793976001</v>
      </c>
    </row>
    <row r="94" spans="1:9">
      <c r="A94" t="str">
        <f>'Q1'!Q25</f>
        <v>Lower Bound Poverty line</v>
      </c>
      <c r="F94" s="108">
        <f>'Q1'!T25</f>
        <v>28392.937127309335</v>
      </c>
      <c r="G94" s="108">
        <f>'Q2'!T25</f>
        <v>28392.937127309335</v>
      </c>
      <c r="H94" s="108">
        <f>'Q3'!T25</f>
        <v>28392.937127309335</v>
      </c>
      <c r="I94" s="108">
        <f>'Q4'!T25</f>
        <v>28392.937127309335</v>
      </c>
    </row>
    <row r="95" spans="1:9">
      <c r="A95" t="str">
        <f>'Q1'!Q26</f>
        <v>Upper Bound Poverty line</v>
      </c>
      <c r="F95" s="108">
        <f>'Q1'!T26</f>
        <v>44761.897127309334</v>
      </c>
      <c r="G95" s="108">
        <f>'Q2'!T26</f>
        <v>44761.897127309334</v>
      </c>
      <c r="H95" s="108">
        <f>'Q3'!T26</f>
        <v>44761.897127309327</v>
      </c>
      <c r="I95" s="108">
        <f>'Q4'!T26</f>
        <v>44761.897127309334</v>
      </c>
    </row>
    <row r="96" spans="1:9">
      <c r="A96" t="str">
        <f>'Q1'!Q27</f>
        <v>Resilience line</v>
      </c>
      <c r="F96" s="108">
        <f>'Q1'!T27</f>
        <v>0</v>
      </c>
      <c r="G96" s="108">
        <f>'Q2'!T27</f>
        <v>0</v>
      </c>
      <c r="H96" s="108">
        <f>'Q3'!T27</f>
        <v>0</v>
      </c>
      <c r="I96" s="108">
        <f>'Q4'!T27</f>
        <v>0</v>
      </c>
    </row>
    <row r="98" spans="1:9">
      <c r="A98" t="s">
        <v>121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9780.7862873038848</v>
      </c>
      <c r="G98" s="237">
        <f t="shared" si="0"/>
        <v>151.20628730388853</v>
      </c>
      <c r="H98" s="237">
        <f t="shared" si="0"/>
        <v>0</v>
      </c>
      <c r="I98" s="237">
        <f t="shared" si="0"/>
        <v>0</v>
      </c>
    </row>
    <row r="99" spans="1:9">
      <c r="A99" t="s">
        <v>122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18972.199620637221</v>
      </c>
      <c r="G99" s="237">
        <f t="shared" si="0"/>
        <v>9342.6196206372224</v>
      </c>
      <c r="H99" s="237">
        <f t="shared" si="0"/>
        <v>0</v>
      </c>
      <c r="I99" s="237">
        <f t="shared" si="0"/>
        <v>0</v>
      </c>
    </row>
    <row r="100" spans="1:9">
      <c r="A100" t="s">
        <v>123</v>
      </c>
      <c r="B100" s="237">
        <f>IF(B91&gt;B$88,B91-B$88,0)</f>
        <v>14745.118563602071</v>
      </c>
      <c r="C100" s="237">
        <f t="shared" si="0"/>
        <v>0</v>
      </c>
      <c r="D100" s="237">
        <f t="shared" si="0"/>
        <v>0</v>
      </c>
      <c r="E100" s="237">
        <f t="shared" si="0"/>
        <v>0</v>
      </c>
      <c r="F100" s="237">
        <f t="shared" si="0"/>
        <v>35341.15962063722</v>
      </c>
      <c r="G100" s="237">
        <f t="shared" si="0"/>
        <v>25711.579620637222</v>
      </c>
      <c r="H100" s="237">
        <f t="shared" si="0"/>
        <v>9589.8166337781076</v>
      </c>
      <c r="I100" s="237">
        <f t="shared" si="0"/>
        <v>0</v>
      </c>
    </row>
    <row r="101" spans="1:9">
      <c r="A101" t="s">
        <v>124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3" t="str">
        <f>'Q2'!A1</f>
        <v>ZA UP: 59899</v>
      </c>
      <c r="L2" s="263"/>
      <c r="M2" s="263"/>
      <c r="N2" s="263"/>
      <c r="O2" s="263"/>
      <c r="P2" s="263"/>
      <c r="Q2" s="263"/>
      <c r="R2" s="246"/>
      <c r="S2" s="246"/>
      <c r="T2" s="246"/>
      <c r="U2" s="246"/>
      <c r="V2" s="246"/>
    </row>
    <row r="3" spans="1:22" s="91" customFormat="1" ht="17">
      <c r="A3" s="89"/>
      <c r="B3" s="264" t="str">
        <f>'Q1'!A67</f>
        <v>Expenditure : Q1 HHs</v>
      </c>
      <c r="C3" s="264"/>
      <c r="D3" s="264"/>
      <c r="E3" s="264"/>
      <c r="F3" s="248"/>
      <c r="G3" s="262" t="str">
        <f>'Q2'!A67</f>
        <v>Expenditure : Q2 HHs</v>
      </c>
      <c r="H3" s="262"/>
      <c r="I3" s="262"/>
      <c r="J3" s="262"/>
      <c r="K3" s="244"/>
      <c r="L3" s="262" t="str">
        <f>'Q3'!A67</f>
        <v>Expenditure : Q3 HHs</v>
      </c>
      <c r="M3" s="262"/>
      <c r="N3" s="262"/>
      <c r="O3" s="262"/>
      <c r="P3" s="262"/>
      <c r="Q3" s="245"/>
      <c r="R3" s="262" t="str">
        <f>'Q4'!A67</f>
        <v>Expenditure : Q4 HHs</v>
      </c>
      <c r="S3" s="262"/>
      <c r="T3" s="262"/>
      <c r="U3" s="262"/>
      <c r="V3" s="89"/>
    </row>
    <row r="4" spans="1:22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199" bestFit="1" customWidth="1"/>
    <col min="2" max="2" width="9" style="199" bestFit="1" customWidth="1"/>
    <col min="3" max="4" width="6.5703125" style="199" bestFit="1" customWidth="1"/>
    <col min="5" max="5" width="8.28515625" style="199" bestFit="1" customWidth="1"/>
    <col min="6" max="9" width="7.5703125" style="199" bestFit="1" customWidth="1"/>
    <col min="10" max="10" width="8.42578125" style="199" bestFit="1" customWidth="1"/>
    <col min="11" max="14" width="7.5703125" style="199" bestFit="1" customWidth="1"/>
    <col min="15" max="15" width="8.28515625" style="199" customWidth="1"/>
    <col min="16" max="43" width="7.42578125" style="199" bestFit="1" customWidth="1"/>
    <col min="44" max="89" width="8.42578125" style="199" bestFit="1" customWidth="1"/>
    <col min="90" max="105" width="9.42578125" style="199" bestFit="1" customWidth="1"/>
    <col min="106" max="16384" width="11.5703125" style="199"/>
  </cols>
  <sheetData>
    <row r="1" spans="1:106">
      <c r="B1" s="199" t="s">
        <v>77</v>
      </c>
      <c r="C1" s="199" t="s">
        <v>76</v>
      </c>
      <c r="D1" s="199" t="s">
        <v>78</v>
      </c>
      <c r="E1" s="199" t="s">
        <v>79</v>
      </c>
    </row>
    <row r="2" spans="1:106">
      <c r="B2" s="200">
        <f>[1]!wb_summary</f>
        <v>0.2</v>
      </c>
      <c r="C2" s="200">
        <f>[1]WB!$CK$10</f>
        <v>0.2</v>
      </c>
      <c r="D2" s="200">
        <f>[1]WB!$CK$11</f>
        <v>0.2</v>
      </c>
      <c r="E2" s="200">
        <f>[1]WB!$CK$12</f>
        <v>0.2</v>
      </c>
      <c r="F2" s="200">
        <v>0.01</v>
      </c>
      <c r="G2" s="200">
        <v>0.02</v>
      </c>
      <c r="H2" s="200">
        <v>0.03</v>
      </c>
      <c r="I2" s="200">
        <v>0.04</v>
      </c>
      <c r="J2" s="200">
        <v>0.05</v>
      </c>
      <c r="K2" s="200">
        <v>0.06</v>
      </c>
      <c r="L2" s="200">
        <v>7.0000000000000007E-2</v>
      </c>
      <c r="M2" s="200">
        <v>0.08</v>
      </c>
      <c r="N2" s="200">
        <v>0.09</v>
      </c>
      <c r="O2" s="200">
        <v>0.1</v>
      </c>
      <c r="P2" s="200">
        <v>0.11</v>
      </c>
      <c r="Q2" s="200">
        <v>0.12</v>
      </c>
      <c r="R2" s="200">
        <v>0.13</v>
      </c>
      <c r="S2" s="200">
        <v>0.14000000000000001</v>
      </c>
      <c r="T2" s="200">
        <v>0.15</v>
      </c>
      <c r="U2" s="200">
        <v>0.16</v>
      </c>
      <c r="V2" s="200">
        <v>0.17</v>
      </c>
      <c r="W2" s="200">
        <v>0.18</v>
      </c>
      <c r="X2" s="200">
        <v>0.19</v>
      </c>
      <c r="Y2" s="200">
        <v>0.2</v>
      </c>
      <c r="Z2" s="200">
        <v>0.21</v>
      </c>
      <c r="AA2" s="200">
        <v>0.22</v>
      </c>
      <c r="AB2" s="200">
        <v>0.23</v>
      </c>
      <c r="AC2" s="200">
        <v>0.24</v>
      </c>
      <c r="AD2" s="200">
        <v>0.25</v>
      </c>
      <c r="AE2" s="200">
        <v>0.26</v>
      </c>
      <c r="AF2" s="200">
        <v>0.27</v>
      </c>
      <c r="AG2" s="200">
        <v>0.28000000000000003</v>
      </c>
      <c r="AH2" s="200">
        <v>0.28999999999999998</v>
      </c>
      <c r="AI2" s="200">
        <v>0.3</v>
      </c>
      <c r="AJ2" s="200">
        <v>0.31</v>
      </c>
      <c r="AK2" s="200">
        <v>0.32</v>
      </c>
      <c r="AL2" s="200">
        <v>0.33</v>
      </c>
      <c r="AM2" s="200">
        <v>0.34</v>
      </c>
      <c r="AN2" s="200">
        <v>0.35</v>
      </c>
      <c r="AO2" s="200">
        <v>0.36</v>
      </c>
      <c r="AP2" s="200">
        <v>0.37</v>
      </c>
      <c r="AQ2" s="200">
        <v>0.38</v>
      </c>
      <c r="AR2" s="200">
        <v>0.39</v>
      </c>
      <c r="AS2" s="200">
        <v>0.4</v>
      </c>
      <c r="AT2" s="200">
        <v>0.41</v>
      </c>
      <c r="AU2" s="200">
        <v>0.42</v>
      </c>
      <c r="AV2" s="200">
        <v>0.43</v>
      </c>
      <c r="AW2" s="200">
        <v>0.44</v>
      </c>
      <c r="AX2" s="200">
        <v>0.45</v>
      </c>
      <c r="AY2" s="200">
        <v>0.46</v>
      </c>
      <c r="AZ2" s="200">
        <v>0.47</v>
      </c>
      <c r="BA2" s="200">
        <v>0.48</v>
      </c>
      <c r="BB2" s="200">
        <v>0.49</v>
      </c>
      <c r="BC2" s="200">
        <v>0.5</v>
      </c>
      <c r="BD2" s="200">
        <v>0.51</v>
      </c>
      <c r="BE2" s="200">
        <v>0.52</v>
      </c>
      <c r="BF2" s="200">
        <v>0.53</v>
      </c>
      <c r="BG2" s="200">
        <v>0.54</v>
      </c>
      <c r="BH2" s="200">
        <v>0.55000000000000004</v>
      </c>
      <c r="BI2" s="200">
        <v>0.56000000000000005</v>
      </c>
      <c r="BJ2" s="200">
        <v>0.56999999999999995</v>
      </c>
      <c r="BK2" s="200">
        <v>0.57999999999999996</v>
      </c>
      <c r="BL2" s="200">
        <v>0.59</v>
      </c>
      <c r="BM2" s="200">
        <v>0.6</v>
      </c>
      <c r="BN2" s="200">
        <v>0.61</v>
      </c>
      <c r="BO2" s="200">
        <v>0.62</v>
      </c>
      <c r="BP2" s="200">
        <v>0.63</v>
      </c>
      <c r="BQ2" s="200">
        <v>0.64</v>
      </c>
      <c r="BR2" s="200">
        <v>0.65</v>
      </c>
      <c r="BS2" s="200">
        <v>0.66</v>
      </c>
      <c r="BT2" s="200">
        <v>0.67</v>
      </c>
      <c r="BU2" s="200">
        <v>0.68</v>
      </c>
      <c r="BV2" s="200">
        <v>0.69</v>
      </c>
      <c r="BW2" s="200">
        <v>0.7</v>
      </c>
      <c r="BX2" s="200">
        <v>0.71</v>
      </c>
      <c r="BY2" s="200">
        <v>0.72</v>
      </c>
      <c r="BZ2" s="200">
        <v>0.73</v>
      </c>
      <c r="CA2" s="200">
        <v>0.74</v>
      </c>
      <c r="CB2" s="200">
        <v>0.75</v>
      </c>
      <c r="CC2" s="200">
        <v>0.76</v>
      </c>
      <c r="CD2" s="200">
        <v>0.77</v>
      </c>
      <c r="CE2" s="200">
        <v>0.78</v>
      </c>
      <c r="CF2" s="200">
        <v>0.79</v>
      </c>
      <c r="CG2" s="200">
        <v>0.8</v>
      </c>
      <c r="CH2" s="200">
        <v>0.81</v>
      </c>
      <c r="CI2" s="200">
        <v>0.82</v>
      </c>
      <c r="CJ2" s="200">
        <v>0.83</v>
      </c>
      <c r="CK2" s="200">
        <v>0.84</v>
      </c>
      <c r="CL2" s="200">
        <v>0.85</v>
      </c>
      <c r="CM2" s="200">
        <v>0.86</v>
      </c>
      <c r="CN2" s="200">
        <v>0.87</v>
      </c>
      <c r="CO2" s="200">
        <v>0.88</v>
      </c>
      <c r="CP2" s="200">
        <v>0.89</v>
      </c>
      <c r="CQ2" s="200">
        <v>0.9</v>
      </c>
      <c r="CR2" s="200">
        <v>0.91</v>
      </c>
      <c r="CS2" s="200">
        <v>0.92</v>
      </c>
      <c r="CT2" s="200">
        <v>0.93</v>
      </c>
      <c r="CU2" s="200">
        <v>0.94</v>
      </c>
      <c r="CV2" s="200">
        <v>0.95</v>
      </c>
      <c r="CW2" s="200">
        <v>0.96</v>
      </c>
      <c r="CX2" s="200">
        <v>0.97</v>
      </c>
      <c r="CY2" s="200">
        <v>0.98</v>
      </c>
      <c r="CZ2" s="200">
        <v>0.99</v>
      </c>
      <c r="DA2" s="200">
        <v>1</v>
      </c>
      <c r="DB2" s="200"/>
    </row>
    <row r="3" spans="1:106">
      <c r="A3" s="199" t="str">
        <f>Income!A72</f>
        <v>Own crops Consumed</v>
      </c>
      <c r="B3" s="201">
        <f>Income!B72</f>
        <v>0</v>
      </c>
      <c r="C3" s="201">
        <f>Income!C72</f>
        <v>0</v>
      </c>
      <c r="D3" s="201">
        <f>Income!D72</f>
        <v>0</v>
      </c>
      <c r="E3" s="201">
        <f>Income!E72</f>
        <v>0</v>
      </c>
      <c r="F3" s="202">
        <f>IF(F$2&lt;=($B$2+$C$2+$D$2),IF(F$2&lt;=($B$2+$C$2),IF(F$2&lt;=$B$2,$B3,$C3),$D3),$E3)</f>
        <v>0</v>
      </c>
      <c r="G3" s="202">
        <f t="shared" ref="G3:AW7" si="0">IF(G$2&lt;=($B$2+$C$2+$D$2),IF(G$2&lt;=($B$2+$C$2),IF(G$2&lt;=$B$2,$B3,$C3),$D3),$E3)</f>
        <v>0</v>
      </c>
      <c r="H3" s="202">
        <f t="shared" si="0"/>
        <v>0</v>
      </c>
      <c r="I3" s="202">
        <f t="shared" si="0"/>
        <v>0</v>
      </c>
      <c r="J3" s="202">
        <f t="shared" si="0"/>
        <v>0</v>
      </c>
      <c r="K3" s="202">
        <f t="shared" si="0"/>
        <v>0</v>
      </c>
      <c r="L3" s="202">
        <f t="shared" si="0"/>
        <v>0</v>
      </c>
      <c r="M3" s="202">
        <f t="shared" si="0"/>
        <v>0</v>
      </c>
      <c r="N3" s="202">
        <f t="shared" si="0"/>
        <v>0</v>
      </c>
      <c r="O3" s="202">
        <f t="shared" si="0"/>
        <v>0</v>
      </c>
      <c r="P3" s="202">
        <f t="shared" si="0"/>
        <v>0</v>
      </c>
      <c r="Q3" s="202">
        <f t="shared" si="0"/>
        <v>0</v>
      </c>
      <c r="R3" s="202">
        <f t="shared" si="0"/>
        <v>0</v>
      </c>
      <c r="S3" s="202">
        <f t="shared" si="0"/>
        <v>0</v>
      </c>
      <c r="T3" s="202">
        <f t="shared" si="0"/>
        <v>0</v>
      </c>
      <c r="U3" s="202">
        <f t="shared" si="0"/>
        <v>0</v>
      </c>
      <c r="V3" s="202">
        <f t="shared" si="0"/>
        <v>0</v>
      </c>
      <c r="W3" s="202">
        <f t="shared" si="0"/>
        <v>0</v>
      </c>
      <c r="X3" s="202">
        <f t="shared" si="0"/>
        <v>0</v>
      </c>
      <c r="Y3" s="202">
        <f t="shared" si="0"/>
        <v>0</v>
      </c>
      <c r="Z3" s="202">
        <f t="shared" si="0"/>
        <v>0</v>
      </c>
      <c r="AA3" s="202">
        <f t="shared" si="0"/>
        <v>0</v>
      </c>
      <c r="AB3" s="202">
        <f t="shared" si="0"/>
        <v>0</v>
      </c>
      <c r="AC3" s="202">
        <f t="shared" si="0"/>
        <v>0</v>
      </c>
      <c r="AD3" s="202">
        <f t="shared" si="0"/>
        <v>0</v>
      </c>
      <c r="AE3" s="202">
        <f t="shared" si="0"/>
        <v>0</v>
      </c>
      <c r="AF3" s="202">
        <f t="shared" si="0"/>
        <v>0</v>
      </c>
      <c r="AG3" s="202">
        <f t="shared" si="0"/>
        <v>0</v>
      </c>
      <c r="AH3" s="202">
        <f t="shared" si="0"/>
        <v>0</v>
      </c>
      <c r="AI3" s="202">
        <f t="shared" si="0"/>
        <v>0</v>
      </c>
      <c r="AJ3" s="202">
        <f t="shared" si="0"/>
        <v>0</v>
      </c>
      <c r="AK3" s="202">
        <f t="shared" si="0"/>
        <v>0</v>
      </c>
      <c r="AL3" s="202">
        <f t="shared" si="0"/>
        <v>0</v>
      </c>
      <c r="AM3" s="202">
        <f t="shared" si="0"/>
        <v>0</v>
      </c>
      <c r="AN3" s="202">
        <f t="shared" si="0"/>
        <v>0</v>
      </c>
      <c r="AO3" s="202">
        <f t="shared" si="0"/>
        <v>0</v>
      </c>
      <c r="AP3" s="202">
        <f t="shared" si="0"/>
        <v>0</v>
      </c>
      <c r="AQ3" s="202">
        <f t="shared" si="0"/>
        <v>0</v>
      </c>
      <c r="AR3" s="202">
        <f t="shared" si="0"/>
        <v>0</v>
      </c>
      <c r="AS3" s="202">
        <f t="shared" si="0"/>
        <v>0</v>
      </c>
      <c r="AT3" s="202">
        <f t="shared" si="0"/>
        <v>0</v>
      </c>
      <c r="AU3" s="202">
        <f t="shared" si="0"/>
        <v>0</v>
      </c>
      <c r="AV3" s="202">
        <f t="shared" si="0"/>
        <v>0</v>
      </c>
      <c r="AW3" s="202">
        <f t="shared" si="0"/>
        <v>0</v>
      </c>
      <c r="AX3" s="202">
        <f t="shared" ref="AX3:BZ10" si="1">IF(AX$2&lt;=($B$2+$C$2+$D$2),IF(AX$2&lt;=($B$2+$C$2),IF(AX$2&lt;=$B$2,$B3,$C3),$D3),$E3)</f>
        <v>0</v>
      </c>
      <c r="AY3" s="202">
        <f t="shared" si="1"/>
        <v>0</v>
      </c>
      <c r="AZ3" s="202">
        <f t="shared" si="1"/>
        <v>0</v>
      </c>
      <c r="BA3" s="202">
        <f t="shared" si="1"/>
        <v>0</v>
      </c>
      <c r="BB3" s="202">
        <f t="shared" si="1"/>
        <v>0</v>
      </c>
      <c r="BC3" s="202">
        <f t="shared" si="1"/>
        <v>0</v>
      </c>
      <c r="BD3" s="202">
        <f t="shared" si="1"/>
        <v>0</v>
      </c>
      <c r="BE3" s="202">
        <f t="shared" si="1"/>
        <v>0</v>
      </c>
      <c r="BF3" s="202">
        <f t="shared" si="1"/>
        <v>0</v>
      </c>
      <c r="BG3" s="202">
        <f t="shared" si="1"/>
        <v>0</v>
      </c>
      <c r="BH3" s="202">
        <f t="shared" si="1"/>
        <v>0</v>
      </c>
      <c r="BI3" s="202">
        <f t="shared" si="1"/>
        <v>0</v>
      </c>
      <c r="BJ3" s="202">
        <f t="shared" si="1"/>
        <v>0</v>
      </c>
      <c r="BK3" s="202">
        <f t="shared" si="1"/>
        <v>0</v>
      </c>
      <c r="BL3" s="202">
        <f t="shared" si="1"/>
        <v>0</v>
      </c>
      <c r="BM3" s="202">
        <f t="shared" si="1"/>
        <v>0</v>
      </c>
      <c r="BN3" s="202">
        <f t="shared" si="1"/>
        <v>0</v>
      </c>
      <c r="BO3" s="202">
        <f t="shared" si="1"/>
        <v>0</v>
      </c>
      <c r="BP3" s="202">
        <f t="shared" si="1"/>
        <v>0</v>
      </c>
      <c r="BQ3" s="202">
        <f t="shared" si="1"/>
        <v>0</v>
      </c>
      <c r="BR3" s="202">
        <f t="shared" si="1"/>
        <v>0</v>
      </c>
      <c r="BS3" s="202">
        <f t="shared" si="1"/>
        <v>0</v>
      </c>
      <c r="BT3" s="202">
        <f t="shared" si="1"/>
        <v>0</v>
      </c>
      <c r="BU3" s="202">
        <f t="shared" si="1"/>
        <v>0</v>
      </c>
      <c r="BV3" s="202">
        <f t="shared" si="1"/>
        <v>0</v>
      </c>
      <c r="BW3" s="202">
        <f t="shared" si="1"/>
        <v>0</v>
      </c>
      <c r="BX3" s="202">
        <f t="shared" si="1"/>
        <v>0</v>
      </c>
      <c r="BY3" s="202">
        <f t="shared" si="1"/>
        <v>0</v>
      </c>
      <c r="BZ3" s="202">
        <f t="shared" si="1"/>
        <v>0</v>
      </c>
      <c r="CA3" s="202">
        <f t="shared" ref="CA3:CR15" si="2">IF(CA$2&lt;=($B$2+$C$2+$D$2),IF(CA$2&lt;=($B$2+$C$2),IF(CA$2&lt;=$B$2,$B3,$C3),$D3),$E3)</f>
        <v>0</v>
      </c>
      <c r="CB3" s="202">
        <f t="shared" si="2"/>
        <v>0</v>
      </c>
      <c r="CC3" s="202">
        <f t="shared" si="2"/>
        <v>0</v>
      </c>
      <c r="CD3" s="202">
        <f t="shared" si="2"/>
        <v>0</v>
      </c>
      <c r="CE3" s="202">
        <f t="shared" si="2"/>
        <v>0</v>
      </c>
      <c r="CF3" s="202">
        <f t="shared" si="2"/>
        <v>0</v>
      </c>
      <c r="CG3" s="202">
        <f t="shared" si="2"/>
        <v>0</v>
      </c>
      <c r="CH3" s="202">
        <f t="shared" si="2"/>
        <v>0</v>
      </c>
      <c r="CI3" s="202">
        <f t="shared" si="2"/>
        <v>0</v>
      </c>
      <c r="CJ3" s="202">
        <f t="shared" si="2"/>
        <v>0</v>
      </c>
      <c r="CK3" s="202">
        <f t="shared" si="2"/>
        <v>0</v>
      </c>
      <c r="CL3" s="202">
        <f t="shared" si="2"/>
        <v>0</v>
      </c>
      <c r="CM3" s="202">
        <f t="shared" si="2"/>
        <v>0</v>
      </c>
      <c r="CN3" s="202">
        <f t="shared" si="2"/>
        <v>0</v>
      </c>
      <c r="CO3" s="202">
        <f t="shared" si="2"/>
        <v>0</v>
      </c>
      <c r="CP3" s="202">
        <f t="shared" si="2"/>
        <v>0</v>
      </c>
      <c r="CQ3" s="202">
        <f t="shared" si="2"/>
        <v>0</v>
      </c>
      <c r="CR3" s="202">
        <f t="shared" si="2"/>
        <v>0</v>
      </c>
      <c r="CS3" s="202">
        <f t="shared" ref="CS3:DA15" si="3">IF(CS$2&lt;=($B$2+$C$2+$D$2),IF(CS$2&lt;=($B$2+$C$2),IF(CS$2&lt;=$B$2,$B3,$C3),$D3),$E3)</f>
        <v>0</v>
      </c>
      <c r="CT3" s="202">
        <f t="shared" si="3"/>
        <v>0</v>
      </c>
      <c r="CU3" s="202">
        <f t="shared" si="3"/>
        <v>0</v>
      </c>
      <c r="CV3" s="202">
        <f t="shared" si="3"/>
        <v>0</v>
      </c>
      <c r="CW3" s="202">
        <f t="shared" si="3"/>
        <v>0</v>
      </c>
      <c r="CX3" s="202">
        <f t="shared" si="3"/>
        <v>0</v>
      </c>
      <c r="CY3" s="202">
        <f t="shared" si="3"/>
        <v>0</v>
      </c>
      <c r="CZ3" s="202">
        <f t="shared" si="3"/>
        <v>0</v>
      </c>
      <c r="DA3" s="202">
        <f t="shared" si="3"/>
        <v>0</v>
      </c>
      <c r="DB3" s="202"/>
    </row>
    <row r="4" spans="1:106">
      <c r="A4" s="199" t="str">
        <f>Income!A73</f>
        <v>Own crops sold</v>
      </c>
      <c r="B4" s="201">
        <f>Income!B73</f>
        <v>0</v>
      </c>
      <c r="C4" s="201">
        <f>Income!C73</f>
        <v>0</v>
      </c>
      <c r="D4" s="201">
        <f>Income!D73</f>
        <v>0</v>
      </c>
      <c r="E4" s="201">
        <f>Income!E73</f>
        <v>0</v>
      </c>
      <c r="F4" s="202">
        <f t="shared" ref="F4:U17" si="4">IF(F$2&lt;=($B$2+$C$2+$D$2),IF(F$2&lt;=($B$2+$C$2),IF(F$2&lt;=$B$2,$B4,$C4),$D4),$E4)</f>
        <v>0</v>
      </c>
      <c r="G4" s="202">
        <f t="shared" si="0"/>
        <v>0</v>
      </c>
      <c r="H4" s="202">
        <f t="shared" si="0"/>
        <v>0</v>
      </c>
      <c r="I4" s="202">
        <f t="shared" si="0"/>
        <v>0</v>
      </c>
      <c r="J4" s="202">
        <f t="shared" si="0"/>
        <v>0</v>
      </c>
      <c r="K4" s="202">
        <f t="shared" si="0"/>
        <v>0</v>
      </c>
      <c r="L4" s="202">
        <f t="shared" si="0"/>
        <v>0</v>
      </c>
      <c r="M4" s="202">
        <f t="shared" si="0"/>
        <v>0</v>
      </c>
      <c r="N4" s="202">
        <f t="shared" si="0"/>
        <v>0</v>
      </c>
      <c r="O4" s="202">
        <f t="shared" si="0"/>
        <v>0</v>
      </c>
      <c r="P4" s="202">
        <f t="shared" si="0"/>
        <v>0</v>
      </c>
      <c r="Q4" s="202">
        <f t="shared" si="0"/>
        <v>0</v>
      </c>
      <c r="R4" s="202">
        <f t="shared" si="0"/>
        <v>0</v>
      </c>
      <c r="S4" s="202">
        <f t="shared" si="0"/>
        <v>0</v>
      </c>
      <c r="T4" s="202">
        <f t="shared" si="0"/>
        <v>0</v>
      </c>
      <c r="U4" s="202">
        <f t="shared" si="0"/>
        <v>0</v>
      </c>
      <c r="V4" s="202">
        <f t="shared" si="0"/>
        <v>0</v>
      </c>
      <c r="W4" s="202">
        <f t="shared" si="0"/>
        <v>0</v>
      </c>
      <c r="X4" s="202">
        <f t="shared" si="0"/>
        <v>0</v>
      </c>
      <c r="Y4" s="202">
        <f t="shared" si="0"/>
        <v>0</v>
      </c>
      <c r="Z4" s="202">
        <f t="shared" si="0"/>
        <v>0</v>
      </c>
      <c r="AA4" s="202">
        <f t="shared" si="0"/>
        <v>0</v>
      </c>
      <c r="AB4" s="202">
        <f t="shared" si="0"/>
        <v>0</v>
      </c>
      <c r="AC4" s="202">
        <f t="shared" si="0"/>
        <v>0</v>
      </c>
      <c r="AD4" s="202">
        <f t="shared" si="0"/>
        <v>0</v>
      </c>
      <c r="AE4" s="202">
        <f t="shared" si="0"/>
        <v>0</v>
      </c>
      <c r="AF4" s="202">
        <f t="shared" si="0"/>
        <v>0</v>
      </c>
      <c r="AG4" s="202">
        <f t="shared" si="0"/>
        <v>0</v>
      </c>
      <c r="AH4" s="202">
        <f t="shared" si="0"/>
        <v>0</v>
      </c>
      <c r="AI4" s="202">
        <f t="shared" si="0"/>
        <v>0</v>
      </c>
      <c r="AJ4" s="202">
        <f t="shared" si="0"/>
        <v>0</v>
      </c>
      <c r="AK4" s="202">
        <f t="shared" si="0"/>
        <v>0</v>
      </c>
      <c r="AL4" s="202">
        <f t="shared" si="0"/>
        <v>0</v>
      </c>
      <c r="AM4" s="202">
        <f t="shared" si="0"/>
        <v>0</v>
      </c>
      <c r="AN4" s="202">
        <f t="shared" si="0"/>
        <v>0</v>
      </c>
      <c r="AO4" s="202">
        <f t="shared" si="0"/>
        <v>0</v>
      </c>
      <c r="AP4" s="202">
        <f t="shared" si="0"/>
        <v>0</v>
      </c>
      <c r="AQ4" s="202">
        <f t="shared" si="0"/>
        <v>0</v>
      </c>
      <c r="AR4" s="202">
        <f t="shared" si="0"/>
        <v>0</v>
      </c>
      <c r="AS4" s="202">
        <f t="shared" si="0"/>
        <v>0</v>
      </c>
      <c r="AT4" s="202">
        <f t="shared" si="0"/>
        <v>0</v>
      </c>
      <c r="AU4" s="202">
        <f t="shared" si="0"/>
        <v>0</v>
      </c>
      <c r="AV4" s="202">
        <f t="shared" si="0"/>
        <v>0</v>
      </c>
      <c r="AW4" s="202">
        <f t="shared" si="0"/>
        <v>0</v>
      </c>
      <c r="AX4" s="202">
        <f t="shared" si="1"/>
        <v>0</v>
      </c>
      <c r="AY4" s="202">
        <f t="shared" si="1"/>
        <v>0</v>
      </c>
      <c r="AZ4" s="202">
        <f t="shared" si="1"/>
        <v>0</v>
      </c>
      <c r="BA4" s="202">
        <f t="shared" si="1"/>
        <v>0</v>
      </c>
      <c r="BB4" s="202">
        <f t="shared" si="1"/>
        <v>0</v>
      </c>
      <c r="BC4" s="202">
        <f t="shared" si="1"/>
        <v>0</v>
      </c>
      <c r="BD4" s="202">
        <f t="shared" si="1"/>
        <v>0</v>
      </c>
      <c r="BE4" s="202">
        <f t="shared" si="1"/>
        <v>0</v>
      </c>
      <c r="BF4" s="202">
        <f t="shared" si="1"/>
        <v>0</v>
      </c>
      <c r="BG4" s="202">
        <f t="shared" si="1"/>
        <v>0</v>
      </c>
      <c r="BH4" s="202">
        <f t="shared" si="1"/>
        <v>0</v>
      </c>
      <c r="BI4" s="202">
        <f t="shared" si="1"/>
        <v>0</v>
      </c>
      <c r="BJ4" s="202">
        <f t="shared" si="1"/>
        <v>0</v>
      </c>
      <c r="BK4" s="202">
        <f t="shared" si="1"/>
        <v>0</v>
      </c>
      <c r="BL4" s="202">
        <f t="shared" si="1"/>
        <v>0</v>
      </c>
      <c r="BM4" s="202">
        <f t="shared" si="1"/>
        <v>0</v>
      </c>
      <c r="BN4" s="202">
        <f t="shared" si="1"/>
        <v>0</v>
      </c>
      <c r="BO4" s="202">
        <f t="shared" si="1"/>
        <v>0</v>
      </c>
      <c r="BP4" s="202">
        <f t="shared" si="1"/>
        <v>0</v>
      </c>
      <c r="BQ4" s="202">
        <f t="shared" si="1"/>
        <v>0</v>
      </c>
      <c r="BR4" s="202">
        <f t="shared" si="1"/>
        <v>0</v>
      </c>
      <c r="BS4" s="202">
        <f t="shared" si="1"/>
        <v>0</v>
      </c>
      <c r="BT4" s="202">
        <f t="shared" si="1"/>
        <v>0</v>
      </c>
      <c r="BU4" s="202">
        <f t="shared" si="1"/>
        <v>0</v>
      </c>
      <c r="BV4" s="202">
        <f t="shared" si="1"/>
        <v>0</v>
      </c>
      <c r="BW4" s="202">
        <f t="shared" si="1"/>
        <v>0</v>
      </c>
      <c r="BX4" s="202">
        <f t="shared" si="1"/>
        <v>0</v>
      </c>
      <c r="BY4" s="202">
        <f t="shared" si="1"/>
        <v>0</v>
      </c>
      <c r="BZ4" s="202">
        <f t="shared" si="1"/>
        <v>0</v>
      </c>
      <c r="CA4" s="202">
        <f t="shared" si="2"/>
        <v>0</v>
      </c>
      <c r="CB4" s="202">
        <f t="shared" si="2"/>
        <v>0</v>
      </c>
      <c r="CC4" s="202">
        <f t="shared" si="2"/>
        <v>0</v>
      </c>
      <c r="CD4" s="202">
        <f t="shared" si="2"/>
        <v>0</v>
      </c>
      <c r="CE4" s="202">
        <f t="shared" si="2"/>
        <v>0</v>
      </c>
      <c r="CF4" s="202">
        <f t="shared" si="2"/>
        <v>0</v>
      </c>
      <c r="CG4" s="202">
        <f t="shared" si="2"/>
        <v>0</v>
      </c>
      <c r="CH4" s="202">
        <f t="shared" si="2"/>
        <v>0</v>
      </c>
      <c r="CI4" s="202">
        <f t="shared" si="2"/>
        <v>0</v>
      </c>
      <c r="CJ4" s="202">
        <f t="shared" si="2"/>
        <v>0</v>
      </c>
      <c r="CK4" s="202">
        <f t="shared" si="2"/>
        <v>0</v>
      </c>
      <c r="CL4" s="202">
        <f t="shared" si="2"/>
        <v>0</v>
      </c>
      <c r="CM4" s="202">
        <f t="shared" si="2"/>
        <v>0</v>
      </c>
      <c r="CN4" s="202">
        <f t="shared" si="2"/>
        <v>0</v>
      </c>
      <c r="CO4" s="202">
        <f t="shared" si="2"/>
        <v>0</v>
      </c>
      <c r="CP4" s="202">
        <f t="shared" si="2"/>
        <v>0</v>
      </c>
      <c r="CQ4" s="202">
        <f t="shared" si="2"/>
        <v>0</v>
      </c>
      <c r="CR4" s="202">
        <f t="shared" si="2"/>
        <v>0</v>
      </c>
      <c r="CS4" s="202">
        <f t="shared" si="3"/>
        <v>0</v>
      </c>
      <c r="CT4" s="202">
        <f t="shared" si="3"/>
        <v>0</v>
      </c>
      <c r="CU4" s="202">
        <f t="shared" si="3"/>
        <v>0</v>
      </c>
      <c r="CV4" s="202">
        <f t="shared" si="3"/>
        <v>0</v>
      </c>
      <c r="CW4" s="202">
        <f t="shared" si="3"/>
        <v>0</v>
      </c>
      <c r="CX4" s="202">
        <f t="shared" si="3"/>
        <v>0</v>
      </c>
      <c r="CY4" s="202">
        <f t="shared" si="3"/>
        <v>0</v>
      </c>
      <c r="CZ4" s="202">
        <f t="shared" si="3"/>
        <v>0</v>
      </c>
      <c r="DA4" s="202">
        <f t="shared" si="3"/>
        <v>0</v>
      </c>
      <c r="DB4" s="202"/>
    </row>
    <row r="5" spans="1:106">
      <c r="A5" s="199" t="str">
        <f>Income!A74</f>
        <v>Animal products consumed</v>
      </c>
      <c r="B5" s="201">
        <f>Income!B74</f>
        <v>0</v>
      </c>
      <c r="C5" s="201">
        <f>Income!C74</f>
        <v>0</v>
      </c>
      <c r="D5" s="201">
        <f>Income!D74</f>
        <v>0</v>
      </c>
      <c r="E5" s="201">
        <f>Income!E74</f>
        <v>0</v>
      </c>
      <c r="F5" s="202">
        <f t="shared" si="4"/>
        <v>0</v>
      </c>
      <c r="G5" s="202">
        <f t="shared" si="0"/>
        <v>0</v>
      </c>
      <c r="H5" s="202">
        <f t="shared" si="0"/>
        <v>0</v>
      </c>
      <c r="I5" s="202">
        <f t="shared" si="0"/>
        <v>0</v>
      </c>
      <c r="J5" s="202">
        <f t="shared" si="0"/>
        <v>0</v>
      </c>
      <c r="K5" s="202">
        <f t="shared" si="0"/>
        <v>0</v>
      </c>
      <c r="L5" s="202">
        <f t="shared" si="0"/>
        <v>0</v>
      </c>
      <c r="M5" s="202">
        <f t="shared" si="0"/>
        <v>0</v>
      </c>
      <c r="N5" s="202">
        <f t="shared" si="0"/>
        <v>0</v>
      </c>
      <c r="O5" s="202">
        <f t="shared" si="0"/>
        <v>0</v>
      </c>
      <c r="P5" s="202">
        <f t="shared" si="0"/>
        <v>0</v>
      </c>
      <c r="Q5" s="202">
        <f t="shared" si="0"/>
        <v>0</v>
      </c>
      <c r="R5" s="202">
        <f t="shared" si="0"/>
        <v>0</v>
      </c>
      <c r="S5" s="202">
        <f t="shared" si="0"/>
        <v>0</v>
      </c>
      <c r="T5" s="202">
        <f t="shared" si="0"/>
        <v>0</v>
      </c>
      <c r="U5" s="202">
        <f t="shared" si="0"/>
        <v>0</v>
      </c>
      <c r="V5" s="202">
        <f t="shared" si="0"/>
        <v>0</v>
      </c>
      <c r="W5" s="202">
        <f t="shared" si="0"/>
        <v>0</v>
      </c>
      <c r="X5" s="202">
        <f t="shared" si="0"/>
        <v>0</v>
      </c>
      <c r="Y5" s="202">
        <f t="shared" si="0"/>
        <v>0</v>
      </c>
      <c r="Z5" s="202">
        <f t="shared" si="0"/>
        <v>0</v>
      </c>
      <c r="AA5" s="202">
        <f t="shared" si="0"/>
        <v>0</v>
      </c>
      <c r="AB5" s="202">
        <f t="shared" si="0"/>
        <v>0</v>
      </c>
      <c r="AC5" s="202">
        <f t="shared" si="0"/>
        <v>0</v>
      </c>
      <c r="AD5" s="202">
        <f t="shared" si="0"/>
        <v>0</v>
      </c>
      <c r="AE5" s="202">
        <f t="shared" si="0"/>
        <v>0</v>
      </c>
      <c r="AF5" s="202">
        <f t="shared" si="0"/>
        <v>0</v>
      </c>
      <c r="AG5" s="202">
        <f t="shared" si="0"/>
        <v>0</v>
      </c>
      <c r="AH5" s="202">
        <f t="shared" si="0"/>
        <v>0</v>
      </c>
      <c r="AI5" s="202">
        <f t="shared" si="0"/>
        <v>0</v>
      </c>
      <c r="AJ5" s="202">
        <f t="shared" si="0"/>
        <v>0</v>
      </c>
      <c r="AK5" s="202">
        <f t="shared" si="0"/>
        <v>0</v>
      </c>
      <c r="AL5" s="202">
        <f t="shared" si="0"/>
        <v>0</v>
      </c>
      <c r="AM5" s="202">
        <f t="shared" si="0"/>
        <v>0</v>
      </c>
      <c r="AN5" s="202">
        <f t="shared" si="0"/>
        <v>0</v>
      </c>
      <c r="AO5" s="202">
        <f t="shared" si="0"/>
        <v>0</v>
      </c>
      <c r="AP5" s="202">
        <f t="shared" si="0"/>
        <v>0</v>
      </c>
      <c r="AQ5" s="202">
        <f t="shared" si="0"/>
        <v>0</v>
      </c>
      <c r="AR5" s="202">
        <f t="shared" si="0"/>
        <v>0</v>
      </c>
      <c r="AS5" s="202">
        <f t="shared" si="0"/>
        <v>0</v>
      </c>
      <c r="AT5" s="202">
        <f t="shared" si="0"/>
        <v>0</v>
      </c>
      <c r="AU5" s="202">
        <f t="shared" si="0"/>
        <v>0</v>
      </c>
      <c r="AV5" s="202">
        <f t="shared" si="0"/>
        <v>0</v>
      </c>
      <c r="AW5" s="202">
        <f t="shared" si="0"/>
        <v>0</v>
      </c>
      <c r="AX5" s="202">
        <f t="shared" si="1"/>
        <v>0</v>
      </c>
      <c r="AY5" s="202">
        <f t="shared" si="1"/>
        <v>0</v>
      </c>
      <c r="AZ5" s="202">
        <f t="shared" si="1"/>
        <v>0</v>
      </c>
      <c r="BA5" s="202">
        <f t="shared" si="1"/>
        <v>0</v>
      </c>
      <c r="BB5" s="202">
        <f t="shared" si="1"/>
        <v>0</v>
      </c>
      <c r="BC5" s="202">
        <f t="shared" si="1"/>
        <v>0</v>
      </c>
      <c r="BD5" s="202">
        <f t="shared" si="1"/>
        <v>0</v>
      </c>
      <c r="BE5" s="202">
        <f t="shared" si="1"/>
        <v>0</v>
      </c>
      <c r="BF5" s="202">
        <f t="shared" si="1"/>
        <v>0</v>
      </c>
      <c r="BG5" s="202">
        <f t="shared" si="1"/>
        <v>0</v>
      </c>
      <c r="BH5" s="202">
        <f t="shared" si="1"/>
        <v>0</v>
      </c>
      <c r="BI5" s="202">
        <f t="shared" si="1"/>
        <v>0</v>
      </c>
      <c r="BJ5" s="202">
        <f t="shared" si="1"/>
        <v>0</v>
      </c>
      <c r="BK5" s="202">
        <f t="shared" si="1"/>
        <v>0</v>
      </c>
      <c r="BL5" s="202">
        <f t="shared" si="1"/>
        <v>0</v>
      </c>
      <c r="BM5" s="202">
        <f t="shared" si="1"/>
        <v>0</v>
      </c>
      <c r="BN5" s="202">
        <f t="shared" si="1"/>
        <v>0</v>
      </c>
      <c r="BO5" s="202">
        <f t="shared" si="1"/>
        <v>0</v>
      </c>
      <c r="BP5" s="202">
        <f t="shared" si="1"/>
        <v>0</v>
      </c>
      <c r="BQ5" s="202">
        <f t="shared" si="1"/>
        <v>0</v>
      </c>
      <c r="BR5" s="202">
        <f t="shared" si="1"/>
        <v>0</v>
      </c>
      <c r="BS5" s="202">
        <f t="shared" si="1"/>
        <v>0</v>
      </c>
      <c r="BT5" s="202">
        <f t="shared" si="1"/>
        <v>0</v>
      </c>
      <c r="BU5" s="202">
        <f t="shared" si="1"/>
        <v>0</v>
      </c>
      <c r="BV5" s="202">
        <f t="shared" si="1"/>
        <v>0</v>
      </c>
      <c r="BW5" s="202">
        <f t="shared" si="1"/>
        <v>0</v>
      </c>
      <c r="BX5" s="202">
        <f t="shared" si="1"/>
        <v>0</v>
      </c>
      <c r="BY5" s="202">
        <f t="shared" si="1"/>
        <v>0</v>
      </c>
      <c r="BZ5" s="202">
        <f t="shared" si="1"/>
        <v>0</v>
      </c>
      <c r="CA5" s="202">
        <f t="shared" si="2"/>
        <v>0</v>
      </c>
      <c r="CB5" s="202">
        <f t="shared" si="2"/>
        <v>0</v>
      </c>
      <c r="CC5" s="202">
        <f t="shared" si="2"/>
        <v>0</v>
      </c>
      <c r="CD5" s="202">
        <f t="shared" si="2"/>
        <v>0</v>
      </c>
      <c r="CE5" s="202">
        <f t="shared" si="2"/>
        <v>0</v>
      </c>
      <c r="CF5" s="202">
        <f t="shared" si="2"/>
        <v>0</v>
      </c>
      <c r="CG5" s="202">
        <f t="shared" si="2"/>
        <v>0</v>
      </c>
      <c r="CH5" s="202">
        <f t="shared" si="2"/>
        <v>0</v>
      </c>
      <c r="CI5" s="202">
        <f t="shared" si="2"/>
        <v>0</v>
      </c>
      <c r="CJ5" s="202">
        <f t="shared" si="2"/>
        <v>0</v>
      </c>
      <c r="CK5" s="202">
        <f t="shared" si="2"/>
        <v>0</v>
      </c>
      <c r="CL5" s="202">
        <f t="shared" si="2"/>
        <v>0</v>
      </c>
      <c r="CM5" s="202">
        <f t="shared" si="2"/>
        <v>0</v>
      </c>
      <c r="CN5" s="202">
        <f t="shared" si="2"/>
        <v>0</v>
      </c>
      <c r="CO5" s="202">
        <f t="shared" si="2"/>
        <v>0</v>
      </c>
      <c r="CP5" s="202">
        <f t="shared" si="2"/>
        <v>0</v>
      </c>
      <c r="CQ5" s="202">
        <f t="shared" si="2"/>
        <v>0</v>
      </c>
      <c r="CR5" s="202">
        <f t="shared" si="2"/>
        <v>0</v>
      </c>
      <c r="CS5" s="202">
        <f t="shared" si="3"/>
        <v>0</v>
      </c>
      <c r="CT5" s="202">
        <f t="shared" si="3"/>
        <v>0</v>
      </c>
      <c r="CU5" s="202">
        <f t="shared" si="3"/>
        <v>0</v>
      </c>
      <c r="CV5" s="202">
        <f t="shared" si="3"/>
        <v>0</v>
      </c>
      <c r="CW5" s="202">
        <f t="shared" si="3"/>
        <v>0</v>
      </c>
      <c r="CX5" s="202">
        <f t="shared" si="3"/>
        <v>0</v>
      </c>
      <c r="CY5" s="202">
        <f t="shared" si="3"/>
        <v>0</v>
      </c>
      <c r="CZ5" s="202">
        <f t="shared" si="3"/>
        <v>0</v>
      </c>
      <c r="DA5" s="202">
        <f t="shared" si="3"/>
        <v>0</v>
      </c>
      <c r="DB5" s="202"/>
    </row>
    <row r="6" spans="1:106">
      <c r="A6" s="199" t="str">
        <f>Income!A75</f>
        <v>Animal products sold</v>
      </c>
      <c r="B6" s="201">
        <f>Income!B75</f>
        <v>0</v>
      </c>
      <c r="C6" s="201">
        <f>Income!C75</f>
        <v>0</v>
      </c>
      <c r="D6" s="201">
        <f>Income!D75</f>
        <v>0</v>
      </c>
      <c r="E6" s="201">
        <f>Income!E75</f>
        <v>0</v>
      </c>
      <c r="F6" s="202">
        <f t="shared" si="4"/>
        <v>0</v>
      </c>
      <c r="G6" s="202">
        <f t="shared" si="0"/>
        <v>0</v>
      </c>
      <c r="H6" s="202">
        <f t="shared" si="0"/>
        <v>0</v>
      </c>
      <c r="I6" s="202">
        <f t="shared" si="0"/>
        <v>0</v>
      </c>
      <c r="J6" s="202">
        <f t="shared" si="0"/>
        <v>0</v>
      </c>
      <c r="K6" s="202">
        <f t="shared" si="0"/>
        <v>0</v>
      </c>
      <c r="L6" s="202">
        <f t="shared" si="0"/>
        <v>0</v>
      </c>
      <c r="M6" s="202">
        <f t="shared" si="0"/>
        <v>0</v>
      </c>
      <c r="N6" s="202">
        <f t="shared" si="0"/>
        <v>0</v>
      </c>
      <c r="O6" s="202">
        <f t="shared" si="0"/>
        <v>0</v>
      </c>
      <c r="P6" s="202">
        <f t="shared" si="0"/>
        <v>0</v>
      </c>
      <c r="Q6" s="202">
        <f t="shared" si="0"/>
        <v>0</v>
      </c>
      <c r="R6" s="202">
        <f t="shared" si="0"/>
        <v>0</v>
      </c>
      <c r="S6" s="202">
        <f t="shared" si="0"/>
        <v>0</v>
      </c>
      <c r="T6" s="202">
        <f t="shared" si="0"/>
        <v>0</v>
      </c>
      <c r="U6" s="202">
        <f t="shared" si="0"/>
        <v>0</v>
      </c>
      <c r="V6" s="202">
        <f t="shared" si="0"/>
        <v>0</v>
      </c>
      <c r="W6" s="202">
        <f t="shared" si="0"/>
        <v>0</v>
      </c>
      <c r="X6" s="202">
        <f t="shared" si="0"/>
        <v>0</v>
      </c>
      <c r="Y6" s="202">
        <f t="shared" si="0"/>
        <v>0</v>
      </c>
      <c r="Z6" s="202">
        <f t="shared" si="0"/>
        <v>0</v>
      </c>
      <c r="AA6" s="202">
        <f t="shared" si="0"/>
        <v>0</v>
      </c>
      <c r="AB6" s="202">
        <f t="shared" si="0"/>
        <v>0</v>
      </c>
      <c r="AC6" s="202">
        <f t="shared" si="0"/>
        <v>0</v>
      </c>
      <c r="AD6" s="202">
        <f t="shared" si="0"/>
        <v>0</v>
      </c>
      <c r="AE6" s="202">
        <f t="shared" si="0"/>
        <v>0</v>
      </c>
      <c r="AF6" s="202">
        <f t="shared" si="0"/>
        <v>0</v>
      </c>
      <c r="AG6" s="202">
        <f t="shared" si="0"/>
        <v>0</v>
      </c>
      <c r="AH6" s="202">
        <f t="shared" si="0"/>
        <v>0</v>
      </c>
      <c r="AI6" s="202">
        <f t="shared" si="0"/>
        <v>0</v>
      </c>
      <c r="AJ6" s="202">
        <f t="shared" si="0"/>
        <v>0</v>
      </c>
      <c r="AK6" s="202">
        <f t="shared" si="0"/>
        <v>0</v>
      </c>
      <c r="AL6" s="202">
        <f t="shared" si="0"/>
        <v>0</v>
      </c>
      <c r="AM6" s="202">
        <f t="shared" si="0"/>
        <v>0</v>
      </c>
      <c r="AN6" s="202">
        <f t="shared" si="0"/>
        <v>0</v>
      </c>
      <c r="AO6" s="202">
        <f t="shared" si="0"/>
        <v>0</v>
      </c>
      <c r="AP6" s="202">
        <f t="shared" si="0"/>
        <v>0</v>
      </c>
      <c r="AQ6" s="202">
        <f t="shared" si="0"/>
        <v>0</v>
      </c>
      <c r="AR6" s="202">
        <f t="shared" si="0"/>
        <v>0</v>
      </c>
      <c r="AS6" s="202">
        <f t="shared" si="0"/>
        <v>0</v>
      </c>
      <c r="AT6" s="202">
        <f t="shared" si="0"/>
        <v>0</v>
      </c>
      <c r="AU6" s="202">
        <f t="shared" si="0"/>
        <v>0</v>
      </c>
      <c r="AV6" s="202">
        <f t="shared" si="0"/>
        <v>0</v>
      </c>
      <c r="AW6" s="202">
        <f t="shared" si="0"/>
        <v>0</v>
      </c>
      <c r="AX6" s="202">
        <f t="shared" si="1"/>
        <v>0</v>
      </c>
      <c r="AY6" s="202">
        <f t="shared" si="1"/>
        <v>0</v>
      </c>
      <c r="AZ6" s="202">
        <f t="shared" si="1"/>
        <v>0</v>
      </c>
      <c r="BA6" s="202">
        <f t="shared" si="1"/>
        <v>0</v>
      </c>
      <c r="BB6" s="202">
        <f t="shared" si="1"/>
        <v>0</v>
      </c>
      <c r="BC6" s="202">
        <f t="shared" si="1"/>
        <v>0</v>
      </c>
      <c r="BD6" s="202">
        <f t="shared" si="1"/>
        <v>0</v>
      </c>
      <c r="BE6" s="202">
        <f t="shared" si="1"/>
        <v>0</v>
      </c>
      <c r="BF6" s="202">
        <f t="shared" si="1"/>
        <v>0</v>
      </c>
      <c r="BG6" s="202">
        <f t="shared" si="1"/>
        <v>0</v>
      </c>
      <c r="BH6" s="202">
        <f t="shared" si="1"/>
        <v>0</v>
      </c>
      <c r="BI6" s="202">
        <f t="shared" si="1"/>
        <v>0</v>
      </c>
      <c r="BJ6" s="202">
        <f t="shared" si="1"/>
        <v>0</v>
      </c>
      <c r="BK6" s="202">
        <f t="shared" si="1"/>
        <v>0</v>
      </c>
      <c r="BL6" s="202">
        <f t="shared" si="1"/>
        <v>0</v>
      </c>
      <c r="BM6" s="202">
        <f t="shared" si="1"/>
        <v>0</v>
      </c>
      <c r="BN6" s="202">
        <f t="shared" si="1"/>
        <v>0</v>
      </c>
      <c r="BO6" s="202">
        <f t="shared" si="1"/>
        <v>0</v>
      </c>
      <c r="BP6" s="202">
        <f t="shared" si="1"/>
        <v>0</v>
      </c>
      <c r="BQ6" s="202">
        <f t="shared" si="1"/>
        <v>0</v>
      </c>
      <c r="BR6" s="202">
        <f t="shared" si="1"/>
        <v>0</v>
      </c>
      <c r="BS6" s="202">
        <f t="shared" si="1"/>
        <v>0</v>
      </c>
      <c r="BT6" s="202">
        <f t="shared" si="1"/>
        <v>0</v>
      </c>
      <c r="BU6" s="202">
        <f t="shared" si="1"/>
        <v>0</v>
      </c>
      <c r="BV6" s="202">
        <f t="shared" si="1"/>
        <v>0</v>
      </c>
      <c r="BW6" s="202">
        <f t="shared" si="1"/>
        <v>0</v>
      </c>
      <c r="BX6" s="202">
        <f t="shared" si="1"/>
        <v>0</v>
      </c>
      <c r="BY6" s="202">
        <f t="shared" si="1"/>
        <v>0</v>
      </c>
      <c r="BZ6" s="202">
        <f t="shared" si="1"/>
        <v>0</v>
      </c>
      <c r="CA6" s="202">
        <f t="shared" si="2"/>
        <v>0</v>
      </c>
      <c r="CB6" s="202">
        <f t="shared" si="2"/>
        <v>0</v>
      </c>
      <c r="CC6" s="202">
        <f t="shared" si="2"/>
        <v>0</v>
      </c>
      <c r="CD6" s="202">
        <f t="shared" si="2"/>
        <v>0</v>
      </c>
      <c r="CE6" s="202">
        <f t="shared" si="2"/>
        <v>0</v>
      </c>
      <c r="CF6" s="202">
        <f t="shared" si="2"/>
        <v>0</v>
      </c>
      <c r="CG6" s="202">
        <f t="shared" si="2"/>
        <v>0</v>
      </c>
      <c r="CH6" s="202">
        <f t="shared" si="2"/>
        <v>0</v>
      </c>
      <c r="CI6" s="202">
        <f t="shared" si="2"/>
        <v>0</v>
      </c>
      <c r="CJ6" s="202">
        <f t="shared" si="2"/>
        <v>0</v>
      </c>
      <c r="CK6" s="202">
        <f t="shared" si="2"/>
        <v>0</v>
      </c>
      <c r="CL6" s="202">
        <f t="shared" si="2"/>
        <v>0</v>
      </c>
      <c r="CM6" s="202">
        <f t="shared" si="2"/>
        <v>0</v>
      </c>
      <c r="CN6" s="202">
        <f t="shared" si="2"/>
        <v>0</v>
      </c>
      <c r="CO6" s="202">
        <f t="shared" si="2"/>
        <v>0</v>
      </c>
      <c r="CP6" s="202">
        <f t="shared" si="2"/>
        <v>0</v>
      </c>
      <c r="CQ6" s="202">
        <f t="shared" si="2"/>
        <v>0</v>
      </c>
      <c r="CR6" s="202">
        <f t="shared" si="2"/>
        <v>0</v>
      </c>
      <c r="CS6" s="202">
        <f t="shared" si="3"/>
        <v>0</v>
      </c>
      <c r="CT6" s="202">
        <f t="shared" si="3"/>
        <v>0</v>
      </c>
      <c r="CU6" s="202">
        <f t="shared" si="3"/>
        <v>0</v>
      </c>
      <c r="CV6" s="202">
        <f t="shared" si="3"/>
        <v>0</v>
      </c>
      <c r="CW6" s="202">
        <f t="shared" si="3"/>
        <v>0</v>
      </c>
      <c r="CX6" s="202">
        <f t="shared" si="3"/>
        <v>0</v>
      </c>
      <c r="CY6" s="202">
        <f t="shared" si="3"/>
        <v>0</v>
      </c>
      <c r="CZ6" s="202">
        <f t="shared" si="3"/>
        <v>0</v>
      </c>
      <c r="DA6" s="202">
        <f t="shared" si="3"/>
        <v>0</v>
      </c>
      <c r="DB6" s="202"/>
    </row>
    <row r="7" spans="1:106">
      <c r="A7" s="199" t="str">
        <f>Income!A76</f>
        <v>Animals sold</v>
      </c>
      <c r="B7" s="201">
        <f>Income!B76</f>
        <v>0</v>
      </c>
      <c r="C7" s="201">
        <f>Income!C76</f>
        <v>0</v>
      </c>
      <c r="D7" s="201">
        <f>Income!D76</f>
        <v>0</v>
      </c>
      <c r="E7" s="201">
        <f>Income!E76</f>
        <v>0</v>
      </c>
      <c r="F7" s="202">
        <f t="shared" si="4"/>
        <v>0</v>
      </c>
      <c r="G7" s="202">
        <f t="shared" si="0"/>
        <v>0</v>
      </c>
      <c r="H7" s="202">
        <f t="shared" si="0"/>
        <v>0</v>
      </c>
      <c r="I7" s="202">
        <f t="shared" si="0"/>
        <v>0</v>
      </c>
      <c r="J7" s="202">
        <f t="shared" si="0"/>
        <v>0</v>
      </c>
      <c r="K7" s="202">
        <f t="shared" si="0"/>
        <v>0</v>
      </c>
      <c r="L7" s="202">
        <f t="shared" si="0"/>
        <v>0</v>
      </c>
      <c r="M7" s="202">
        <f t="shared" si="0"/>
        <v>0</v>
      </c>
      <c r="N7" s="202">
        <f t="shared" si="0"/>
        <v>0</v>
      </c>
      <c r="O7" s="202">
        <f t="shared" si="0"/>
        <v>0</v>
      </c>
      <c r="P7" s="202">
        <f t="shared" si="0"/>
        <v>0</v>
      </c>
      <c r="Q7" s="202">
        <f t="shared" si="0"/>
        <v>0</v>
      </c>
      <c r="R7" s="202">
        <f t="shared" si="0"/>
        <v>0</v>
      </c>
      <c r="S7" s="202">
        <f t="shared" si="0"/>
        <v>0</v>
      </c>
      <c r="T7" s="202">
        <f t="shared" si="0"/>
        <v>0</v>
      </c>
      <c r="U7" s="202">
        <f t="shared" si="0"/>
        <v>0</v>
      </c>
      <c r="V7" s="202">
        <f t="shared" si="0"/>
        <v>0</v>
      </c>
      <c r="W7" s="202">
        <f t="shared" si="0"/>
        <v>0</v>
      </c>
      <c r="X7" s="202">
        <f t="shared" si="0"/>
        <v>0</v>
      </c>
      <c r="Y7" s="202">
        <f t="shared" si="0"/>
        <v>0</v>
      </c>
      <c r="Z7" s="202">
        <f t="shared" si="0"/>
        <v>0</v>
      </c>
      <c r="AA7" s="202">
        <f t="shared" si="0"/>
        <v>0</v>
      </c>
      <c r="AB7" s="202">
        <f t="shared" si="0"/>
        <v>0</v>
      </c>
      <c r="AC7" s="202">
        <f t="shared" si="0"/>
        <v>0</v>
      </c>
      <c r="AD7" s="202">
        <f t="shared" si="0"/>
        <v>0</v>
      </c>
      <c r="AE7" s="202">
        <f t="shared" si="0"/>
        <v>0</v>
      </c>
      <c r="AF7" s="202">
        <f t="shared" si="0"/>
        <v>0</v>
      </c>
      <c r="AG7" s="202">
        <f t="shared" si="0"/>
        <v>0</v>
      </c>
      <c r="AH7" s="202">
        <f t="shared" si="0"/>
        <v>0</v>
      </c>
      <c r="AI7" s="202">
        <f t="shared" si="0"/>
        <v>0</v>
      </c>
      <c r="AJ7" s="202">
        <f t="shared" si="0"/>
        <v>0</v>
      </c>
      <c r="AK7" s="202">
        <f t="shared" si="0"/>
        <v>0</v>
      </c>
      <c r="AL7" s="202">
        <f t="shared" si="0"/>
        <v>0</v>
      </c>
      <c r="AM7" s="202">
        <f t="shared" si="0"/>
        <v>0</v>
      </c>
      <c r="AN7" s="202">
        <f t="shared" si="0"/>
        <v>0</v>
      </c>
      <c r="AO7" s="202">
        <f t="shared" si="0"/>
        <v>0</v>
      </c>
      <c r="AP7" s="202">
        <f t="shared" si="0"/>
        <v>0</v>
      </c>
      <c r="AQ7" s="202">
        <f t="shared" si="0"/>
        <v>0</v>
      </c>
      <c r="AR7" s="202">
        <f t="shared" si="0"/>
        <v>0</v>
      </c>
      <c r="AS7" s="202">
        <f t="shared" si="0"/>
        <v>0</v>
      </c>
      <c r="AT7" s="202">
        <f t="shared" si="0"/>
        <v>0</v>
      </c>
      <c r="AU7" s="202">
        <f t="shared" ref="AU7:BJ8" si="5">IF(AU$2&lt;=($B$2+$C$2+$D$2),IF(AU$2&lt;=($B$2+$C$2),IF(AU$2&lt;=$B$2,$B7,$C7),$D7),$E7)</f>
        <v>0</v>
      </c>
      <c r="AV7" s="202">
        <f t="shared" si="5"/>
        <v>0</v>
      </c>
      <c r="AW7" s="202">
        <f t="shared" si="5"/>
        <v>0</v>
      </c>
      <c r="AX7" s="202">
        <f t="shared" si="5"/>
        <v>0</v>
      </c>
      <c r="AY7" s="202">
        <f t="shared" si="5"/>
        <v>0</v>
      </c>
      <c r="AZ7" s="202">
        <f t="shared" si="5"/>
        <v>0</v>
      </c>
      <c r="BA7" s="202">
        <f t="shared" si="5"/>
        <v>0</v>
      </c>
      <c r="BB7" s="202">
        <f t="shared" si="5"/>
        <v>0</v>
      </c>
      <c r="BC7" s="202">
        <f t="shared" si="5"/>
        <v>0</v>
      </c>
      <c r="BD7" s="202">
        <f t="shared" si="5"/>
        <v>0</v>
      </c>
      <c r="BE7" s="202">
        <f t="shared" si="5"/>
        <v>0</v>
      </c>
      <c r="BF7" s="202">
        <f t="shared" si="5"/>
        <v>0</v>
      </c>
      <c r="BG7" s="202">
        <f t="shared" si="5"/>
        <v>0</v>
      </c>
      <c r="BH7" s="202">
        <f t="shared" si="5"/>
        <v>0</v>
      </c>
      <c r="BI7" s="202">
        <f t="shared" si="5"/>
        <v>0</v>
      </c>
      <c r="BJ7" s="202">
        <f t="shared" si="5"/>
        <v>0</v>
      </c>
      <c r="BK7" s="202">
        <f t="shared" si="1"/>
        <v>0</v>
      </c>
      <c r="BL7" s="202">
        <f t="shared" si="1"/>
        <v>0</v>
      </c>
      <c r="BM7" s="202">
        <f t="shared" si="1"/>
        <v>0</v>
      </c>
      <c r="BN7" s="202">
        <f t="shared" si="1"/>
        <v>0</v>
      </c>
      <c r="BO7" s="202">
        <f t="shared" si="1"/>
        <v>0</v>
      </c>
      <c r="BP7" s="202">
        <f t="shared" si="1"/>
        <v>0</v>
      </c>
      <c r="BQ7" s="202">
        <f t="shared" si="1"/>
        <v>0</v>
      </c>
      <c r="BR7" s="202">
        <f t="shared" si="1"/>
        <v>0</v>
      </c>
      <c r="BS7" s="202">
        <f t="shared" si="1"/>
        <v>0</v>
      </c>
      <c r="BT7" s="202">
        <f t="shared" si="1"/>
        <v>0</v>
      </c>
      <c r="BU7" s="202">
        <f t="shared" si="1"/>
        <v>0</v>
      </c>
      <c r="BV7" s="202">
        <f t="shared" si="1"/>
        <v>0</v>
      </c>
      <c r="BW7" s="202">
        <f t="shared" si="1"/>
        <v>0</v>
      </c>
      <c r="BX7" s="202">
        <f t="shared" si="1"/>
        <v>0</v>
      </c>
      <c r="BY7" s="202">
        <f t="shared" si="1"/>
        <v>0</v>
      </c>
      <c r="BZ7" s="202">
        <f t="shared" si="1"/>
        <v>0</v>
      </c>
      <c r="CA7" s="202">
        <f t="shared" si="2"/>
        <v>0</v>
      </c>
      <c r="CB7" s="202">
        <f t="shared" si="2"/>
        <v>0</v>
      </c>
      <c r="CC7" s="202">
        <f t="shared" si="2"/>
        <v>0</v>
      </c>
      <c r="CD7" s="202">
        <f t="shared" si="2"/>
        <v>0</v>
      </c>
      <c r="CE7" s="202">
        <f t="shared" si="2"/>
        <v>0</v>
      </c>
      <c r="CF7" s="202">
        <f t="shared" si="2"/>
        <v>0</v>
      </c>
      <c r="CG7" s="202">
        <f t="shared" si="2"/>
        <v>0</v>
      </c>
      <c r="CH7" s="202">
        <f t="shared" si="2"/>
        <v>0</v>
      </c>
      <c r="CI7" s="202">
        <f t="shared" si="2"/>
        <v>0</v>
      </c>
      <c r="CJ7" s="202">
        <f t="shared" si="2"/>
        <v>0</v>
      </c>
      <c r="CK7" s="202">
        <f t="shared" si="2"/>
        <v>0</v>
      </c>
      <c r="CL7" s="202">
        <f t="shared" si="2"/>
        <v>0</v>
      </c>
      <c r="CM7" s="202">
        <f t="shared" si="2"/>
        <v>0</v>
      </c>
      <c r="CN7" s="202">
        <f t="shared" si="2"/>
        <v>0</v>
      </c>
      <c r="CO7" s="202">
        <f t="shared" si="2"/>
        <v>0</v>
      </c>
      <c r="CP7" s="202">
        <f t="shared" si="2"/>
        <v>0</v>
      </c>
      <c r="CQ7" s="202">
        <f t="shared" si="2"/>
        <v>0</v>
      </c>
      <c r="CR7" s="202">
        <f t="shared" si="2"/>
        <v>0</v>
      </c>
      <c r="CS7" s="202">
        <f t="shared" si="3"/>
        <v>0</v>
      </c>
      <c r="CT7" s="202">
        <f t="shared" si="3"/>
        <v>0</v>
      </c>
      <c r="CU7" s="202">
        <f t="shared" si="3"/>
        <v>0</v>
      </c>
      <c r="CV7" s="202">
        <f t="shared" si="3"/>
        <v>0</v>
      </c>
      <c r="CW7" s="202">
        <f t="shared" si="3"/>
        <v>0</v>
      </c>
      <c r="CX7" s="202">
        <f t="shared" si="3"/>
        <v>0</v>
      </c>
      <c r="CY7" s="202">
        <f t="shared" si="3"/>
        <v>0</v>
      </c>
      <c r="CZ7" s="202">
        <f t="shared" si="3"/>
        <v>0</v>
      </c>
      <c r="DA7" s="202">
        <f t="shared" si="3"/>
        <v>0</v>
      </c>
      <c r="DB7" s="202"/>
    </row>
    <row r="8" spans="1:106">
      <c r="A8" s="199" t="str">
        <f>Income!A77</f>
        <v>Wild foods consumed and sold</v>
      </c>
      <c r="B8" s="201">
        <f>Income!B77</f>
        <v>0</v>
      </c>
      <c r="C8" s="201">
        <f>Income!C77</f>
        <v>0</v>
      </c>
      <c r="D8" s="201">
        <f>Income!D77</f>
        <v>0</v>
      </c>
      <c r="E8" s="201">
        <f>Income!E77</f>
        <v>0</v>
      </c>
      <c r="F8" s="202">
        <f t="shared" si="4"/>
        <v>0</v>
      </c>
      <c r="G8" s="202">
        <f t="shared" si="4"/>
        <v>0</v>
      </c>
      <c r="H8" s="202">
        <f t="shared" si="4"/>
        <v>0</v>
      </c>
      <c r="I8" s="202">
        <f t="shared" si="4"/>
        <v>0</v>
      </c>
      <c r="J8" s="202">
        <f t="shared" si="4"/>
        <v>0</v>
      </c>
      <c r="K8" s="202">
        <f t="shared" si="4"/>
        <v>0</v>
      </c>
      <c r="L8" s="202">
        <f t="shared" si="4"/>
        <v>0</v>
      </c>
      <c r="M8" s="202">
        <f t="shared" si="4"/>
        <v>0</v>
      </c>
      <c r="N8" s="202">
        <f t="shared" si="4"/>
        <v>0</v>
      </c>
      <c r="O8" s="202">
        <f t="shared" si="4"/>
        <v>0</v>
      </c>
      <c r="P8" s="202">
        <f t="shared" si="4"/>
        <v>0</v>
      </c>
      <c r="Q8" s="202">
        <f t="shared" si="4"/>
        <v>0</v>
      </c>
      <c r="R8" s="202">
        <f t="shared" si="4"/>
        <v>0</v>
      </c>
      <c r="S8" s="202">
        <f t="shared" si="4"/>
        <v>0</v>
      </c>
      <c r="T8" s="202">
        <f t="shared" si="4"/>
        <v>0</v>
      </c>
      <c r="U8" s="202">
        <f t="shared" si="4"/>
        <v>0</v>
      </c>
      <c r="V8" s="202">
        <f t="shared" ref="V8:AK18" si="6">IF(V$2&lt;=($B$2+$C$2+$D$2),IF(V$2&lt;=($B$2+$C$2),IF(V$2&lt;=$B$2,$B8,$C8),$D8),$E8)</f>
        <v>0</v>
      </c>
      <c r="W8" s="202">
        <f t="shared" si="6"/>
        <v>0</v>
      </c>
      <c r="X8" s="202">
        <f t="shared" si="6"/>
        <v>0</v>
      </c>
      <c r="Y8" s="202">
        <f t="shared" si="6"/>
        <v>0</v>
      </c>
      <c r="Z8" s="202">
        <f t="shared" si="6"/>
        <v>0</v>
      </c>
      <c r="AA8" s="202">
        <f t="shared" si="6"/>
        <v>0</v>
      </c>
      <c r="AB8" s="202">
        <f t="shared" si="6"/>
        <v>0</v>
      </c>
      <c r="AC8" s="202">
        <f t="shared" si="6"/>
        <v>0</v>
      </c>
      <c r="AD8" s="202">
        <f t="shared" si="6"/>
        <v>0</v>
      </c>
      <c r="AE8" s="202">
        <f t="shared" si="6"/>
        <v>0</v>
      </c>
      <c r="AF8" s="202">
        <f t="shared" si="6"/>
        <v>0</v>
      </c>
      <c r="AG8" s="202">
        <f t="shared" si="6"/>
        <v>0</v>
      </c>
      <c r="AH8" s="202">
        <f t="shared" si="6"/>
        <v>0</v>
      </c>
      <c r="AI8" s="202">
        <f t="shared" si="6"/>
        <v>0</v>
      </c>
      <c r="AJ8" s="202">
        <f t="shared" si="6"/>
        <v>0</v>
      </c>
      <c r="AK8" s="202">
        <f t="shared" si="6"/>
        <v>0</v>
      </c>
      <c r="AL8" s="202">
        <f t="shared" ref="AL8:BA18" si="7">IF(AL$2&lt;=($B$2+$C$2+$D$2),IF(AL$2&lt;=($B$2+$C$2),IF(AL$2&lt;=$B$2,$B8,$C8),$D8),$E8)</f>
        <v>0</v>
      </c>
      <c r="AM8" s="202">
        <f t="shared" si="7"/>
        <v>0</v>
      </c>
      <c r="AN8" s="202">
        <f t="shared" si="7"/>
        <v>0</v>
      </c>
      <c r="AO8" s="202">
        <f t="shared" si="7"/>
        <v>0</v>
      </c>
      <c r="AP8" s="202">
        <f t="shared" si="7"/>
        <v>0</v>
      </c>
      <c r="AQ8" s="202">
        <f t="shared" si="7"/>
        <v>0</v>
      </c>
      <c r="AR8" s="202">
        <f t="shared" si="7"/>
        <v>0</v>
      </c>
      <c r="AS8" s="202">
        <f t="shared" si="7"/>
        <v>0</v>
      </c>
      <c r="AT8" s="202">
        <f t="shared" si="7"/>
        <v>0</v>
      </c>
      <c r="AU8" s="202">
        <f t="shared" si="7"/>
        <v>0</v>
      </c>
      <c r="AV8" s="202">
        <f t="shared" si="7"/>
        <v>0</v>
      </c>
      <c r="AW8" s="202">
        <f t="shared" si="7"/>
        <v>0</v>
      </c>
      <c r="AX8" s="202">
        <f t="shared" si="7"/>
        <v>0</v>
      </c>
      <c r="AY8" s="202">
        <f t="shared" si="7"/>
        <v>0</v>
      </c>
      <c r="AZ8" s="202">
        <f t="shared" si="7"/>
        <v>0</v>
      </c>
      <c r="BA8" s="202">
        <f t="shared" si="7"/>
        <v>0</v>
      </c>
      <c r="BB8" s="202">
        <f t="shared" si="5"/>
        <v>0</v>
      </c>
      <c r="BC8" s="202">
        <f t="shared" si="5"/>
        <v>0</v>
      </c>
      <c r="BD8" s="202">
        <f t="shared" si="5"/>
        <v>0</v>
      </c>
      <c r="BE8" s="202">
        <f t="shared" si="5"/>
        <v>0</v>
      </c>
      <c r="BF8" s="202">
        <f t="shared" si="5"/>
        <v>0</v>
      </c>
      <c r="BG8" s="202">
        <f t="shared" si="5"/>
        <v>0</v>
      </c>
      <c r="BH8" s="202">
        <f t="shared" si="5"/>
        <v>0</v>
      </c>
      <c r="BI8" s="202">
        <f t="shared" si="5"/>
        <v>0</v>
      </c>
      <c r="BJ8" s="202">
        <f t="shared" si="5"/>
        <v>0</v>
      </c>
      <c r="BK8" s="202">
        <f t="shared" si="1"/>
        <v>0</v>
      </c>
      <c r="BL8" s="202">
        <f t="shared" si="1"/>
        <v>0</v>
      </c>
      <c r="BM8" s="202">
        <f t="shared" si="1"/>
        <v>0</v>
      </c>
      <c r="BN8" s="202">
        <f t="shared" si="1"/>
        <v>0</v>
      </c>
      <c r="BO8" s="202">
        <f t="shared" si="1"/>
        <v>0</v>
      </c>
      <c r="BP8" s="202">
        <f t="shared" si="1"/>
        <v>0</v>
      </c>
      <c r="BQ8" s="202">
        <f t="shared" si="1"/>
        <v>0</v>
      </c>
      <c r="BR8" s="202">
        <f t="shared" si="1"/>
        <v>0</v>
      </c>
      <c r="BS8" s="202">
        <f t="shared" si="1"/>
        <v>0</v>
      </c>
      <c r="BT8" s="202">
        <f t="shared" si="1"/>
        <v>0</v>
      </c>
      <c r="BU8" s="202">
        <f t="shared" si="1"/>
        <v>0</v>
      </c>
      <c r="BV8" s="202">
        <f t="shared" si="1"/>
        <v>0</v>
      </c>
      <c r="BW8" s="202">
        <f t="shared" si="1"/>
        <v>0</v>
      </c>
      <c r="BX8" s="202">
        <f t="shared" si="1"/>
        <v>0</v>
      </c>
      <c r="BY8" s="202">
        <f t="shared" si="1"/>
        <v>0</v>
      </c>
      <c r="BZ8" s="202">
        <f t="shared" si="1"/>
        <v>0</v>
      </c>
      <c r="CA8" s="202">
        <f t="shared" si="2"/>
        <v>0</v>
      </c>
      <c r="CB8" s="202">
        <f t="shared" si="2"/>
        <v>0</v>
      </c>
      <c r="CC8" s="202">
        <f t="shared" si="2"/>
        <v>0</v>
      </c>
      <c r="CD8" s="202">
        <f t="shared" si="2"/>
        <v>0</v>
      </c>
      <c r="CE8" s="202">
        <f t="shared" si="2"/>
        <v>0</v>
      </c>
      <c r="CF8" s="202">
        <f t="shared" si="2"/>
        <v>0</v>
      </c>
      <c r="CG8" s="202">
        <f t="shared" si="2"/>
        <v>0</v>
      </c>
      <c r="CH8" s="202">
        <f t="shared" si="2"/>
        <v>0</v>
      </c>
      <c r="CI8" s="202">
        <f t="shared" si="2"/>
        <v>0</v>
      </c>
      <c r="CJ8" s="202">
        <f t="shared" si="2"/>
        <v>0</v>
      </c>
      <c r="CK8" s="202">
        <f t="shared" si="2"/>
        <v>0</v>
      </c>
      <c r="CL8" s="202">
        <f t="shared" si="2"/>
        <v>0</v>
      </c>
      <c r="CM8" s="202">
        <f t="shared" si="2"/>
        <v>0</v>
      </c>
      <c r="CN8" s="202">
        <f t="shared" si="2"/>
        <v>0</v>
      </c>
      <c r="CO8" s="202">
        <f t="shared" si="2"/>
        <v>0</v>
      </c>
      <c r="CP8" s="202">
        <f t="shared" si="2"/>
        <v>0</v>
      </c>
      <c r="CQ8" s="202">
        <f t="shared" si="2"/>
        <v>0</v>
      </c>
      <c r="CR8" s="202">
        <f t="shared" si="2"/>
        <v>0</v>
      </c>
      <c r="CS8" s="202">
        <f t="shared" si="3"/>
        <v>0</v>
      </c>
      <c r="CT8" s="202">
        <f t="shared" si="3"/>
        <v>0</v>
      </c>
      <c r="CU8" s="202">
        <f t="shared" si="3"/>
        <v>0</v>
      </c>
      <c r="CV8" s="202">
        <f t="shared" si="3"/>
        <v>0</v>
      </c>
      <c r="CW8" s="202">
        <f t="shared" si="3"/>
        <v>0</v>
      </c>
      <c r="CX8" s="202">
        <f t="shared" si="3"/>
        <v>0</v>
      </c>
      <c r="CY8" s="202">
        <f t="shared" si="3"/>
        <v>0</v>
      </c>
      <c r="CZ8" s="202">
        <f t="shared" si="3"/>
        <v>0</v>
      </c>
      <c r="DA8" s="202">
        <f t="shared" si="3"/>
        <v>0</v>
      </c>
      <c r="DB8" s="202"/>
    </row>
    <row r="9" spans="1:106">
      <c r="A9" s="199" t="str">
        <f>Income!A78</f>
        <v>Labour - casual</v>
      </c>
      <c r="B9" s="201">
        <f>Income!B78</f>
        <v>6044.2269142499463</v>
      </c>
      <c r="C9" s="201">
        <f>Income!C78</f>
        <v>14145.295226184951</v>
      </c>
      <c r="D9" s="201">
        <f>Income!D78</f>
        <v>20839.051002861754</v>
      </c>
      <c r="E9" s="201">
        <f>Income!E78</f>
        <v>29770.072861231078</v>
      </c>
      <c r="F9" s="202">
        <f t="shared" si="4"/>
        <v>6044.2269142499463</v>
      </c>
      <c r="G9" s="202">
        <f t="shared" si="4"/>
        <v>6044.2269142499463</v>
      </c>
      <c r="H9" s="202">
        <f t="shared" si="4"/>
        <v>6044.2269142499463</v>
      </c>
      <c r="I9" s="202">
        <f t="shared" si="4"/>
        <v>6044.2269142499463</v>
      </c>
      <c r="J9" s="202">
        <f t="shared" si="4"/>
        <v>6044.2269142499463</v>
      </c>
      <c r="K9" s="202">
        <f t="shared" si="4"/>
        <v>6044.2269142499463</v>
      </c>
      <c r="L9" s="202">
        <f t="shared" si="4"/>
        <v>6044.2269142499463</v>
      </c>
      <c r="M9" s="202">
        <f t="shared" si="4"/>
        <v>6044.2269142499463</v>
      </c>
      <c r="N9" s="202">
        <f t="shared" si="4"/>
        <v>6044.2269142499463</v>
      </c>
      <c r="O9" s="202">
        <f t="shared" si="4"/>
        <v>6044.2269142499463</v>
      </c>
      <c r="P9" s="202">
        <f t="shared" si="4"/>
        <v>6044.2269142499463</v>
      </c>
      <c r="Q9" s="202">
        <f t="shared" si="4"/>
        <v>6044.2269142499463</v>
      </c>
      <c r="R9" s="202">
        <f t="shared" si="4"/>
        <v>6044.2269142499463</v>
      </c>
      <c r="S9" s="202">
        <f t="shared" si="4"/>
        <v>6044.2269142499463</v>
      </c>
      <c r="T9" s="202">
        <f t="shared" si="4"/>
        <v>6044.2269142499463</v>
      </c>
      <c r="U9" s="202">
        <f t="shared" si="4"/>
        <v>6044.2269142499463</v>
      </c>
      <c r="V9" s="202">
        <f t="shared" si="6"/>
        <v>6044.2269142499463</v>
      </c>
      <c r="W9" s="202">
        <f t="shared" si="6"/>
        <v>6044.2269142499463</v>
      </c>
      <c r="X9" s="202">
        <f t="shared" si="6"/>
        <v>6044.2269142499463</v>
      </c>
      <c r="Y9" s="202">
        <f t="shared" si="6"/>
        <v>6044.2269142499463</v>
      </c>
      <c r="Z9" s="202">
        <f t="shared" si="6"/>
        <v>14145.295226184951</v>
      </c>
      <c r="AA9" s="202">
        <f t="shared" si="6"/>
        <v>14145.295226184951</v>
      </c>
      <c r="AB9" s="202">
        <f t="shared" si="6"/>
        <v>14145.295226184951</v>
      </c>
      <c r="AC9" s="202">
        <f t="shared" si="6"/>
        <v>14145.295226184951</v>
      </c>
      <c r="AD9" s="202">
        <f t="shared" si="6"/>
        <v>14145.295226184951</v>
      </c>
      <c r="AE9" s="202">
        <f t="shared" si="6"/>
        <v>14145.295226184951</v>
      </c>
      <c r="AF9" s="202">
        <f t="shared" si="6"/>
        <v>14145.295226184951</v>
      </c>
      <c r="AG9" s="202">
        <f t="shared" si="6"/>
        <v>14145.295226184951</v>
      </c>
      <c r="AH9" s="202">
        <f t="shared" si="6"/>
        <v>14145.295226184951</v>
      </c>
      <c r="AI9" s="202">
        <f t="shared" si="6"/>
        <v>14145.295226184951</v>
      </c>
      <c r="AJ9" s="202">
        <f t="shared" si="6"/>
        <v>14145.295226184951</v>
      </c>
      <c r="AK9" s="202">
        <f t="shared" si="6"/>
        <v>14145.295226184951</v>
      </c>
      <c r="AL9" s="202">
        <f t="shared" si="7"/>
        <v>14145.295226184951</v>
      </c>
      <c r="AM9" s="202">
        <f t="shared" si="7"/>
        <v>14145.295226184951</v>
      </c>
      <c r="AN9" s="202">
        <f t="shared" si="7"/>
        <v>14145.295226184951</v>
      </c>
      <c r="AO9" s="202">
        <f t="shared" si="7"/>
        <v>14145.295226184951</v>
      </c>
      <c r="AP9" s="202">
        <f t="shared" si="7"/>
        <v>14145.295226184951</v>
      </c>
      <c r="AQ9" s="202">
        <f t="shared" si="7"/>
        <v>14145.295226184951</v>
      </c>
      <c r="AR9" s="202">
        <f t="shared" si="7"/>
        <v>14145.295226184951</v>
      </c>
      <c r="AS9" s="202">
        <f t="shared" si="7"/>
        <v>14145.295226184951</v>
      </c>
      <c r="AT9" s="202">
        <f t="shared" si="7"/>
        <v>20839.051002861754</v>
      </c>
      <c r="AU9" s="202">
        <f t="shared" si="7"/>
        <v>20839.051002861754</v>
      </c>
      <c r="AV9" s="202">
        <f t="shared" si="7"/>
        <v>20839.051002861754</v>
      </c>
      <c r="AW9" s="202">
        <f t="shared" si="7"/>
        <v>20839.051002861754</v>
      </c>
      <c r="AX9" s="202">
        <f t="shared" si="1"/>
        <v>20839.051002861754</v>
      </c>
      <c r="AY9" s="202">
        <f t="shared" si="1"/>
        <v>20839.051002861754</v>
      </c>
      <c r="AZ9" s="202">
        <f t="shared" si="1"/>
        <v>20839.051002861754</v>
      </c>
      <c r="BA9" s="202">
        <f t="shared" si="1"/>
        <v>20839.051002861754</v>
      </c>
      <c r="BB9" s="202">
        <f t="shared" si="1"/>
        <v>20839.051002861754</v>
      </c>
      <c r="BC9" s="202">
        <f t="shared" si="1"/>
        <v>20839.051002861754</v>
      </c>
      <c r="BD9" s="202">
        <f t="shared" si="1"/>
        <v>20839.051002861754</v>
      </c>
      <c r="BE9" s="202">
        <f t="shared" si="1"/>
        <v>20839.051002861754</v>
      </c>
      <c r="BF9" s="202">
        <f t="shared" si="1"/>
        <v>20839.051002861754</v>
      </c>
      <c r="BG9" s="202">
        <f t="shared" si="1"/>
        <v>20839.051002861754</v>
      </c>
      <c r="BH9" s="202">
        <f t="shared" si="1"/>
        <v>20839.051002861754</v>
      </c>
      <c r="BI9" s="202">
        <f t="shared" si="1"/>
        <v>20839.051002861754</v>
      </c>
      <c r="BJ9" s="202">
        <f t="shared" si="1"/>
        <v>20839.051002861754</v>
      </c>
      <c r="BK9" s="202">
        <f t="shared" si="1"/>
        <v>20839.051002861754</v>
      </c>
      <c r="BL9" s="202">
        <f t="shared" si="1"/>
        <v>20839.051002861754</v>
      </c>
      <c r="BM9" s="202">
        <f t="shared" si="1"/>
        <v>20839.051002861754</v>
      </c>
      <c r="BN9" s="202">
        <f t="shared" si="1"/>
        <v>29770.072861231078</v>
      </c>
      <c r="BO9" s="202">
        <f t="shared" si="1"/>
        <v>29770.072861231078</v>
      </c>
      <c r="BP9" s="202">
        <f t="shared" si="1"/>
        <v>29770.072861231078</v>
      </c>
      <c r="BQ9" s="202">
        <f t="shared" si="1"/>
        <v>29770.072861231078</v>
      </c>
      <c r="BR9" s="202">
        <f t="shared" si="1"/>
        <v>29770.072861231078</v>
      </c>
      <c r="BS9" s="202">
        <f t="shared" si="1"/>
        <v>29770.072861231078</v>
      </c>
      <c r="BT9" s="202">
        <f t="shared" si="1"/>
        <v>29770.072861231078</v>
      </c>
      <c r="BU9" s="202">
        <f t="shared" si="1"/>
        <v>29770.072861231078</v>
      </c>
      <c r="BV9" s="202">
        <f t="shared" si="1"/>
        <v>29770.072861231078</v>
      </c>
      <c r="BW9" s="202">
        <f t="shared" si="1"/>
        <v>29770.072861231078</v>
      </c>
      <c r="BX9" s="202">
        <f t="shared" si="1"/>
        <v>29770.072861231078</v>
      </c>
      <c r="BY9" s="202">
        <f t="shared" si="1"/>
        <v>29770.072861231078</v>
      </c>
      <c r="BZ9" s="202">
        <f t="shared" si="1"/>
        <v>29770.072861231078</v>
      </c>
      <c r="CA9" s="202">
        <f t="shared" si="2"/>
        <v>29770.072861231078</v>
      </c>
      <c r="CB9" s="202">
        <f t="shared" si="2"/>
        <v>29770.072861231078</v>
      </c>
      <c r="CC9" s="202">
        <f t="shared" si="2"/>
        <v>29770.072861231078</v>
      </c>
      <c r="CD9" s="202">
        <f t="shared" si="2"/>
        <v>29770.072861231078</v>
      </c>
      <c r="CE9" s="202">
        <f t="shared" si="2"/>
        <v>29770.072861231078</v>
      </c>
      <c r="CF9" s="202">
        <f t="shared" si="2"/>
        <v>29770.072861231078</v>
      </c>
      <c r="CG9" s="202">
        <f t="shared" si="2"/>
        <v>29770.072861231078</v>
      </c>
      <c r="CH9" s="202">
        <f t="shared" si="2"/>
        <v>29770.072861231078</v>
      </c>
      <c r="CI9" s="202">
        <f t="shared" si="2"/>
        <v>29770.072861231078</v>
      </c>
      <c r="CJ9" s="202">
        <f t="shared" si="2"/>
        <v>29770.072861231078</v>
      </c>
      <c r="CK9" s="202">
        <f t="shared" si="2"/>
        <v>29770.072861231078</v>
      </c>
      <c r="CL9" s="202">
        <f t="shared" si="2"/>
        <v>29770.072861231078</v>
      </c>
      <c r="CM9" s="202">
        <f t="shared" si="2"/>
        <v>29770.072861231078</v>
      </c>
      <c r="CN9" s="202">
        <f t="shared" si="2"/>
        <v>29770.072861231078</v>
      </c>
      <c r="CO9" s="202">
        <f t="shared" si="2"/>
        <v>29770.072861231078</v>
      </c>
      <c r="CP9" s="202">
        <f t="shared" si="2"/>
        <v>29770.072861231078</v>
      </c>
      <c r="CQ9" s="202">
        <f t="shared" si="2"/>
        <v>29770.072861231078</v>
      </c>
      <c r="CR9" s="202">
        <f t="shared" si="2"/>
        <v>29770.072861231078</v>
      </c>
      <c r="CS9" s="202">
        <f t="shared" si="3"/>
        <v>29770.072861231078</v>
      </c>
      <c r="CT9" s="202">
        <f t="shared" si="3"/>
        <v>29770.072861231078</v>
      </c>
      <c r="CU9" s="202">
        <f t="shared" si="3"/>
        <v>29770.072861231078</v>
      </c>
      <c r="CV9" s="202">
        <f t="shared" si="3"/>
        <v>29770.072861231078</v>
      </c>
      <c r="CW9" s="202">
        <f t="shared" si="3"/>
        <v>29770.072861231078</v>
      </c>
      <c r="CX9" s="202">
        <f t="shared" si="3"/>
        <v>29770.072861231078</v>
      </c>
      <c r="CY9" s="202">
        <f t="shared" si="3"/>
        <v>29770.072861231078</v>
      </c>
      <c r="CZ9" s="202">
        <f t="shared" si="3"/>
        <v>29770.072861231078</v>
      </c>
      <c r="DA9" s="202">
        <f t="shared" si="3"/>
        <v>29770.072861231078</v>
      </c>
      <c r="DB9" s="202"/>
    </row>
    <row r="10" spans="1:106">
      <c r="A10" s="199" t="str">
        <f>Income!A79</f>
        <v>Labour - formal emp</v>
      </c>
      <c r="B10" s="201">
        <f>Income!B79</f>
        <v>0</v>
      </c>
      <c r="C10" s="201">
        <f>Income!C79</f>
        <v>0</v>
      </c>
      <c r="D10" s="201">
        <f>Income!D79</f>
        <v>13531.851300559581</v>
      </c>
      <c r="E10" s="201">
        <f>Income!E79</f>
        <v>34731.751671436257</v>
      </c>
      <c r="F10" s="202">
        <f t="shared" si="4"/>
        <v>0</v>
      </c>
      <c r="G10" s="202">
        <f t="shared" si="4"/>
        <v>0</v>
      </c>
      <c r="H10" s="202">
        <f t="shared" si="4"/>
        <v>0</v>
      </c>
      <c r="I10" s="202">
        <f t="shared" si="4"/>
        <v>0</v>
      </c>
      <c r="J10" s="202">
        <f t="shared" si="4"/>
        <v>0</v>
      </c>
      <c r="K10" s="202">
        <f t="shared" si="4"/>
        <v>0</v>
      </c>
      <c r="L10" s="202">
        <f t="shared" si="4"/>
        <v>0</v>
      </c>
      <c r="M10" s="202">
        <f t="shared" si="4"/>
        <v>0</v>
      </c>
      <c r="N10" s="202">
        <f t="shared" si="4"/>
        <v>0</v>
      </c>
      <c r="O10" s="202">
        <f t="shared" si="4"/>
        <v>0</v>
      </c>
      <c r="P10" s="202">
        <f t="shared" si="4"/>
        <v>0</v>
      </c>
      <c r="Q10" s="202">
        <f t="shared" si="4"/>
        <v>0</v>
      </c>
      <c r="R10" s="202">
        <f t="shared" si="4"/>
        <v>0</v>
      </c>
      <c r="S10" s="202">
        <f t="shared" si="4"/>
        <v>0</v>
      </c>
      <c r="T10" s="202">
        <f t="shared" si="4"/>
        <v>0</v>
      </c>
      <c r="U10" s="202">
        <f t="shared" si="4"/>
        <v>0</v>
      </c>
      <c r="V10" s="202">
        <f t="shared" si="6"/>
        <v>0</v>
      </c>
      <c r="W10" s="202">
        <f t="shared" si="6"/>
        <v>0</v>
      </c>
      <c r="X10" s="202">
        <f t="shared" si="6"/>
        <v>0</v>
      </c>
      <c r="Y10" s="202">
        <f t="shared" si="6"/>
        <v>0</v>
      </c>
      <c r="Z10" s="202">
        <f t="shared" si="6"/>
        <v>0</v>
      </c>
      <c r="AA10" s="202">
        <f t="shared" si="6"/>
        <v>0</v>
      </c>
      <c r="AB10" s="202">
        <f t="shared" si="6"/>
        <v>0</v>
      </c>
      <c r="AC10" s="202">
        <f t="shared" si="6"/>
        <v>0</v>
      </c>
      <c r="AD10" s="202">
        <f t="shared" si="6"/>
        <v>0</v>
      </c>
      <c r="AE10" s="202">
        <f t="shared" si="6"/>
        <v>0</v>
      </c>
      <c r="AF10" s="202">
        <f t="shared" si="6"/>
        <v>0</v>
      </c>
      <c r="AG10" s="202">
        <f t="shared" si="6"/>
        <v>0</v>
      </c>
      <c r="AH10" s="202">
        <f t="shared" si="6"/>
        <v>0</v>
      </c>
      <c r="AI10" s="202">
        <f t="shared" si="6"/>
        <v>0</v>
      </c>
      <c r="AJ10" s="202">
        <f t="shared" si="6"/>
        <v>0</v>
      </c>
      <c r="AK10" s="202">
        <f t="shared" si="6"/>
        <v>0</v>
      </c>
      <c r="AL10" s="202">
        <f t="shared" si="7"/>
        <v>0</v>
      </c>
      <c r="AM10" s="202">
        <f t="shared" si="7"/>
        <v>0</v>
      </c>
      <c r="AN10" s="202">
        <f t="shared" si="7"/>
        <v>0</v>
      </c>
      <c r="AO10" s="202">
        <f t="shared" si="7"/>
        <v>0</v>
      </c>
      <c r="AP10" s="202">
        <f t="shared" si="7"/>
        <v>0</v>
      </c>
      <c r="AQ10" s="202">
        <f t="shared" si="7"/>
        <v>0</v>
      </c>
      <c r="AR10" s="202">
        <f t="shared" si="7"/>
        <v>0</v>
      </c>
      <c r="AS10" s="202">
        <f t="shared" si="7"/>
        <v>0</v>
      </c>
      <c r="AT10" s="202">
        <f t="shared" si="7"/>
        <v>13531.851300559581</v>
      </c>
      <c r="AU10" s="202">
        <f t="shared" si="7"/>
        <v>13531.851300559581</v>
      </c>
      <c r="AV10" s="202">
        <f t="shared" si="7"/>
        <v>13531.851300559581</v>
      </c>
      <c r="AW10" s="202">
        <f t="shared" si="7"/>
        <v>13531.851300559581</v>
      </c>
      <c r="AX10" s="202">
        <f t="shared" si="1"/>
        <v>13531.851300559581</v>
      </c>
      <c r="AY10" s="202">
        <f t="shared" si="1"/>
        <v>13531.851300559581</v>
      </c>
      <c r="AZ10" s="202">
        <f t="shared" si="1"/>
        <v>13531.851300559581</v>
      </c>
      <c r="BA10" s="202">
        <f t="shared" si="1"/>
        <v>13531.851300559581</v>
      </c>
      <c r="BB10" s="202">
        <f t="shared" si="1"/>
        <v>13531.851300559581</v>
      </c>
      <c r="BC10" s="202">
        <f t="shared" si="1"/>
        <v>13531.851300559581</v>
      </c>
      <c r="BD10" s="202">
        <f t="shared" si="1"/>
        <v>13531.851300559581</v>
      </c>
      <c r="BE10" s="202">
        <f t="shared" si="1"/>
        <v>13531.851300559581</v>
      </c>
      <c r="BF10" s="202">
        <f t="shared" si="1"/>
        <v>13531.851300559581</v>
      </c>
      <c r="BG10" s="202">
        <f t="shared" si="1"/>
        <v>13531.851300559581</v>
      </c>
      <c r="BH10" s="202">
        <f t="shared" si="1"/>
        <v>13531.851300559581</v>
      </c>
      <c r="BI10" s="202">
        <f t="shared" si="1"/>
        <v>13531.851300559581</v>
      </c>
      <c r="BJ10" s="202">
        <f t="shared" si="1"/>
        <v>13531.851300559581</v>
      </c>
      <c r="BK10" s="202">
        <f t="shared" si="1"/>
        <v>13531.851300559581</v>
      </c>
      <c r="BL10" s="202">
        <f t="shared" si="1"/>
        <v>13531.851300559581</v>
      </c>
      <c r="BM10" s="202">
        <f t="shared" si="1"/>
        <v>13531.851300559581</v>
      </c>
      <c r="BN10" s="202">
        <f t="shared" si="1"/>
        <v>34731.751671436257</v>
      </c>
      <c r="BO10" s="202">
        <f t="shared" si="1"/>
        <v>34731.751671436257</v>
      </c>
      <c r="BP10" s="202">
        <f t="shared" si="1"/>
        <v>34731.751671436257</v>
      </c>
      <c r="BQ10" s="202">
        <f t="shared" si="1"/>
        <v>34731.751671436257</v>
      </c>
      <c r="BR10" s="202">
        <f t="shared" ref="AX10:BZ18" si="8">IF(BR$2&lt;=($B$2+$C$2+$D$2),IF(BR$2&lt;=($B$2+$C$2),IF(BR$2&lt;=$B$2,$B10,$C10),$D10),$E10)</f>
        <v>34731.751671436257</v>
      </c>
      <c r="BS10" s="202">
        <f t="shared" si="8"/>
        <v>34731.751671436257</v>
      </c>
      <c r="BT10" s="202">
        <f t="shared" si="8"/>
        <v>34731.751671436257</v>
      </c>
      <c r="BU10" s="202">
        <f t="shared" si="8"/>
        <v>34731.751671436257</v>
      </c>
      <c r="BV10" s="202">
        <f t="shared" si="8"/>
        <v>34731.751671436257</v>
      </c>
      <c r="BW10" s="202">
        <f t="shared" si="8"/>
        <v>34731.751671436257</v>
      </c>
      <c r="BX10" s="202">
        <f t="shared" si="8"/>
        <v>34731.751671436257</v>
      </c>
      <c r="BY10" s="202">
        <f t="shared" si="8"/>
        <v>34731.751671436257</v>
      </c>
      <c r="BZ10" s="202">
        <f t="shared" si="8"/>
        <v>34731.751671436257</v>
      </c>
      <c r="CA10" s="202">
        <f t="shared" si="2"/>
        <v>34731.751671436257</v>
      </c>
      <c r="CB10" s="202">
        <f t="shared" si="2"/>
        <v>34731.751671436257</v>
      </c>
      <c r="CC10" s="202">
        <f t="shared" si="2"/>
        <v>34731.751671436257</v>
      </c>
      <c r="CD10" s="202">
        <f t="shared" si="2"/>
        <v>34731.751671436257</v>
      </c>
      <c r="CE10" s="202">
        <f t="shared" si="2"/>
        <v>34731.751671436257</v>
      </c>
      <c r="CF10" s="202">
        <f t="shared" si="2"/>
        <v>34731.751671436257</v>
      </c>
      <c r="CG10" s="202">
        <f t="shared" si="2"/>
        <v>34731.751671436257</v>
      </c>
      <c r="CH10" s="202">
        <f t="shared" si="2"/>
        <v>34731.751671436257</v>
      </c>
      <c r="CI10" s="202">
        <f t="shared" si="2"/>
        <v>34731.751671436257</v>
      </c>
      <c r="CJ10" s="202">
        <f t="shared" si="2"/>
        <v>34731.751671436257</v>
      </c>
      <c r="CK10" s="202">
        <f t="shared" si="2"/>
        <v>34731.751671436257</v>
      </c>
      <c r="CL10" s="202">
        <f t="shared" si="2"/>
        <v>34731.751671436257</v>
      </c>
      <c r="CM10" s="202">
        <f t="shared" si="2"/>
        <v>34731.751671436257</v>
      </c>
      <c r="CN10" s="202">
        <f t="shared" si="2"/>
        <v>34731.751671436257</v>
      </c>
      <c r="CO10" s="202">
        <f t="shared" si="2"/>
        <v>34731.751671436257</v>
      </c>
      <c r="CP10" s="202">
        <f t="shared" si="2"/>
        <v>34731.751671436257</v>
      </c>
      <c r="CQ10" s="202">
        <f t="shared" si="2"/>
        <v>34731.751671436257</v>
      </c>
      <c r="CR10" s="202">
        <f t="shared" si="2"/>
        <v>34731.751671436257</v>
      </c>
      <c r="CS10" s="202">
        <f t="shared" si="3"/>
        <v>34731.751671436257</v>
      </c>
      <c r="CT10" s="202">
        <f t="shared" si="3"/>
        <v>34731.751671436257</v>
      </c>
      <c r="CU10" s="202">
        <f t="shared" si="3"/>
        <v>34731.751671436257</v>
      </c>
      <c r="CV10" s="202">
        <f t="shared" si="3"/>
        <v>34731.751671436257</v>
      </c>
      <c r="CW10" s="202">
        <f t="shared" si="3"/>
        <v>34731.751671436257</v>
      </c>
      <c r="CX10" s="202">
        <f t="shared" si="3"/>
        <v>34731.751671436257</v>
      </c>
      <c r="CY10" s="202">
        <f t="shared" si="3"/>
        <v>34731.751671436257</v>
      </c>
      <c r="CZ10" s="202">
        <f t="shared" si="3"/>
        <v>34731.751671436257</v>
      </c>
      <c r="DA10" s="202">
        <f t="shared" si="3"/>
        <v>34731.751671436257</v>
      </c>
      <c r="DB10" s="202"/>
    </row>
    <row r="11" spans="1:106">
      <c r="A11" s="199" t="str">
        <f>Income!A81</f>
        <v>Self - employment</v>
      </c>
      <c r="B11" s="201">
        <f>Income!B81</f>
        <v>3518.2813381454916</v>
      </c>
      <c r="C11" s="201">
        <f>Income!C81</f>
        <v>8209.3231223394796</v>
      </c>
      <c r="D11" s="201">
        <f>Income!D81</f>
        <v>10554.844014436472</v>
      </c>
      <c r="E11" s="201">
        <f>Income!E81</f>
        <v>14289.634973390919</v>
      </c>
      <c r="F11" s="202">
        <f t="shared" si="4"/>
        <v>3518.2813381454916</v>
      </c>
      <c r="G11" s="202">
        <f t="shared" si="4"/>
        <v>3518.2813381454916</v>
      </c>
      <c r="H11" s="202">
        <f t="shared" si="4"/>
        <v>3518.2813381454916</v>
      </c>
      <c r="I11" s="202">
        <f t="shared" si="4"/>
        <v>3518.2813381454916</v>
      </c>
      <c r="J11" s="202">
        <f t="shared" si="4"/>
        <v>3518.2813381454916</v>
      </c>
      <c r="K11" s="202">
        <f t="shared" si="4"/>
        <v>3518.2813381454916</v>
      </c>
      <c r="L11" s="202">
        <f t="shared" si="4"/>
        <v>3518.2813381454916</v>
      </c>
      <c r="M11" s="202">
        <f t="shared" si="4"/>
        <v>3518.2813381454916</v>
      </c>
      <c r="N11" s="202">
        <f t="shared" si="4"/>
        <v>3518.2813381454916</v>
      </c>
      <c r="O11" s="202">
        <f t="shared" si="4"/>
        <v>3518.2813381454916</v>
      </c>
      <c r="P11" s="202">
        <f t="shared" si="4"/>
        <v>3518.2813381454916</v>
      </c>
      <c r="Q11" s="202">
        <f t="shared" si="4"/>
        <v>3518.2813381454916</v>
      </c>
      <c r="R11" s="202">
        <f t="shared" si="4"/>
        <v>3518.2813381454916</v>
      </c>
      <c r="S11" s="202">
        <f t="shared" si="4"/>
        <v>3518.2813381454916</v>
      </c>
      <c r="T11" s="202">
        <f t="shared" si="4"/>
        <v>3518.2813381454916</v>
      </c>
      <c r="U11" s="202">
        <f t="shared" si="4"/>
        <v>3518.2813381454916</v>
      </c>
      <c r="V11" s="202">
        <f t="shared" si="6"/>
        <v>3518.2813381454916</v>
      </c>
      <c r="W11" s="202">
        <f t="shared" si="6"/>
        <v>3518.2813381454916</v>
      </c>
      <c r="X11" s="202">
        <f t="shared" si="6"/>
        <v>3518.2813381454916</v>
      </c>
      <c r="Y11" s="202">
        <f t="shared" si="6"/>
        <v>3518.2813381454916</v>
      </c>
      <c r="Z11" s="202">
        <f t="shared" si="6"/>
        <v>8209.3231223394796</v>
      </c>
      <c r="AA11" s="202">
        <f t="shared" si="6"/>
        <v>8209.3231223394796</v>
      </c>
      <c r="AB11" s="202">
        <f t="shared" si="6"/>
        <v>8209.3231223394796</v>
      </c>
      <c r="AC11" s="202">
        <f t="shared" si="6"/>
        <v>8209.3231223394796</v>
      </c>
      <c r="AD11" s="202">
        <f t="shared" si="6"/>
        <v>8209.3231223394796</v>
      </c>
      <c r="AE11" s="202">
        <f t="shared" si="6"/>
        <v>8209.3231223394796</v>
      </c>
      <c r="AF11" s="202">
        <f t="shared" si="6"/>
        <v>8209.3231223394796</v>
      </c>
      <c r="AG11" s="202">
        <f t="shared" si="6"/>
        <v>8209.3231223394796</v>
      </c>
      <c r="AH11" s="202">
        <f t="shared" si="6"/>
        <v>8209.3231223394796</v>
      </c>
      <c r="AI11" s="202">
        <f t="shared" si="6"/>
        <v>8209.3231223394796</v>
      </c>
      <c r="AJ11" s="202">
        <f t="shared" si="6"/>
        <v>8209.3231223394796</v>
      </c>
      <c r="AK11" s="202">
        <f t="shared" si="6"/>
        <v>8209.3231223394796</v>
      </c>
      <c r="AL11" s="202">
        <f t="shared" si="7"/>
        <v>8209.3231223394796</v>
      </c>
      <c r="AM11" s="202">
        <f t="shared" si="7"/>
        <v>8209.3231223394796</v>
      </c>
      <c r="AN11" s="202">
        <f t="shared" si="7"/>
        <v>8209.3231223394796</v>
      </c>
      <c r="AO11" s="202">
        <f t="shared" si="7"/>
        <v>8209.3231223394796</v>
      </c>
      <c r="AP11" s="202">
        <f t="shared" si="7"/>
        <v>8209.3231223394796</v>
      </c>
      <c r="AQ11" s="202">
        <f t="shared" si="7"/>
        <v>8209.3231223394796</v>
      </c>
      <c r="AR11" s="202">
        <f t="shared" si="7"/>
        <v>8209.3231223394796</v>
      </c>
      <c r="AS11" s="202">
        <f t="shared" si="7"/>
        <v>8209.3231223394796</v>
      </c>
      <c r="AT11" s="202">
        <f t="shared" si="7"/>
        <v>10554.844014436472</v>
      </c>
      <c r="AU11" s="202">
        <f t="shared" si="7"/>
        <v>10554.844014436472</v>
      </c>
      <c r="AV11" s="202">
        <f t="shared" si="7"/>
        <v>10554.844014436472</v>
      </c>
      <c r="AW11" s="202">
        <f t="shared" si="7"/>
        <v>10554.844014436472</v>
      </c>
      <c r="AX11" s="202">
        <f t="shared" si="8"/>
        <v>10554.844014436472</v>
      </c>
      <c r="AY11" s="202">
        <f t="shared" si="8"/>
        <v>10554.844014436472</v>
      </c>
      <c r="AZ11" s="202">
        <f t="shared" si="8"/>
        <v>10554.844014436472</v>
      </c>
      <c r="BA11" s="202">
        <f t="shared" si="8"/>
        <v>10554.844014436472</v>
      </c>
      <c r="BB11" s="202">
        <f t="shared" si="8"/>
        <v>10554.844014436472</v>
      </c>
      <c r="BC11" s="202">
        <f t="shared" si="8"/>
        <v>10554.844014436472</v>
      </c>
      <c r="BD11" s="202">
        <f t="shared" si="8"/>
        <v>10554.844014436472</v>
      </c>
      <c r="BE11" s="202">
        <f t="shared" si="8"/>
        <v>10554.844014436472</v>
      </c>
      <c r="BF11" s="202">
        <f t="shared" si="8"/>
        <v>10554.844014436472</v>
      </c>
      <c r="BG11" s="202">
        <f t="shared" si="8"/>
        <v>10554.844014436472</v>
      </c>
      <c r="BH11" s="202">
        <f t="shared" si="8"/>
        <v>10554.844014436472</v>
      </c>
      <c r="BI11" s="202">
        <f t="shared" si="8"/>
        <v>10554.844014436472</v>
      </c>
      <c r="BJ11" s="202">
        <f t="shared" si="8"/>
        <v>10554.844014436472</v>
      </c>
      <c r="BK11" s="202">
        <f t="shared" si="8"/>
        <v>10554.844014436472</v>
      </c>
      <c r="BL11" s="202">
        <f t="shared" si="8"/>
        <v>10554.844014436472</v>
      </c>
      <c r="BM11" s="202">
        <f t="shared" si="8"/>
        <v>10554.844014436472</v>
      </c>
      <c r="BN11" s="202">
        <f t="shared" si="8"/>
        <v>14289.634973390919</v>
      </c>
      <c r="BO11" s="202">
        <f t="shared" si="8"/>
        <v>14289.634973390919</v>
      </c>
      <c r="BP11" s="202">
        <f t="shared" si="8"/>
        <v>14289.634973390919</v>
      </c>
      <c r="BQ11" s="202">
        <f t="shared" si="8"/>
        <v>14289.634973390919</v>
      </c>
      <c r="BR11" s="202">
        <f t="shared" si="8"/>
        <v>14289.634973390919</v>
      </c>
      <c r="BS11" s="202">
        <f t="shared" si="8"/>
        <v>14289.634973390919</v>
      </c>
      <c r="BT11" s="202">
        <f t="shared" si="8"/>
        <v>14289.634973390919</v>
      </c>
      <c r="BU11" s="202">
        <f t="shared" si="8"/>
        <v>14289.634973390919</v>
      </c>
      <c r="BV11" s="202">
        <f t="shared" si="8"/>
        <v>14289.634973390919</v>
      </c>
      <c r="BW11" s="202">
        <f t="shared" si="8"/>
        <v>14289.634973390919</v>
      </c>
      <c r="BX11" s="202">
        <f t="shared" si="8"/>
        <v>14289.634973390919</v>
      </c>
      <c r="BY11" s="202">
        <f t="shared" si="8"/>
        <v>14289.634973390919</v>
      </c>
      <c r="BZ11" s="202">
        <f t="shared" si="8"/>
        <v>14289.634973390919</v>
      </c>
      <c r="CA11" s="202">
        <f t="shared" si="2"/>
        <v>14289.634973390919</v>
      </c>
      <c r="CB11" s="202">
        <f t="shared" si="2"/>
        <v>14289.634973390919</v>
      </c>
      <c r="CC11" s="202">
        <f t="shared" si="2"/>
        <v>14289.634973390919</v>
      </c>
      <c r="CD11" s="202">
        <f t="shared" si="2"/>
        <v>14289.634973390919</v>
      </c>
      <c r="CE11" s="202">
        <f t="shared" si="2"/>
        <v>14289.634973390919</v>
      </c>
      <c r="CF11" s="202">
        <f t="shared" si="2"/>
        <v>14289.634973390919</v>
      </c>
      <c r="CG11" s="202">
        <f t="shared" si="2"/>
        <v>14289.634973390919</v>
      </c>
      <c r="CH11" s="202">
        <f t="shared" si="2"/>
        <v>14289.634973390919</v>
      </c>
      <c r="CI11" s="202">
        <f t="shared" si="2"/>
        <v>14289.634973390919</v>
      </c>
      <c r="CJ11" s="202">
        <f t="shared" si="2"/>
        <v>14289.634973390919</v>
      </c>
      <c r="CK11" s="202">
        <f t="shared" si="2"/>
        <v>14289.634973390919</v>
      </c>
      <c r="CL11" s="202">
        <f t="shared" si="2"/>
        <v>14289.634973390919</v>
      </c>
      <c r="CM11" s="202">
        <f t="shared" si="2"/>
        <v>14289.634973390919</v>
      </c>
      <c r="CN11" s="202">
        <f t="shared" si="2"/>
        <v>14289.634973390919</v>
      </c>
      <c r="CO11" s="202">
        <f t="shared" si="2"/>
        <v>14289.634973390919</v>
      </c>
      <c r="CP11" s="202">
        <f t="shared" si="2"/>
        <v>14289.634973390919</v>
      </c>
      <c r="CQ11" s="202">
        <f t="shared" si="2"/>
        <v>14289.634973390919</v>
      </c>
      <c r="CR11" s="202">
        <f t="shared" si="2"/>
        <v>14289.634973390919</v>
      </c>
      <c r="CS11" s="202">
        <f t="shared" si="3"/>
        <v>14289.634973390919</v>
      </c>
      <c r="CT11" s="202">
        <f t="shared" si="3"/>
        <v>14289.634973390919</v>
      </c>
      <c r="CU11" s="202">
        <f t="shared" si="3"/>
        <v>14289.634973390919</v>
      </c>
      <c r="CV11" s="202">
        <f t="shared" si="3"/>
        <v>14289.634973390919</v>
      </c>
      <c r="CW11" s="202">
        <f t="shared" si="3"/>
        <v>14289.634973390919</v>
      </c>
      <c r="CX11" s="202">
        <f t="shared" si="3"/>
        <v>14289.634973390919</v>
      </c>
      <c r="CY11" s="202">
        <f t="shared" si="3"/>
        <v>14289.634973390919</v>
      </c>
      <c r="CZ11" s="202">
        <f t="shared" si="3"/>
        <v>14289.634973390919</v>
      </c>
      <c r="DA11" s="202">
        <f t="shared" si="3"/>
        <v>14289.634973390919</v>
      </c>
      <c r="DB11" s="202"/>
    </row>
    <row r="12" spans="1:106">
      <c r="A12" s="199" t="str">
        <f>Income!A82</f>
        <v>Small business/petty trading</v>
      </c>
      <c r="B12" s="201">
        <f>Income!B82</f>
        <v>0</v>
      </c>
      <c r="C12" s="201">
        <f>Income!C82</f>
        <v>4239.9800741753361</v>
      </c>
      <c r="D12" s="201">
        <f>Income!D82</f>
        <v>7036.5626762909824</v>
      </c>
      <c r="E12" s="201">
        <f>Income!E82</f>
        <v>8931.021858369324</v>
      </c>
      <c r="F12" s="202">
        <f t="shared" si="4"/>
        <v>0</v>
      </c>
      <c r="G12" s="202">
        <f t="shared" si="4"/>
        <v>0</v>
      </c>
      <c r="H12" s="202">
        <f t="shared" si="4"/>
        <v>0</v>
      </c>
      <c r="I12" s="202">
        <f t="shared" si="4"/>
        <v>0</v>
      </c>
      <c r="J12" s="202">
        <f t="shared" si="4"/>
        <v>0</v>
      </c>
      <c r="K12" s="202">
        <f t="shared" si="4"/>
        <v>0</v>
      </c>
      <c r="L12" s="202">
        <f t="shared" si="4"/>
        <v>0</v>
      </c>
      <c r="M12" s="202">
        <f t="shared" si="4"/>
        <v>0</v>
      </c>
      <c r="N12" s="202">
        <f t="shared" si="4"/>
        <v>0</v>
      </c>
      <c r="O12" s="202">
        <f t="shared" si="4"/>
        <v>0</v>
      </c>
      <c r="P12" s="202">
        <f t="shared" si="4"/>
        <v>0</v>
      </c>
      <c r="Q12" s="202">
        <f t="shared" si="4"/>
        <v>0</v>
      </c>
      <c r="R12" s="202">
        <f t="shared" si="4"/>
        <v>0</v>
      </c>
      <c r="S12" s="202">
        <f t="shared" si="4"/>
        <v>0</v>
      </c>
      <c r="T12" s="202">
        <f t="shared" si="4"/>
        <v>0</v>
      </c>
      <c r="U12" s="202">
        <f t="shared" si="4"/>
        <v>0</v>
      </c>
      <c r="V12" s="202">
        <f t="shared" si="6"/>
        <v>0</v>
      </c>
      <c r="W12" s="202">
        <f t="shared" si="6"/>
        <v>0</v>
      </c>
      <c r="X12" s="202">
        <f t="shared" si="6"/>
        <v>0</v>
      </c>
      <c r="Y12" s="202">
        <f t="shared" si="6"/>
        <v>0</v>
      </c>
      <c r="Z12" s="202">
        <f t="shared" si="6"/>
        <v>4239.9800741753361</v>
      </c>
      <c r="AA12" s="202">
        <f t="shared" si="6"/>
        <v>4239.9800741753361</v>
      </c>
      <c r="AB12" s="202">
        <f t="shared" si="6"/>
        <v>4239.9800741753361</v>
      </c>
      <c r="AC12" s="202">
        <f t="shared" si="6"/>
        <v>4239.9800741753361</v>
      </c>
      <c r="AD12" s="202">
        <f t="shared" si="6"/>
        <v>4239.9800741753361</v>
      </c>
      <c r="AE12" s="202">
        <f t="shared" si="6"/>
        <v>4239.9800741753361</v>
      </c>
      <c r="AF12" s="202">
        <f t="shared" si="6"/>
        <v>4239.9800741753361</v>
      </c>
      <c r="AG12" s="202">
        <f t="shared" si="6"/>
        <v>4239.9800741753361</v>
      </c>
      <c r="AH12" s="202">
        <f t="shared" si="6"/>
        <v>4239.9800741753361</v>
      </c>
      <c r="AI12" s="202">
        <f t="shared" si="6"/>
        <v>4239.9800741753361</v>
      </c>
      <c r="AJ12" s="202">
        <f t="shared" si="6"/>
        <v>4239.9800741753361</v>
      </c>
      <c r="AK12" s="202">
        <f t="shared" si="6"/>
        <v>4239.9800741753361</v>
      </c>
      <c r="AL12" s="202">
        <f t="shared" si="7"/>
        <v>4239.9800741753361</v>
      </c>
      <c r="AM12" s="202">
        <f t="shared" si="7"/>
        <v>4239.9800741753361</v>
      </c>
      <c r="AN12" s="202">
        <f t="shared" si="7"/>
        <v>4239.9800741753361</v>
      </c>
      <c r="AO12" s="202">
        <f t="shared" si="7"/>
        <v>4239.9800741753361</v>
      </c>
      <c r="AP12" s="202">
        <f t="shared" si="7"/>
        <v>4239.9800741753361</v>
      </c>
      <c r="AQ12" s="202">
        <f t="shared" si="7"/>
        <v>4239.9800741753361</v>
      </c>
      <c r="AR12" s="202">
        <f t="shared" si="7"/>
        <v>4239.9800741753361</v>
      </c>
      <c r="AS12" s="202">
        <f t="shared" si="7"/>
        <v>4239.9800741753361</v>
      </c>
      <c r="AT12" s="202">
        <f t="shared" si="7"/>
        <v>7036.5626762909824</v>
      </c>
      <c r="AU12" s="202">
        <f t="shared" si="7"/>
        <v>7036.5626762909824</v>
      </c>
      <c r="AV12" s="202">
        <f t="shared" si="7"/>
        <v>7036.5626762909824</v>
      </c>
      <c r="AW12" s="202">
        <f t="shared" si="7"/>
        <v>7036.5626762909824</v>
      </c>
      <c r="AX12" s="202">
        <f t="shared" si="8"/>
        <v>7036.5626762909824</v>
      </c>
      <c r="AY12" s="202">
        <f t="shared" si="8"/>
        <v>7036.5626762909824</v>
      </c>
      <c r="AZ12" s="202">
        <f t="shared" si="8"/>
        <v>7036.5626762909824</v>
      </c>
      <c r="BA12" s="202">
        <f t="shared" si="8"/>
        <v>7036.5626762909824</v>
      </c>
      <c r="BB12" s="202">
        <f t="shared" si="8"/>
        <v>7036.5626762909824</v>
      </c>
      <c r="BC12" s="202">
        <f t="shared" si="8"/>
        <v>7036.5626762909824</v>
      </c>
      <c r="BD12" s="202">
        <f t="shared" si="8"/>
        <v>7036.5626762909824</v>
      </c>
      <c r="BE12" s="202">
        <f t="shared" si="8"/>
        <v>7036.5626762909824</v>
      </c>
      <c r="BF12" s="202">
        <f t="shared" si="8"/>
        <v>7036.5626762909824</v>
      </c>
      <c r="BG12" s="202">
        <f t="shared" si="8"/>
        <v>7036.5626762909824</v>
      </c>
      <c r="BH12" s="202">
        <f t="shared" si="8"/>
        <v>7036.5626762909824</v>
      </c>
      <c r="BI12" s="202">
        <f t="shared" si="8"/>
        <v>7036.5626762909824</v>
      </c>
      <c r="BJ12" s="202">
        <f t="shared" si="8"/>
        <v>7036.5626762909824</v>
      </c>
      <c r="BK12" s="202">
        <f t="shared" si="8"/>
        <v>7036.5626762909824</v>
      </c>
      <c r="BL12" s="202">
        <f t="shared" si="8"/>
        <v>7036.5626762909824</v>
      </c>
      <c r="BM12" s="202">
        <f t="shared" si="8"/>
        <v>7036.5626762909824</v>
      </c>
      <c r="BN12" s="202">
        <f t="shared" si="8"/>
        <v>8931.021858369324</v>
      </c>
      <c r="BO12" s="202">
        <f t="shared" si="8"/>
        <v>8931.021858369324</v>
      </c>
      <c r="BP12" s="202">
        <f t="shared" si="8"/>
        <v>8931.021858369324</v>
      </c>
      <c r="BQ12" s="202">
        <f t="shared" si="8"/>
        <v>8931.021858369324</v>
      </c>
      <c r="BR12" s="202">
        <f t="shared" si="8"/>
        <v>8931.021858369324</v>
      </c>
      <c r="BS12" s="202">
        <f t="shared" si="8"/>
        <v>8931.021858369324</v>
      </c>
      <c r="BT12" s="202">
        <f t="shared" si="8"/>
        <v>8931.021858369324</v>
      </c>
      <c r="BU12" s="202">
        <f t="shared" si="8"/>
        <v>8931.021858369324</v>
      </c>
      <c r="BV12" s="202">
        <f t="shared" si="8"/>
        <v>8931.021858369324</v>
      </c>
      <c r="BW12" s="202">
        <f t="shared" si="8"/>
        <v>8931.021858369324</v>
      </c>
      <c r="BX12" s="202">
        <f t="shared" si="8"/>
        <v>8931.021858369324</v>
      </c>
      <c r="BY12" s="202">
        <f t="shared" si="8"/>
        <v>8931.021858369324</v>
      </c>
      <c r="BZ12" s="202">
        <f t="shared" si="8"/>
        <v>8931.021858369324</v>
      </c>
      <c r="CA12" s="202">
        <f t="shared" si="2"/>
        <v>8931.021858369324</v>
      </c>
      <c r="CB12" s="202">
        <f t="shared" si="2"/>
        <v>8931.021858369324</v>
      </c>
      <c r="CC12" s="202">
        <f t="shared" si="2"/>
        <v>8931.021858369324</v>
      </c>
      <c r="CD12" s="202">
        <f t="shared" si="2"/>
        <v>8931.021858369324</v>
      </c>
      <c r="CE12" s="202">
        <f t="shared" si="2"/>
        <v>8931.021858369324</v>
      </c>
      <c r="CF12" s="202">
        <f t="shared" si="2"/>
        <v>8931.021858369324</v>
      </c>
      <c r="CG12" s="202">
        <f t="shared" si="2"/>
        <v>8931.021858369324</v>
      </c>
      <c r="CH12" s="202">
        <f t="shared" si="2"/>
        <v>8931.021858369324</v>
      </c>
      <c r="CI12" s="202">
        <f t="shared" si="2"/>
        <v>8931.021858369324</v>
      </c>
      <c r="CJ12" s="202">
        <f t="shared" si="2"/>
        <v>8931.021858369324</v>
      </c>
      <c r="CK12" s="202">
        <f t="shared" si="2"/>
        <v>8931.021858369324</v>
      </c>
      <c r="CL12" s="202">
        <f t="shared" si="2"/>
        <v>8931.021858369324</v>
      </c>
      <c r="CM12" s="202">
        <f t="shared" si="2"/>
        <v>8931.021858369324</v>
      </c>
      <c r="CN12" s="202">
        <f t="shared" si="2"/>
        <v>8931.021858369324</v>
      </c>
      <c r="CO12" s="202">
        <f t="shared" si="2"/>
        <v>8931.021858369324</v>
      </c>
      <c r="CP12" s="202">
        <f t="shared" si="2"/>
        <v>8931.021858369324</v>
      </c>
      <c r="CQ12" s="202">
        <f t="shared" si="2"/>
        <v>8931.021858369324</v>
      </c>
      <c r="CR12" s="202">
        <f t="shared" si="2"/>
        <v>8931.021858369324</v>
      </c>
      <c r="CS12" s="202">
        <f t="shared" si="3"/>
        <v>8931.021858369324</v>
      </c>
      <c r="CT12" s="202">
        <f t="shared" si="3"/>
        <v>8931.021858369324</v>
      </c>
      <c r="CU12" s="202">
        <f t="shared" si="3"/>
        <v>8931.021858369324</v>
      </c>
      <c r="CV12" s="202">
        <f t="shared" si="3"/>
        <v>8931.021858369324</v>
      </c>
      <c r="CW12" s="202">
        <f t="shared" si="3"/>
        <v>8931.021858369324</v>
      </c>
      <c r="CX12" s="202">
        <f t="shared" si="3"/>
        <v>8931.021858369324</v>
      </c>
      <c r="CY12" s="202">
        <f t="shared" si="3"/>
        <v>8931.021858369324</v>
      </c>
      <c r="CZ12" s="202">
        <f t="shared" si="3"/>
        <v>8931.021858369324</v>
      </c>
      <c r="DA12" s="202">
        <f t="shared" si="3"/>
        <v>8931.021858369324</v>
      </c>
      <c r="DB12" s="202"/>
    </row>
    <row r="13" spans="1:106">
      <c r="A13" s="199" t="str">
        <f>Income!A83</f>
        <v>Food transfer - official</v>
      </c>
      <c r="B13" s="201">
        <f>Income!B83</f>
        <v>1220.9989961164727</v>
      </c>
      <c r="C13" s="201">
        <f>Income!C83</f>
        <v>1220.9989961164727</v>
      </c>
      <c r="D13" s="201">
        <f>Income!D83</f>
        <v>1220.9989961164724</v>
      </c>
      <c r="E13" s="201">
        <f>Income!E83</f>
        <v>1220.9989961164727</v>
      </c>
      <c r="F13" s="202">
        <f t="shared" si="4"/>
        <v>1220.9989961164727</v>
      </c>
      <c r="G13" s="202">
        <f t="shared" si="4"/>
        <v>1220.9989961164727</v>
      </c>
      <c r="H13" s="202">
        <f t="shared" si="4"/>
        <v>1220.9989961164727</v>
      </c>
      <c r="I13" s="202">
        <f t="shared" si="4"/>
        <v>1220.9989961164727</v>
      </c>
      <c r="J13" s="202">
        <f t="shared" si="4"/>
        <v>1220.9989961164727</v>
      </c>
      <c r="K13" s="202">
        <f t="shared" si="4"/>
        <v>1220.9989961164727</v>
      </c>
      <c r="L13" s="202">
        <f t="shared" si="4"/>
        <v>1220.9989961164727</v>
      </c>
      <c r="M13" s="202">
        <f t="shared" si="4"/>
        <v>1220.9989961164727</v>
      </c>
      <c r="N13" s="202">
        <f t="shared" si="4"/>
        <v>1220.9989961164727</v>
      </c>
      <c r="O13" s="202">
        <f t="shared" si="4"/>
        <v>1220.9989961164727</v>
      </c>
      <c r="P13" s="202">
        <f t="shared" si="4"/>
        <v>1220.9989961164727</v>
      </c>
      <c r="Q13" s="202">
        <f t="shared" si="4"/>
        <v>1220.9989961164727</v>
      </c>
      <c r="R13" s="202">
        <f t="shared" si="4"/>
        <v>1220.9989961164727</v>
      </c>
      <c r="S13" s="202">
        <f t="shared" si="4"/>
        <v>1220.9989961164727</v>
      </c>
      <c r="T13" s="202">
        <f t="shared" si="4"/>
        <v>1220.9989961164727</v>
      </c>
      <c r="U13" s="202">
        <f t="shared" si="4"/>
        <v>1220.9989961164727</v>
      </c>
      <c r="V13" s="202">
        <f t="shared" si="6"/>
        <v>1220.9989961164727</v>
      </c>
      <c r="W13" s="202">
        <f t="shared" si="6"/>
        <v>1220.9989961164727</v>
      </c>
      <c r="X13" s="202">
        <f t="shared" si="6"/>
        <v>1220.9989961164727</v>
      </c>
      <c r="Y13" s="202">
        <f t="shared" si="6"/>
        <v>1220.9989961164727</v>
      </c>
      <c r="Z13" s="202">
        <f t="shared" si="6"/>
        <v>1220.9989961164727</v>
      </c>
      <c r="AA13" s="202">
        <f t="shared" si="6"/>
        <v>1220.9989961164727</v>
      </c>
      <c r="AB13" s="202">
        <f t="shared" si="6"/>
        <v>1220.9989961164727</v>
      </c>
      <c r="AC13" s="202">
        <f t="shared" si="6"/>
        <v>1220.9989961164727</v>
      </c>
      <c r="AD13" s="202">
        <f t="shared" si="6"/>
        <v>1220.9989961164727</v>
      </c>
      <c r="AE13" s="202">
        <f t="shared" si="6"/>
        <v>1220.9989961164727</v>
      </c>
      <c r="AF13" s="202">
        <f t="shared" si="6"/>
        <v>1220.9989961164727</v>
      </c>
      <c r="AG13" s="202">
        <f t="shared" si="6"/>
        <v>1220.9989961164727</v>
      </c>
      <c r="AH13" s="202">
        <f t="shared" si="6"/>
        <v>1220.9989961164727</v>
      </c>
      <c r="AI13" s="202">
        <f t="shared" si="6"/>
        <v>1220.9989961164727</v>
      </c>
      <c r="AJ13" s="202">
        <f t="shared" si="6"/>
        <v>1220.9989961164727</v>
      </c>
      <c r="AK13" s="202">
        <f t="shared" si="6"/>
        <v>1220.9989961164727</v>
      </c>
      <c r="AL13" s="202">
        <f t="shared" si="7"/>
        <v>1220.9989961164727</v>
      </c>
      <c r="AM13" s="202">
        <f t="shared" si="7"/>
        <v>1220.9989961164727</v>
      </c>
      <c r="AN13" s="202">
        <f t="shared" si="7"/>
        <v>1220.9989961164727</v>
      </c>
      <c r="AO13" s="202">
        <f t="shared" si="7"/>
        <v>1220.9989961164727</v>
      </c>
      <c r="AP13" s="202">
        <f t="shared" si="7"/>
        <v>1220.9989961164727</v>
      </c>
      <c r="AQ13" s="202">
        <f t="shared" si="7"/>
        <v>1220.9989961164727</v>
      </c>
      <c r="AR13" s="202">
        <f t="shared" si="7"/>
        <v>1220.9989961164727</v>
      </c>
      <c r="AS13" s="202">
        <f t="shared" si="7"/>
        <v>1220.9989961164727</v>
      </c>
      <c r="AT13" s="202">
        <f t="shared" si="7"/>
        <v>1220.9989961164724</v>
      </c>
      <c r="AU13" s="202">
        <f t="shared" si="7"/>
        <v>1220.9989961164724</v>
      </c>
      <c r="AV13" s="202">
        <f t="shared" si="7"/>
        <v>1220.9989961164724</v>
      </c>
      <c r="AW13" s="202">
        <f t="shared" si="7"/>
        <v>1220.9989961164724</v>
      </c>
      <c r="AX13" s="202">
        <f t="shared" si="8"/>
        <v>1220.9989961164724</v>
      </c>
      <c r="AY13" s="202">
        <f t="shared" si="8"/>
        <v>1220.9989961164724</v>
      </c>
      <c r="AZ13" s="202">
        <f t="shared" si="8"/>
        <v>1220.9989961164724</v>
      </c>
      <c r="BA13" s="202">
        <f t="shared" si="8"/>
        <v>1220.9989961164724</v>
      </c>
      <c r="BB13" s="202">
        <f t="shared" si="8"/>
        <v>1220.9989961164724</v>
      </c>
      <c r="BC13" s="202">
        <f t="shared" si="8"/>
        <v>1220.9989961164724</v>
      </c>
      <c r="BD13" s="202">
        <f t="shared" si="8"/>
        <v>1220.9989961164724</v>
      </c>
      <c r="BE13" s="202">
        <f t="shared" si="8"/>
        <v>1220.9989961164724</v>
      </c>
      <c r="BF13" s="202">
        <f t="shared" si="8"/>
        <v>1220.9989961164724</v>
      </c>
      <c r="BG13" s="202">
        <f t="shared" si="8"/>
        <v>1220.9989961164724</v>
      </c>
      <c r="BH13" s="202">
        <f t="shared" si="8"/>
        <v>1220.9989961164724</v>
      </c>
      <c r="BI13" s="202">
        <f t="shared" si="8"/>
        <v>1220.9989961164724</v>
      </c>
      <c r="BJ13" s="202">
        <f t="shared" si="8"/>
        <v>1220.9989961164724</v>
      </c>
      <c r="BK13" s="202">
        <f t="shared" si="8"/>
        <v>1220.9989961164724</v>
      </c>
      <c r="BL13" s="202">
        <f t="shared" si="8"/>
        <v>1220.9989961164724</v>
      </c>
      <c r="BM13" s="202">
        <f t="shared" si="8"/>
        <v>1220.9989961164724</v>
      </c>
      <c r="BN13" s="202">
        <f t="shared" si="8"/>
        <v>1220.9989961164727</v>
      </c>
      <c r="BO13" s="202">
        <f t="shared" si="8"/>
        <v>1220.9989961164727</v>
      </c>
      <c r="BP13" s="202">
        <f t="shared" si="8"/>
        <v>1220.9989961164727</v>
      </c>
      <c r="BQ13" s="202">
        <f t="shared" si="8"/>
        <v>1220.9989961164727</v>
      </c>
      <c r="BR13" s="202">
        <f t="shared" si="8"/>
        <v>1220.9989961164727</v>
      </c>
      <c r="BS13" s="202">
        <f t="shared" si="8"/>
        <v>1220.9989961164727</v>
      </c>
      <c r="BT13" s="202">
        <f t="shared" si="8"/>
        <v>1220.9989961164727</v>
      </c>
      <c r="BU13" s="202">
        <f t="shared" si="8"/>
        <v>1220.9989961164727</v>
      </c>
      <c r="BV13" s="202">
        <f t="shared" si="8"/>
        <v>1220.9989961164727</v>
      </c>
      <c r="BW13" s="202">
        <f t="shared" si="8"/>
        <v>1220.9989961164727</v>
      </c>
      <c r="BX13" s="202">
        <f t="shared" si="8"/>
        <v>1220.9989961164727</v>
      </c>
      <c r="BY13" s="202">
        <f t="shared" si="8"/>
        <v>1220.9989961164727</v>
      </c>
      <c r="BZ13" s="202">
        <f t="shared" si="8"/>
        <v>1220.9989961164727</v>
      </c>
      <c r="CA13" s="202">
        <f t="shared" si="2"/>
        <v>1220.9989961164727</v>
      </c>
      <c r="CB13" s="202">
        <f t="shared" si="2"/>
        <v>1220.9989961164727</v>
      </c>
      <c r="CC13" s="202">
        <f t="shared" si="2"/>
        <v>1220.9989961164727</v>
      </c>
      <c r="CD13" s="202">
        <f t="shared" si="2"/>
        <v>1220.9989961164727</v>
      </c>
      <c r="CE13" s="202">
        <f t="shared" si="2"/>
        <v>1220.9989961164727</v>
      </c>
      <c r="CF13" s="202">
        <f t="shared" si="2"/>
        <v>1220.9989961164727</v>
      </c>
      <c r="CG13" s="202">
        <f t="shared" si="2"/>
        <v>1220.9989961164727</v>
      </c>
      <c r="CH13" s="202">
        <f t="shared" si="2"/>
        <v>1220.9989961164727</v>
      </c>
      <c r="CI13" s="202">
        <f t="shared" si="2"/>
        <v>1220.9989961164727</v>
      </c>
      <c r="CJ13" s="202">
        <f t="shared" si="2"/>
        <v>1220.9989961164727</v>
      </c>
      <c r="CK13" s="202">
        <f t="shared" si="2"/>
        <v>1220.9989961164727</v>
      </c>
      <c r="CL13" s="202">
        <f t="shared" si="2"/>
        <v>1220.9989961164727</v>
      </c>
      <c r="CM13" s="202">
        <f t="shared" si="2"/>
        <v>1220.9989961164727</v>
      </c>
      <c r="CN13" s="202">
        <f t="shared" si="2"/>
        <v>1220.9989961164727</v>
      </c>
      <c r="CO13" s="202">
        <f t="shared" si="2"/>
        <v>1220.9989961164727</v>
      </c>
      <c r="CP13" s="202">
        <f t="shared" si="2"/>
        <v>1220.9989961164727</v>
      </c>
      <c r="CQ13" s="202">
        <f t="shared" si="2"/>
        <v>1220.9989961164727</v>
      </c>
      <c r="CR13" s="202">
        <f t="shared" si="2"/>
        <v>1220.9989961164727</v>
      </c>
      <c r="CS13" s="202">
        <f t="shared" si="3"/>
        <v>1220.9989961164727</v>
      </c>
      <c r="CT13" s="202">
        <f t="shared" si="3"/>
        <v>1220.9989961164727</v>
      </c>
      <c r="CU13" s="202">
        <f t="shared" si="3"/>
        <v>1220.9989961164727</v>
      </c>
      <c r="CV13" s="202">
        <f t="shared" si="3"/>
        <v>1220.9989961164727</v>
      </c>
      <c r="CW13" s="202">
        <f t="shared" si="3"/>
        <v>1220.9989961164727</v>
      </c>
      <c r="CX13" s="202">
        <f t="shared" si="3"/>
        <v>1220.9989961164727</v>
      </c>
      <c r="CY13" s="202">
        <f t="shared" si="3"/>
        <v>1220.9989961164727</v>
      </c>
      <c r="CZ13" s="202">
        <f t="shared" si="3"/>
        <v>1220.9989961164727</v>
      </c>
      <c r="DA13" s="202">
        <f t="shared" si="3"/>
        <v>1220.9989961164727</v>
      </c>
      <c r="DB13" s="202"/>
    </row>
    <row r="14" spans="1:106">
      <c r="A14" s="199" t="str">
        <f>Income!A85</f>
        <v>Cash transfer - official</v>
      </c>
      <c r="B14" s="201">
        <f>Income!B85</f>
        <v>15408.268014237179</v>
      </c>
      <c r="C14" s="201">
        <f>Income!C85</f>
        <v>15408.268014237179</v>
      </c>
      <c r="D14" s="201">
        <f>Income!D85</f>
        <v>4582.7869737895116</v>
      </c>
      <c r="E14" s="201">
        <f>Income!E85</f>
        <v>0</v>
      </c>
      <c r="F14" s="202">
        <f t="shared" si="4"/>
        <v>15408.268014237179</v>
      </c>
      <c r="G14" s="202">
        <f t="shared" si="4"/>
        <v>15408.268014237179</v>
      </c>
      <c r="H14" s="202">
        <f t="shared" si="4"/>
        <v>15408.268014237179</v>
      </c>
      <c r="I14" s="202">
        <f t="shared" si="4"/>
        <v>15408.268014237179</v>
      </c>
      <c r="J14" s="202">
        <f t="shared" si="4"/>
        <v>15408.268014237179</v>
      </c>
      <c r="K14" s="202">
        <f t="shared" si="4"/>
        <v>15408.268014237179</v>
      </c>
      <c r="L14" s="202">
        <f t="shared" si="4"/>
        <v>15408.268014237179</v>
      </c>
      <c r="M14" s="202">
        <f t="shared" si="4"/>
        <v>15408.268014237179</v>
      </c>
      <c r="N14" s="202">
        <f t="shared" si="4"/>
        <v>15408.268014237179</v>
      </c>
      <c r="O14" s="202">
        <f t="shared" si="4"/>
        <v>15408.268014237179</v>
      </c>
      <c r="P14" s="202">
        <f t="shared" si="4"/>
        <v>15408.268014237179</v>
      </c>
      <c r="Q14" s="202">
        <f t="shared" si="4"/>
        <v>15408.268014237179</v>
      </c>
      <c r="R14" s="202">
        <f t="shared" si="4"/>
        <v>15408.268014237179</v>
      </c>
      <c r="S14" s="202">
        <f t="shared" si="4"/>
        <v>15408.268014237179</v>
      </c>
      <c r="T14" s="202">
        <f t="shared" si="4"/>
        <v>15408.268014237179</v>
      </c>
      <c r="U14" s="202">
        <f t="shared" si="4"/>
        <v>15408.268014237179</v>
      </c>
      <c r="V14" s="202">
        <f t="shared" si="6"/>
        <v>15408.268014237179</v>
      </c>
      <c r="W14" s="202">
        <f t="shared" si="6"/>
        <v>15408.268014237179</v>
      </c>
      <c r="X14" s="202">
        <f t="shared" si="6"/>
        <v>15408.268014237179</v>
      </c>
      <c r="Y14" s="202">
        <f t="shared" si="6"/>
        <v>15408.268014237179</v>
      </c>
      <c r="Z14" s="202">
        <f t="shared" si="6"/>
        <v>15408.268014237179</v>
      </c>
      <c r="AA14" s="202">
        <f t="shared" si="6"/>
        <v>15408.268014237179</v>
      </c>
      <c r="AB14" s="202">
        <f t="shared" si="6"/>
        <v>15408.268014237179</v>
      </c>
      <c r="AC14" s="202">
        <f t="shared" si="6"/>
        <v>15408.268014237179</v>
      </c>
      <c r="AD14" s="202">
        <f t="shared" si="6"/>
        <v>15408.268014237179</v>
      </c>
      <c r="AE14" s="202">
        <f t="shared" si="6"/>
        <v>15408.268014237179</v>
      </c>
      <c r="AF14" s="202">
        <f t="shared" si="6"/>
        <v>15408.268014237179</v>
      </c>
      <c r="AG14" s="202">
        <f t="shared" si="6"/>
        <v>15408.268014237179</v>
      </c>
      <c r="AH14" s="202">
        <f t="shared" si="6"/>
        <v>15408.268014237179</v>
      </c>
      <c r="AI14" s="202">
        <f t="shared" si="6"/>
        <v>15408.268014237179</v>
      </c>
      <c r="AJ14" s="202">
        <f t="shared" si="6"/>
        <v>15408.268014237179</v>
      </c>
      <c r="AK14" s="202">
        <f t="shared" si="6"/>
        <v>15408.268014237179</v>
      </c>
      <c r="AL14" s="202">
        <f t="shared" si="7"/>
        <v>15408.268014237179</v>
      </c>
      <c r="AM14" s="202">
        <f t="shared" si="7"/>
        <v>15408.268014237179</v>
      </c>
      <c r="AN14" s="202">
        <f t="shared" si="7"/>
        <v>15408.268014237179</v>
      </c>
      <c r="AO14" s="202">
        <f t="shared" si="7"/>
        <v>15408.268014237179</v>
      </c>
      <c r="AP14" s="202">
        <f t="shared" si="7"/>
        <v>15408.268014237179</v>
      </c>
      <c r="AQ14" s="202">
        <f t="shared" si="7"/>
        <v>15408.268014237179</v>
      </c>
      <c r="AR14" s="202">
        <f t="shared" si="7"/>
        <v>15408.268014237179</v>
      </c>
      <c r="AS14" s="202">
        <f t="shared" si="7"/>
        <v>15408.268014237179</v>
      </c>
      <c r="AT14" s="202">
        <f t="shared" si="7"/>
        <v>4582.7869737895116</v>
      </c>
      <c r="AU14" s="202">
        <f t="shared" si="7"/>
        <v>4582.7869737895116</v>
      </c>
      <c r="AV14" s="202">
        <f t="shared" si="7"/>
        <v>4582.7869737895116</v>
      </c>
      <c r="AW14" s="202">
        <f t="shared" si="7"/>
        <v>4582.7869737895116</v>
      </c>
      <c r="AX14" s="202">
        <f t="shared" si="7"/>
        <v>4582.7869737895116</v>
      </c>
      <c r="AY14" s="202">
        <f t="shared" si="7"/>
        <v>4582.7869737895116</v>
      </c>
      <c r="AZ14" s="202">
        <f t="shared" si="7"/>
        <v>4582.7869737895116</v>
      </c>
      <c r="BA14" s="202">
        <f t="shared" si="7"/>
        <v>4582.7869737895116</v>
      </c>
      <c r="BB14" s="202">
        <f t="shared" si="8"/>
        <v>4582.7869737895116</v>
      </c>
      <c r="BC14" s="202">
        <f t="shared" si="8"/>
        <v>4582.7869737895116</v>
      </c>
      <c r="BD14" s="202">
        <f t="shared" si="8"/>
        <v>4582.7869737895116</v>
      </c>
      <c r="BE14" s="202">
        <f t="shared" si="8"/>
        <v>4582.7869737895116</v>
      </c>
      <c r="BF14" s="202">
        <f t="shared" si="8"/>
        <v>4582.7869737895116</v>
      </c>
      <c r="BG14" s="202">
        <f t="shared" si="8"/>
        <v>4582.7869737895116</v>
      </c>
      <c r="BH14" s="202">
        <f t="shared" si="8"/>
        <v>4582.7869737895116</v>
      </c>
      <c r="BI14" s="202">
        <f t="shared" si="8"/>
        <v>4582.7869737895116</v>
      </c>
      <c r="BJ14" s="202">
        <f t="shared" si="8"/>
        <v>4582.7869737895116</v>
      </c>
      <c r="BK14" s="202">
        <f t="shared" si="8"/>
        <v>4582.7869737895116</v>
      </c>
      <c r="BL14" s="202">
        <f t="shared" si="8"/>
        <v>4582.7869737895116</v>
      </c>
      <c r="BM14" s="202">
        <f t="shared" si="8"/>
        <v>4582.7869737895116</v>
      </c>
      <c r="BN14" s="202">
        <f t="shared" si="8"/>
        <v>0</v>
      </c>
      <c r="BO14" s="202">
        <f t="shared" si="8"/>
        <v>0</v>
      </c>
      <c r="BP14" s="202">
        <f t="shared" si="8"/>
        <v>0</v>
      </c>
      <c r="BQ14" s="202">
        <f t="shared" si="8"/>
        <v>0</v>
      </c>
      <c r="BR14" s="202">
        <f t="shared" si="8"/>
        <v>0</v>
      </c>
      <c r="BS14" s="202">
        <f t="shared" si="8"/>
        <v>0</v>
      </c>
      <c r="BT14" s="202">
        <f t="shared" si="8"/>
        <v>0</v>
      </c>
      <c r="BU14" s="202">
        <f t="shared" si="8"/>
        <v>0</v>
      </c>
      <c r="BV14" s="202">
        <f t="shared" si="8"/>
        <v>0</v>
      </c>
      <c r="BW14" s="202">
        <f t="shared" si="8"/>
        <v>0</v>
      </c>
      <c r="BX14" s="202">
        <f t="shared" si="8"/>
        <v>0</v>
      </c>
      <c r="BY14" s="202">
        <f t="shared" si="8"/>
        <v>0</v>
      </c>
      <c r="BZ14" s="202">
        <f t="shared" si="8"/>
        <v>0</v>
      </c>
      <c r="CA14" s="202">
        <f t="shared" si="2"/>
        <v>0</v>
      </c>
      <c r="CB14" s="202">
        <f t="shared" si="2"/>
        <v>0</v>
      </c>
      <c r="CC14" s="202">
        <f t="shared" si="2"/>
        <v>0</v>
      </c>
      <c r="CD14" s="202">
        <f t="shared" si="2"/>
        <v>0</v>
      </c>
      <c r="CE14" s="202">
        <f t="shared" si="2"/>
        <v>0</v>
      </c>
      <c r="CF14" s="202">
        <f t="shared" si="2"/>
        <v>0</v>
      </c>
      <c r="CG14" s="202">
        <f t="shared" si="2"/>
        <v>0</v>
      </c>
      <c r="CH14" s="202">
        <f t="shared" si="2"/>
        <v>0</v>
      </c>
      <c r="CI14" s="202">
        <f t="shared" si="2"/>
        <v>0</v>
      </c>
      <c r="CJ14" s="202">
        <f t="shared" si="2"/>
        <v>0</v>
      </c>
      <c r="CK14" s="202">
        <f t="shared" si="2"/>
        <v>0</v>
      </c>
      <c r="CL14" s="202">
        <f t="shared" si="2"/>
        <v>0</v>
      </c>
      <c r="CM14" s="202">
        <f t="shared" si="2"/>
        <v>0</v>
      </c>
      <c r="CN14" s="202">
        <f t="shared" si="2"/>
        <v>0</v>
      </c>
      <c r="CO14" s="202">
        <f t="shared" si="2"/>
        <v>0</v>
      </c>
      <c r="CP14" s="202">
        <f t="shared" si="2"/>
        <v>0</v>
      </c>
      <c r="CQ14" s="202">
        <f t="shared" si="2"/>
        <v>0</v>
      </c>
      <c r="CR14" s="202">
        <f t="shared" si="2"/>
        <v>0</v>
      </c>
      <c r="CS14" s="202">
        <f t="shared" si="3"/>
        <v>0</v>
      </c>
      <c r="CT14" s="202">
        <f t="shared" si="3"/>
        <v>0</v>
      </c>
      <c r="CU14" s="202">
        <f t="shared" si="3"/>
        <v>0</v>
      </c>
      <c r="CV14" s="202">
        <f t="shared" si="3"/>
        <v>0</v>
      </c>
      <c r="CW14" s="202">
        <f t="shared" si="3"/>
        <v>0</v>
      </c>
      <c r="CX14" s="202">
        <f t="shared" si="3"/>
        <v>0</v>
      </c>
      <c r="CY14" s="202">
        <f t="shared" si="3"/>
        <v>0</v>
      </c>
      <c r="CZ14" s="202">
        <f t="shared" si="3"/>
        <v>0</v>
      </c>
      <c r="DA14" s="202">
        <f t="shared" si="3"/>
        <v>0</v>
      </c>
      <c r="DB14" s="202"/>
    </row>
    <row r="15" spans="1:106">
      <c r="A15" s="199" t="str">
        <f>Income!A86</f>
        <v>Cash transfer - gifts</v>
      </c>
      <c r="B15" s="201">
        <f>Income!B86</f>
        <v>3825.0033009581762</v>
      </c>
      <c r="C15" s="201">
        <f>Income!C86</f>
        <v>2616.1579181081861</v>
      </c>
      <c r="D15" s="201">
        <f>Income!D86</f>
        <v>3518.2813381454912</v>
      </c>
      <c r="E15" s="201">
        <f>Income!E86</f>
        <v>4510.6171001865278</v>
      </c>
      <c r="F15" s="202">
        <f t="shared" si="4"/>
        <v>3825.0033009581762</v>
      </c>
      <c r="G15" s="202">
        <f t="shared" si="4"/>
        <v>3825.0033009581762</v>
      </c>
      <c r="H15" s="202">
        <f t="shared" si="4"/>
        <v>3825.0033009581762</v>
      </c>
      <c r="I15" s="202">
        <f t="shared" si="4"/>
        <v>3825.0033009581762</v>
      </c>
      <c r="J15" s="202">
        <f t="shared" si="4"/>
        <v>3825.0033009581762</v>
      </c>
      <c r="K15" s="202">
        <f t="shared" si="4"/>
        <v>3825.0033009581762</v>
      </c>
      <c r="L15" s="202">
        <f t="shared" si="4"/>
        <v>3825.0033009581762</v>
      </c>
      <c r="M15" s="202">
        <f t="shared" si="4"/>
        <v>3825.0033009581762</v>
      </c>
      <c r="N15" s="202">
        <f t="shared" si="4"/>
        <v>3825.0033009581762</v>
      </c>
      <c r="O15" s="202">
        <f t="shared" si="4"/>
        <v>3825.0033009581762</v>
      </c>
      <c r="P15" s="202">
        <f t="shared" si="4"/>
        <v>3825.0033009581762</v>
      </c>
      <c r="Q15" s="202">
        <f t="shared" si="4"/>
        <v>3825.0033009581762</v>
      </c>
      <c r="R15" s="202">
        <f t="shared" si="4"/>
        <v>3825.0033009581762</v>
      </c>
      <c r="S15" s="202">
        <f t="shared" si="4"/>
        <v>3825.0033009581762</v>
      </c>
      <c r="T15" s="202">
        <f t="shared" si="4"/>
        <v>3825.0033009581762</v>
      </c>
      <c r="U15" s="202">
        <f t="shared" si="4"/>
        <v>3825.0033009581762</v>
      </c>
      <c r="V15" s="202">
        <f t="shared" si="6"/>
        <v>3825.0033009581762</v>
      </c>
      <c r="W15" s="202">
        <f t="shared" si="6"/>
        <v>3825.0033009581762</v>
      </c>
      <c r="X15" s="202">
        <f t="shared" si="6"/>
        <v>3825.0033009581762</v>
      </c>
      <c r="Y15" s="202">
        <f t="shared" si="6"/>
        <v>3825.0033009581762</v>
      </c>
      <c r="Z15" s="202">
        <f t="shared" si="6"/>
        <v>2616.1579181081861</v>
      </c>
      <c r="AA15" s="202">
        <f t="shared" si="6"/>
        <v>2616.1579181081861</v>
      </c>
      <c r="AB15" s="202">
        <f t="shared" si="6"/>
        <v>2616.1579181081861</v>
      </c>
      <c r="AC15" s="202">
        <f t="shared" si="6"/>
        <v>2616.1579181081861</v>
      </c>
      <c r="AD15" s="202">
        <f t="shared" si="6"/>
        <v>2616.1579181081861</v>
      </c>
      <c r="AE15" s="202">
        <f t="shared" si="6"/>
        <v>2616.1579181081861</v>
      </c>
      <c r="AF15" s="202">
        <f t="shared" si="6"/>
        <v>2616.1579181081861</v>
      </c>
      <c r="AG15" s="202">
        <f t="shared" si="6"/>
        <v>2616.1579181081861</v>
      </c>
      <c r="AH15" s="202">
        <f t="shared" si="6"/>
        <v>2616.1579181081861</v>
      </c>
      <c r="AI15" s="202">
        <f t="shared" si="6"/>
        <v>2616.1579181081861</v>
      </c>
      <c r="AJ15" s="202">
        <f t="shared" si="6"/>
        <v>2616.1579181081861</v>
      </c>
      <c r="AK15" s="202">
        <f t="shared" si="6"/>
        <v>2616.1579181081861</v>
      </c>
      <c r="AL15" s="202">
        <f t="shared" si="7"/>
        <v>2616.1579181081861</v>
      </c>
      <c r="AM15" s="202">
        <f t="shared" si="7"/>
        <v>2616.1579181081861</v>
      </c>
      <c r="AN15" s="202">
        <f t="shared" si="7"/>
        <v>2616.1579181081861</v>
      </c>
      <c r="AO15" s="202">
        <f t="shared" si="7"/>
        <v>2616.1579181081861</v>
      </c>
      <c r="AP15" s="202">
        <f t="shared" si="7"/>
        <v>2616.1579181081861</v>
      </c>
      <c r="AQ15" s="202">
        <f t="shared" si="7"/>
        <v>2616.1579181081861</v>
      </c>
      <c r="AR15" s="202">
        <f t="shared" si="7"/>
        <v>2616.1579181081861</v>
      </c>
      <c r="AS15" s="202">
        <f t="shared" si="7"/>
        <v>2616.1579181081861</v>
      </c>
      <c r="AT15" s="202">
        <f t="shared" si="7"/>
        <v>3518.2813381454912</v>
      </c>
      <c r="AU15" s="202">
        <f t="shared" si="7"/>
        <v>3518.2813381454912</v>
      </c>
      <c r="AV15" s="202">
        <f t="shared" si="7"/>
        <v>3518.2813381454912</v>
      </c>
      <c r="AW15" s="202">
        <f t="shared" si="7"/>
        <v>3518.2813381454912</v>
      </c>
      <c r="AX15" s="202">
        <f t="shared" si="8"/>
        <v>3518.2813381454912</v>
      </c>
      <c r="AY15" s="202">
        <f t="shared" si="8"/>
        <v>3518.2813381454912</v>
      </c>
      <c r="AZ15" s="202">
        <f t="shared" si="8"/>
        <v>3518.2813381454912</v>
      </c>
      <c r="BA15" s="202">
        <f t="shared" si="8"/>
        <v>3518.2813381454912</v>
      </c>
      <c r="BB15" s="202">
        <f t="shared" si="8"/>
        <v>3518.2813381454912</v>
      </c>
      <c r="BC15" s="202">
        <f t="shared" si="8"/>
        <v>3518.2813381454912</v>
      </c>
      <c r="BD15" s="202">
        <f t="shared" si="8"/>
        <v>3518.2813381454912</v>
      </c>
      <c r="BE15" s="202">
        <f t="shared" si="8"/>
        <v>3518.2813381454912</v>
      </c>
      <c r="BF15" s="202">
        <f t="shared" si="8"/>
        <v>3518.2813381454912</v>
      </c>
      <c r="BG15" s="202">
        <f t="shared" si="8"/>
        <v>3518.2813381454912</v>
      </c>
      <c r="BH15" s="202">
        <f t="shared" si="8"/>
        <v>3518.2813381454912</v>
      </c>
      <c r="BI15" s="202">
        <f t="shared" si="8"/>
        <v>3518.2813381454912</v>
      </c>
      <c r="BJ15" s="202">
        <f t="shared" si="8"/>
        <v>3518.2813381454912</v>
      </c>
      <c r="BK15" s="202">
        <f t="shared" si="8"/>
        <v>3518.2813381454912</v>
      </c>
      <c r="BL15" s="202">
        <f t="shared" si="8"/>
        <v>3518.2813381454912</v>
      </c>
      <c r="BM15" s="202">
        <f t="shared" si="8"/>
        <v>3518.2813381454912</v>
      </c>
      <c r="BN15" s="202">
        <f t="shared" si="8"/>
        <v>4510.6171001865278</v>
      </c>
      <c r="BO15" s="202">
        <f t="shared" si="8"/>
        <v>4510.6171001865278</v>
      </c>
      <c r="BP15" s="202">
        <f t="shared" si="8"/>
        <v>4510.6171001865278</v>
      </c>
      <c r="BQ15" s="202">
        <f t="shared" si="8"/>
        <v>4510.6171001865278</v>
      </c>
      <c r="BR15" s="202">
        <f t="shared" si="8"/>
        <v>4510.6171001865278</v>
      </c>
      <c r="BS15" s="202">
        <f t="shared" si="8"/>
        <v>4510.6171001865278</v>
      </c>
      <c r="BT15" s="202">
        <f t="shared" si="8"/>
        <v>4510.6171001865278</v>
      </c>
      <c r="BU15" s="202">
        <f t="shared" si="8"/>
        <v>4510.6171001865278</v>
      </c>
      <c r="BV15" s="202">
        <f t="shared" si="8"/>
        <v>4510.6171001865278</v>
      </c>
      <c r="BW15" s="202">
        <f t="shared" si="8"/>
        <v>4510.6171001865278</v>
      </c>
      <c r="BX15" s="202">
        <f t="shared" si="8"/>
        <v>4510.6171001865278</v>
      </c>
      <c r="BY15" s="202">
        <f t="shared" si="8"/>
        <v>4510.6171001865278</v>
      </c>
      <c r="BZ15" s="202">
        <f t="shared" si="8"/>
        <v>4510.6171001865278</v>
      </c>
      <c r="CA15" s="202">
        <f t="shared" si="2"/>
        <v>4510.6171001865278</v>
      </c>
      <c r="CB15" s="202">
        <f t="shared" si="2"/>
        <v>4510.6171001865278</v>
      </c>
      <c r="CC15" s="202">
        <f t="shared" si="2"/>
        <v>4510.6171001865278</v>
      </c>
      <c r="CD15" s="202">
        <f t="shared" ref="CC15:CR18" si="9">IF(CD$2&lt;=($B$2+$C$2+$D$2),IF(CD$2&lt;=($B$2+$C$2),IF(CD$2&lt;=$B$2,$B15,$C15),$D15),$E15)</f>
        <v>4510.6171001865278</v>
      </c>
      <c r="CE15" s="202">
        <f t="shared" si="9"/>
        <v>4510.6171001865278</v>
      </c>
      <c r="CF15" s="202">
        <f t="shared" si="9"/>
        <v>4510.6171001865278</v>
      </c>
      <c r="CG15" s="202">
        <f t="shared" si="9"/>
        <v>4510.6171001865278</v>
      </c>
      <c r="CH15" s="202">
        <f t="shared" si="9"/>
        <v>4510.6171001865278</v>
      </c>
      <c r="CI15" s="202">
        <f t="shared" si="9"/>
        <v>4510.6171001865278</v>
      </c>
      <c r="CJ15" s="202">
        <f t="shared" si="9"/>
        <v>4510.6171001865278</v>
      </c>
      <c r="CK15" s="202">
        <f t="shared" si="9"/>
        <v>4510.6171001865278</v>
      </c>
      <c r="CL15" s="202">
        <f t="shared" si="9"/>
        <v>4510.6171001865278</v>
      </c>
      <c r="CM15" s="202">
        <f t="shared" si="9"/>
        <v>4510.6171001865278</v>
      </c>
      <c r="CN15" s="202">
        <f t="shared" si="9"/>
        <v>4510.6171001865278</v>
      </c>
      <c r="CO15" s="202">
        <f t="shared" si="9"/>
        <v>4510.6171001865278</v>
      </c>
      <c r="CP15" s="202">
        <f t="shared" si="9"/>
        <v>4510.6171001865278</v>
      </c>
      <c r="CQ15" s="202">
        <f t="shared" si="9"/>
        <v>4510.6171001865278</v>
      </c>
      <c r="CR15" s="202">
        <f t="shared" si="9"/>
        <v>4510.6171001865278</v>
      </c>
      <c r="CS15" s="202">
        <f t="shared" si="3"/>
        <v>4510.6171001865278</v>
      </c>
      <c r="CT15" s="202">
        <f t="shared" si="3"/>
        <v>4510.6171001865278</v>
      </c>
      <c r="CU15" s="202">
        <f t="shared" si="3"/>
        <v>4510.6171001865278</v>
      </c>
      <c r="CV15" s="202">
        <f t="shared" si="3"/>
        <v>4510.6171001865278</v>
      </c>
      <c r="CW15" s="202">
        <f t="shared" si="3"/>
        <v>4510.6171001865278</v>
      </c>
      <c r="CX15" s="202">
        <f t="shared" si="3"/>
        <v>4510.6171001865278</v>
      </c>
      <c r="CY15" s="202">
        <f t="shared" si="3"/>
        <v>4510.6171001865278</v>
      </c>
      <c r="CZ15" s="202">
        <f t="shared" si="3"/>
        <v>4510.6171001865278</v>
      </c>
      <c r="DA15" s="202">
        <f t="shared" si="3"/>
        <v>4510.6171001865278</v>
      </c>
      <c r="DB15" s="202"/>
    </row>
    <row r="16" spans="1:106">
      <c r="A16" s="199" t="s">
        <v>95</v>
      </c>
      <c r="B16" s="201">
        <f>Income!B88</f>
        <v>30016.778563707263</v>
      </c>
      <c r="C16" s="201">
        <f>Income!C88</f>
        <v>45840.023351161602</v>
      </c>
      <c r="D16" s="201">
        <f>Income!D88</f>
        <v>61284.37630220026</v>
      </c>
      <c r="E16" s="201">
        <f>Income!E88</f>
        <v>93454.097460730569</v>
      </c>
      <c r="F16" s="202">
        <f t="shared" si="4"/>
        <v>30016.778563707263</v>
      </c>
      <c r="G16" s="202">
        <f t="shared" si="4"/>
        <v>30016.778563707263</v>
      </c>
      <c r="H16" s="202">
        <f t="shared" si="4"/>
        <v>30016.778563707263</v>
      </c>
      <c r="I16" s="202">
        <f t="shared" si="4"/>
        <v>30016.778563707263</v>
      </c>
      <c r="J16" s="202">
        <f t="shared" si="4"/>
        <v>30016.778563707263</v>
      </c>
      <c r="K16" s="202">
        <f t="shared" si="4"/>
        <v>30016.778563707263</v>
      </c>
      <c r="L16" s="202">
        <f t="shared" si="4"/>
        <v>30016.778563707263</v>
      </c>
      <c r="M16" s="202">
        <f t="shared" si="4"/>
        <v>30016.778563707263</v>
      </c>
      <c r="N16" s="202">
        <f t="shared" si="4"/>
        <v>30016.778563707263</v>
      </c>
      <c r="O16" s="202">
        <f t="shared" si="4"/>
        <v>30016.778563707263</v>
      </c>
      <c r="P16" s="202">
        <f t="shared" si="4"/>
        <v>30016.778563707263</v>
      </c>
      <c r="Q16" s="202">
        <f t="shared" si="4"/>
        <v>30016.778563707263</v>
      </c>
      <c r="R16" s="202">
        <f t="shared" si="4"/>
        <v>30016.778563707263</v>
      </c>
      <c r="S16" s="202">
        <f t="shared" si="4"/>
        <v>30016.778563707263</v>
      </c>
      <c r="T16" s="202">
        <f t="shared" si="4"/>
        <v>30016.778563707263</v>
      </c>
      <c r="U16" s="202">
        <f t="shared" si="4"/>
        <v>30016.778563707263</v>
      </c>
      <c r="V16" s="202">
        <f t="shared" si="6"/>
        <v>30016.778563707263</v>
      </c>
      <c r="W16" s="202">
        <f t="shared" si="6"/>
        <v>30016.778563707263</v>
      </c>
      <c r="X16" s="202">
        <f t="shared" si="6"/>
        <v>30016.778563707263</v>
      </c>
      <c r="Y16" s="202">
        <f t="shared" si="6"/>
        <v>30016.778563707263</v>
      </c>
      <c r="Z16" s="202">
        <f t="shared" si="6"/>
        <v>45840.023351161602</v>
      </c>
      <c r="AA16" s="202">
        <f t="shared" si="6"/>
        <v>45840.023351161602</v>
      </c>
      <c r="AB16" s="202">
        <f t="shared" si="6"/>
        <v>45840.023351161602</v>
      </c>
      <c r="AC16" s="202">
        <f t="shared" si="6"/>
        <v>45840.023351161602</v>
      </c>
      <c r="AD16" s="202">
        <f t="shared" si="6"/>
        <v>45840.023351161602</v>
      </c>
      <c r="AE16" s="202">
        <f>IF(AE$2&lt;=($B$2+$C$2+$D$2),IF(AE$2&lt;=($B$2+$C$2),IF(AE$2&lt;=$B$2,$B16,$C16),$D16),$E16)</f>
        <v>45840.023351161602</v>
      </c>
      <c r="AF16" s="202">
        <f t="shared" si="6"/>
        <v>45840.023351161602</v>
      </c>
      <c r="AG16" s="202">
        <f t="shared" si="6"/>
        <v>45840.023351161602</v>
      </c>
      <c r="AH16" s="202">
        <f t="shared" si="6"/>
        <v>45840.023351161602</v>
      </c>
      <c r="AI16" s="202">
        <f t="shared" si="6"/>
        <v>45840.023351161602</v>
      </c>
      <c r="AJ16" s="202">
        <f t="shared" si="6"/>
        <v>45840.023351161602</v>
      </c>
      <c r="AK16" s="202">
        <f t="shared" si="6"/>
        <v>45840.023351161602</v>
      </c>
      <c r="AL16" s="202">
        <f t="shared" si="7"/>
        <v>45840.023351161602</v>
      </c>
      <c r="AM16" s="202">
        <f t="shared" si="7"/>
        <v>45840.023351161602</v>
      </c>
      <c r="AN16" s="202">
        <f t="shared" si="7"/>
        <v>45840.023351161602</v>
      </c>
      <c r="AO16" s="202">
        <f t="shared" si="7"/>
        <v>45840.023351161602</v>
      </c>
      <c r="AP16" s="202">
        <f t="shared" si="7"/>
        <v>45840.023351161602</v>
      </c>
      <c r="AQ16" s="202">
        <f t="shared" si="7"/>
        <v>45840.023351161602</v>
      </c>
      <c r="AR16" s="202">
        <f t="shared" si="7"/>
        <v>45840.023351161602</v>
      </c>
      <c r="AS16" s="202">
        <f t="shared" si="7"/>
        <v>45840.023351161602</v>
      </c>
      <c r="AT16" s="202">
        <f t="shared" si="7"/>
        <v>61284.37630220026</v>
      </c>
      <c r="AU16" s="202">
        <f t="shared" si="7"/>
        <v>61284.37630220026</v>
      </c>
      <c r="AV16" s="202">
        <f t="shared" si="7"/>
        <v>61284.37630220026</v>
      </c>
      <c r="AW16" s="202">
        <f t="shared" si="7"/>
        <v>61284.37630220026</v>
      </c>
      <c r="AX16" s="202">
        <f t="shared" si="8"/>
        <v>61284.37630220026</v>
      </c>
      <c r="AY16" s="202">
        <f t="shared" si="8"/>
        <v>61284.37630220026</v>
      </c>
      <c r="AZ16" s="202">
        <f t="shared" si="8"/>
        <v>61284.37630220026</v>
      </c>
      <c r="BA16" s="202">
        <f t="shared" si="8"/>
        <v>61284.37630220026</v>
      </c>
      <c r="BB16" s="202">
        <f t="shared" si="8"/>
        <v>61284.37630220026</v>
      </c>
      <c r="BC16" s="202">
        <f t="shared" si="8"/>
        <v>61284.37630220026</v>
      </c>
      <c r="BD16" s="202">
        <f t="shared" si="8"/>
        <v>61284.37630220026</v>
      </c>
      <c r="BE16" s="202">
        <f t="shared" si="8"/>
        <v>61284.37630220026</v>
      </c>
      <c r="BF16" s="202">
        <f t="shared" si="8"/>
        <v>61284.37630220026</v>
      </c>
      <c r="BG16" s="202">
        <f t="shared" si="8"/>
        <v>61284.37630220026</v>
      </c>
      <c r="BH16" s="202">
        <f t="shared" si="8"/>
        <v>61284.37630220026</v>
      </c>
      <c r="BI16" s="202">
        <f t="shared" si="8"/>
        <v>61284.37630220026</v>
      </c>
      <c r="BJ16" s="202">
        <f t="shared" si="8"/>
        <v>61284.37630220026</v>
      </c>
      <c r="BK16" s="202">
        <f t="shared" si="8"/>
        <v>61284.37630220026</v>
      </c>
      <c r="BL16" s="202">
        <f t="shared" si="8"/>
        <v>61284.37630220026</v>
      </c>
      <c r="BM16" s="202">
        <f t="shared" si="8"/>
        <v>61284.37630220026</v>
      </c>
      <c r="BN16" s="202">
        <f t="shared" si="8"/>
        <v>93454.097460730569</v>
      </c>
      <c r="BO16" s="202">
        <f t="shared" si="8"/>
        <v>93454.097460730569</v>
      </c>
      <c r="BP16" s="202">
        <f t="shared" si="8"/>
        <v>93454.097460730569</v>
      </c>
      <c r="BQ16" s="202">
        <f t="shared" si="8"/>
        <v>93454.097460730569</v>
      </c>
      <c r="BR16" s="202">
        <f t="shared" si="8"/>
        <v>93454.097460730569</v>
      </c>
      <c r="BS16" s="202">
        <f t="shared" si="8"/>
        <v>93454.097460730569</v>
      </c>
      <c r="BT16" s="202">
        <f t="shared" si="8"/>
        <v>93454.097460730569</v>
      </c>
      <c r="BU16" s="202">
        <f t="shared" si="8"/>
        <v>93454.097460730569</v>
      </c>
      <c r="BV16" s="202">
        <f t="shared" si="8"/>
        <v>93454.097460730569</v>
      </c>
      <c r="BW16" s="202">
        <f t="shared" si="8"/>
        <v>93454.097460730569</v>
      </c>
      <c r="BX16" s="202">
        <f t="shared" si="8"/>
        <v>93454.097460730569</v>
      </c>
      <c r="BY16" s="202">
        <f t="shared" si="8"/>
        <v>93454.097460730569</v>
      </c>
      <c r="BZ16" s="202">
        <f t="shared" si="8"/>
        <v>93454.097460730569</v>
      </c>
      <c r="CA16" s="202">
        <f t="shared" ref="CA16:CB18" si="10">IF(CA$2&lt;=($B$2+$C$2+$D$2),IF(CA$2&lt;=($B$2+$C$2),IF(CA$2&lt;=$B$2,$B16,$C16),$D16),$E16)</f>
        <v>93454.097460730569</v>
      </c>
      <c r="CB16" s="202">
        <f t="shared" si="10"/>
        <v>93454.097460730569</v>
      </c>
      <c r="CC16" s="202">
        <f t="shared" si="9"/>
        <v>93454.097460730569</v>
      </c>
      <c r="CD16" s="202">
        <f t="shared" si="9"/>
        <v>93454.097460730569</v>
      </c>
      <c r="CE16" s="202">
        <f t="shared" si="9"/>
        <v>93454.097460730569</v>
      </c>
      <c r="CF16" s="202">
        <f t="shared" si="9"/>
        <v>93454.097460730569</v>
      </c>
      <c r="CG16" s="202">
        <f t="shared" si="9"/>
        <v>93454.097460730569</v>
      </c>
      <c r="CH16" s="202">
        <f t="shared" si="9"/>
        <v>93454.097460730569</v>
      </c>
      <c r="CI16" s="202">
        <f t="shared" si="9"/>
        <v>93454.097460730569</v>
      </c>
      <c r="CJ16" s="202">
        <f t="shared" si="9"/>
        <v>93454.097460730569</v>
      </c>
      <c r="CK16" s="202">
        <f t="shared" si="9"/>
        <v>93454.097460730569</v>
      </c>
      <c r="CL16" s="202">
        <f t="shared" si="9"/>
        <v>93454.097460730569</v>
      </c>
      <c r="CM16" s="202">
        <f t="shared" si="9"/>
        <v>93454.097460730569</v>
      </c>
      <c r="CN16" s="202">
        <f t="shared" si="9"/>
        <v>93454.097460730569</v>
      </c>
      <c r="CO16" s="202">
        <f t="shared" si="9"/>
        <v>93454.097460730569</v>
      </c>
      <c r="CP16" s="202">
        <f t="shared" si="9"/>
        <v>93454.097460730569</v>
      </c>
      <c r="CQ16" s="202">
        <f t="shared" si="9"/>
        <v>93454.097460730569</v>
      </c>
      <c r="CR16" s="202">
        <f t="shared" si="9"/>
        <v>93454.097460730569</v>
      </c>
      <c r="CS16" s="202">
        <f t="shared" ref="CS16:DA18" si="11">IF(CS$2&lt;=($B$2+$C$2+$D$2),IF(CS$2&lt;=($B$2+$C$2),IF(CS$2&lt;=$B$2,$B16,$C16),$D16),$E16)</f>
        <v>93454.097460730569</v>
      </c>
      <c r="CT16" s="202">
        <f t="shared" si="11"/>
        <v>93454.097460730569</v>
      </c>
      <c r="CU16" s="202">
        <f t="shared" si="11"/>
        <v>93454.097460730569</v>
      </c>
      <c r="CV16" s="202">
        <f t="shared" si="11"/>
        <v>93454.097460730569</v>
      </c>
      <c r="CW16" s="202">
        <f t="shared" si="11"/>
        <v>93454.097460730569</v>
      </c>
      <c r="CX16" s="202">
        <f t="shared" si="11"/>
        <v>93454.097460730569</v>
      </c>
      <c r="CY16" s="202">
        <f t="shared" si="11"/>
        <v>93454.097460730569</v>
      </c>
      <c r="CZ16" s="202">
        <f t="shared" si="11"/>
        <v>93454.097460730569</v>
      </c>
      <c r="DA16" s="202">
        <f t="shared" si="11"/>
        <v>93454.097460730569</v>
      </c>
      <c r="DB16" s="202"/>
    </row>
    <row r="17" spans="1:105">
      <c r="A17" s="199" t="s">
        <v>81</v>
      </c>
      <c r="B17" s="201">
        <f>Income!B89</f>
        <v>19201.523793976001</v>
      </c>
      <c r="C17" s="201">
        <f>Income!C89</f>
        <v>19201.523793976001</v>
      </c>
      <c r="D17" s="201">
        <f>Income!D89</f>
        <v>19201.523793975997</v>
      </c>
      <c r="E17" s="201">
        <f>Income!E89</f>
        <v>19201.523793976001</v>
      </c>
      <c r="F17" s="202">
        <f t="shared" si="4"/>
        <v>19201.523793976001</v>
      </c>
      <c r="G17" s="202">
        <f t="shared" si="4"/>
        <v>19201.523793976001</v>
      </c>
      <c r="H17" s="202">
        <f t="shared" si="4"/>
        <v>19201.523793976001</v>
      </c>
      <c r="I17" s="202">
        <f t="shared" si="4"/>
        <v>19201.523793976001</v>
      </c>
      <c r="J17" s="202">
        <f t="shared" si="4"/>
        <v>19201.523793976001</v>
      </c>
      <c r="K17" s="202">
        <f t="shared" si="4"/>
        <v>19201.523793976001</v>
      </c>
      <c r="L17" s="202">
        <f t="shared" si="4"/>
        <v>19201.523793976001</v>
      </c>
      <c r="M17" s="202">
        <f t="shared" si="4"/>
        <v>19201.523793976001</v>
      </c>
      <c r="N17" s="202">
        <f t="shared" si="4"/>
        <v>19201.523793976001</v>
      </c>
      <c r="O17" s="202">
        <f t="shared" si="4"/>
        <v>19201.523793976001</v>
      </c>
      <c r="P17" s="202">
        <f t="shared" si="4"/>
        <v>19201.523793976001</v>
      </c>
      <c r="Q17" s="202">
        <f t="shared" si="4"/>
        <v>19201.523793976001</v>
      </c>
      <c r="R17" s="202">
        <f t="shared" si="4"/>
        <v>19201.523793976001</v>
      </c>
      <c r="S17" s="202">
        <f t="shared" si="4"/>
        <v>19201.523793976001</v>
      </c>
      <c r="T17" s="202">
        <f t="shared" si="4"/>
        <v>19201.523793976001</v>
      </c>
      <c r="U17" s="202">
        <f t="shared" si="4"/>
        <v>19201.523793976001</v>
      </c>
      <c r="V17" s="202">
        <f t="shared" si="6"/>
        <v>19201.523793976001</v>
      </c>
      <c r="W17" s="202">
        <f t="shared" si="6"/>
        <v>19201.523793976001</v>
      </c>
      <c r="X17" s="202">
        <f t="shared" si="6"/>
        <v>19201.523793976001</v>
      </c>
      <c r="Y17" s="202">
        <f t="shared" si="6"/>
        <v>19201.523793976001</v>
      </c>
      <c r="Z17" s="202">
        <f t="shared" si="6"/>
        <v>19201.523793976001</v>
      </c>
      <c r="AA17" s="202">
        <f t="shared" si="6"/>
        <v>19201.523793976001</v>
      </c>
      <c r="AB17" s="202">
        <f t="shared" si="6"/>
        <v>19201.523793976001</v>
      </c>
      <c r="AC17" s="202">
        <f t="shared" si="6"/>
        <v>19201.523793976001</v>
      </c>
      <c r="AD17" s="202">
        <f t="shared" si="6"/>
        <v>19201.523793976001</v>
      </c>
      <c r="AE17" s="202">
        <f t="shared" si="6"/>
        <v>19201.523793976001</v>
      </c>
      <c r="AF17" s="202">
        <f t="shared" si="6"/>
        <v>19201.523793976001</v>
      </c>
      <c r="AG17" s="202">
        <f t="shared" si="6"/>
        <v>19201.523793976001</v>
      </c>
      <c r="AH17" s="202">
        <f t="shared" si="6"/>
        <v>19201.523793976001</v>
      </c>
      <c r="AI17" s="202">
        <f t="shared" si="6"/>
        <v>19201.523793976001</v>
      </c>
      <c r="AJ17" s="202">
        <f t="shared" si="6"/>
        <v>19201.523793976001</v>
      </c>
      <c r="AK17" s="202">
        <f t="shared" si="6"/>
        <v>19201.523793976001</v>
      </c>
      <c r="AL17" s="202">
        <f t="shared" si="7"/>
        <v>19201.523793976001</v>
      </c>
      <c r="AM17" s="202">
        <f t="shared" si="7"/>
        <v>19201.523793976001</v>
      </c>
      <c r="AN17" s="202">
        <f t="shared" si="7"/>
        <v>19201.523793976001</v>
      </c>
      <c r="AO17" s="202">
        <f t="shared" si="7"/>
        <v>19201.523793976001</v>
      </c>
      <c r="AP17" s="202">
        <f t="shared" si="7"/>
        <v>19201.523793976001</v>
      </c>
      <c r="AQ17" s="202">
        <f t="shared" si="7"/>
        <v>19201.523793976001</v>
      </c>
      <c r="AR17" s="202">
        <f t="shared" si="7"/>
        <v>19201.523793976001</v>
      </c>
      <c r="AS17" s="202">
        <f t="shared" si="7"/>
        <v>19201.523793976001</v>
      </c>
      <c r="AT17" s="202">
        <f t="shared" si="7"/>
        <v>19201.523793975997</v>
      </c>
      <c r="AU17" s="202">
        <f t="shared" si="7"/>
        <v>19201.523793975997</v>
      </c>
      <c r="AV17" s="202">
        <f t="shared" si="7"/>
        <v>19201.523793975997</v>
      </c>
      <c r="AW17" s="202">
        <f t="shared" si="7"/>
        <v>19201.523793975997</v>
      </c>
      <c r="AX17" s="202">
        <f t="shared" si="8"/>
        <v>19201.523793975997</v>
      </c>
      <c r="AY17" s="202">
        <f t="shared" si="8"/>
        <v>19201.523793975997</v>
      </c>
      <c r="AZ17" s="202">
        <f t="shared" si="8"/>
        <v>19201.523793975997</v>
      </c>
      <c r="BA17" s="202">
        <f t="shared" si="8"/>
        <v>19201.523793975997</v>
      </c>
      <c r="BB17" s="202">
        <f t="shared" si="8"/>
        <v>19201.523793975997</v>
      </c>
      <c r="BC17" s="202">
        <f t="shared" si="8"/>
        <v>19201.523793975997</v>
      </c>
      <c r="BD17" s="202">
        <f t="shared" si="8"/>
        <v>19201.523793975997</v>
      </c>
      <c r="BE17" s="202">
        <f t="shared" si="8"/>
        <v>19201.523793975997</v>
      </c>
      <c r="BF17" s="202">
        <f t="shared" si="8"/>
        <v>19201.523793975997</v>
      </c>
      <c r="BG17" s="202">
        <f t="shared" si="8"/>
        <v>19201.523793975997</v>
      </c>
      <c r="BH17" s="202">
        <f t="shared" si="8"/>
        <v>19201.523793975997</v>
      </c>
      <c r="BI17" s="202">
        <f t="shared" si="8"/>
        <v>19201.523793975997</v>
      </c>
      <c r="BJ17" s="202">
        <f t="shared" si="8"/>
        <v>19201.523793975997</v>
      </c>
      <c r="BK17" s="202">
        <f t="shared" si="8"/>
        <v>19201.523793975997</v>
      </c>
      <c r="BL17" s="202">
        <f t="shared" si="8"/>
        <v>19201.523793975997</v>
      </c>
      <c r="BM17" s="202">
        <f t="shared" si="8"/>
        <v>19201.523793975997</v>
      </c>
      <c r="BN17" s="202">
        <f t="shared" si="8"/>
        <v>19201.523793976001</v>
      </c>
      <c r="BO17" s="202">
        <f t="shared" si="8"/>
        <v>19201.523793976001</v>
      </c>
      <c r="BP17" s="202">
        <f t="shared" si="8"/>
        <v>19201.523793976001</v>
      </c>
      <c r="BQ17" s="202">
        <f t="shared" si="8"/>
        <v>19201.523793976001</v>
      </c>
      <c r="BR17" s="202">
        <f t="shared" si="8"/>
        <v>19201.523793976001</v>
      </c>
      <c r="BS17" s="202">
        <f t="shared" si="8"/>
        <v>19201.523793976001</v>
      </c>
      <c r="BT17" s="202">
        <f t="shared" si="8"/>
        <v>19201.523793976001</v>
      </c>
      <c r="BU17" s="202">
        <f t="shared" si="8"/>
        <v>19201.523793976001</v>
      </c>
      <c r="BV17" s="202">
        <f t="shared" si="8"/>
        <v>19201.523793976001</v>
      </c>
      <c r="BW17" s="202">
        <f t="shared" si="8"/>
        <v>19201.523793976001</v>
      </c>
      <c r="BX17" s="202">
        <f t="shared" si="8"/>
        <v>19201.523793976001</v>
      </c>
      <c r="BY17" s="202">
        <f t="shared" si="8"/>
        <v>19201.523793976001</v>
      </c>
      <c r="BZ17" s="202">
        <f t="shared" si="8"/>
        <v>19201.523793976001</v>
      </c>
      <c r="CA17" s="202">
        <f t="shared" si="10"/>
        <v>19201.523793976001</v>
      </c>
      <c r="CB17" s="202">
        <f t="shared" si="10"/>
        <v>19201.523793976001</v>
      </c>
      <c r="CC17" s="202">
        <f t="shared" si="9"/>
        <v>19201.523793976001</v>
      </c>
      <c r="CD17" s="202">
        <f t="shared" si="9"/>
        <v>19201.523793976001</v>
      </c>
      <c r="CE17" s="202">
        <f t="shared" si="9"/>
        <v>19201.523793976001</v>
      </c>
      <c r="CF17" s="202">
        <f t="shared" si="9"/>
        <v>19201.523793976001</v>
      </c>
      <c r="CG17" s="202">
        <f t="shared" si="9"/>
        <v>19201.523793976001</v>
      </c>
      <c r="CH17" s="202">
        <f t="shared" si="9"/>
        <v>19201.523793976001</v>
      </c>
      <c r="CI17" s="202">
        <f t="shared" si="9"/>
        <v>19201.523793976001</v>
      </c>
      <c r="CJ17" s="202">
        <f t="shared" si="9"/>
        <v>19201.523793976001</v>
      </c>
      <c r="CK17" s="202">
        <f t="shared" si="9"/>
        <v>19201.523793976001</v>
      </c>
      <c r="CL17" s="202">
        <f t="shared" si="9"/>
        <v>19201.523793976001</v>
      </c>
      <c r="CM17" s="202">
        <f t="shared" si="9"/>
        <v>19201.523793976001</v>
      </c>
      <c r="CN17" s="202">
        <f t="shared" si="9"/>
        <v>19201.523793976001</v>
      </c>
      <c r="CO17" s="202">
        <f t="shared" si="9"/>
        <v>19201.523793976001</v>
      </c>
      <c r="CP17" s="202">
        <f t="shared" si="9"/>
        <v>19201.523793976001</v>
      </c>
      <c r="CQ17" s="202">
        <f t="shared" si="9"/>
        <v>19201.523793976001</v>
      </c>
      <c r="CR17" s="202">
        <f t="shared" si="9"/>
        <v>19201.523793976001</v>
      </c>
      <c r="CS17" s="202">
        <f t="shared" si="11"/>
        <v>19201.523793976001</v>
      </c>
      <c r="CT17" s="202">
        <f t="shared" si="11"/>
        <v>19201.523793976001</v>
      </c>
      <c r="CU17" s="202">
        <f t="shared" si="11"/>
        <v>19201.523793976001</v>
      </c>
      <c r="CV17" s="202">
        <f t="shared" si="11"/>
        <v>19201.523793976001</v>
      </c>
      <c r="CW17" s="202">
        <f t="shared" si="11"/>
        <v>19201.523793976001</v>
      </c>
      <c r="CX17" s="202">
        <f t="shared" si="11"/>
        <v>19201.523793976001</v>
      </c>
      <c r="CY17" s="202">
        <f t="shared" si="11"/>
        <v>19201.523793976001</v>
      </c>
      <c r="CZ17" s="202">
        <f t="shared" si="11"/>
        <v>19201.523793976001</v>
      </c>
      <c r="DA17" s="202">
        <f t="shared" si="11"/>
        <v>19201.523793976001</v>
      </c>
    </row>
    <row r="18" spans="1:105">
      <c r="A18" s="199" t="s">
        <v>73</v>
      </c>
      <c r="B18" s="201">
        <f>Income!B90</f>
        <v>28392.937127309335</v>
      </c>
      <c r="C18" s="201">
        <f>Income!C90</f>
        <v>28392.937127309335</v>
      </c>
      <c r="D18" s="201">
        <f>Income!D90</f>
        <v>28392.937127309335</v>
      </c>
      <c r="E18" s="201">
        <f>Income!E90</f>
        <v>28392.937127309335</v>
      </c>
      <c r="F18" s="202">
        <f t="shared" ref="F18:U18" si="12">IF(F$2&lt;=($B$2+$C$2+$D$2),IF(F$2&lt;=($B$2+$C$2),IF(F$2&lt;=$B$2,$B18,$C18),$D18),$E18)</f>
        <v>28392.937127309335</v>
      </c>
      <c r="G18" s="202">
        <f t="shared" si="12"/>
        <v>28392.937127309335</v>
      </c>
      <c r="H18" s="202">
        <f t="shared" si="12"/>
        <v>28392.937127309335</v>
      </c>
      <c r="I18" s="202">
        <f t="shared" si="12"/>
        <v>28392.937127309335</v>
      </c>
      <c r="J18" s="202">
        <f t="shared" si="12"/>
        <v>28392.937127309335</v>
      </c>
      <c r="K18" s="202">
        <f t="shared" si="12"/>
        <v>28392.937127309335</v>
      </c>
      <c r="L18" s="202">
        <f t="shared" si="12"/>
        <v>28392.937127309335</v>
      </c>
      <c r="M18" s="202">
        <f t="shared" si="12"/>
        <v>28392.937127309335</v>
      </c>
      <c r="N18" s="202">
        <f t="shared" si="12"/>
        <v>28392.937127309335</v>
      </c>
      <c r="O18" s="202">
        <f t="shared" si="12"/>
        <v>28392.937127309335</v>
      </c>
      <c r="P18" s="202">
        <f t="shared" si="12"/>
        <v>28392.937127309335</v>
      </c>
      <c r="Q18" s="202">
        <f t="shared" si="12"/>
        <v>28392.937127309335</v>
      </c>
      <c r="R18" s="202">
        <f t="shared" si="12"/>
        <v>28392.937127309335</v>
      </c>
      <c r="S18" s="202">
        <f t="shared" si="12"/>
        <v>28392.937127309335</v>
      </c>
      <c r="T18" s="202">
        <f t="shared" si="12"/>
        <v>28392.937127309335</v>
      </c>
      <c r="U18" s="202">
        <f t="shared" si="12"/>
        <v>28392.937127309335</v>
      </c>
      <c r="V18" s="202">
        <f t="shared" si="6"/>
        <v>28392.937127309335</v>
      </c>
      <c r="W18" s="202">
        <f t="shared" si="6"/>
        <v>28392.937127309335</v>
      </c>
      <c r="X18" s="202">
        <f t="shared" si="6"/>
        <v>28392.937127309335</v>
      </c>
      <c r="Y18" s="202">
        <f t="shared" si="6"/>
        <v>28392.937127309335</v>
      </c>
      <c r="Z18" s="202">
        <f t="shared" si="6"/>
        <v>28392.937127309335</v>
      </c>
      <c r="AA18" s="202">
        <f t="shared" si="6"/>
        <v>28392.937127309335</v>
      </c>
      <c r="AB18" s="202">
        <f t="shared" si="6"/>
        <v>28392.937127309335</v>
      </c>
      <c r="AC18" s="202">
        <f t="shared" si="6"/>
        <v>28392.937127309335</v>
      </c>
      <c r="AD18" s="202">
        <f t="shared" si="6"/>
        <v>28392.937127309335</v>
      </c>
      <c r="AE18" s="202">
        <f t="shared" si="6"/>
        <v>28392.937127309335</v>
      </c>
      <c r="AF18" s="202">
        <f t="shared" si="6"/>
        <v>28392.937127309335</v>
      </c>
      <c r="AG18" s="202">
        <f t="shared" si="6"/>
        <v>28392.937127309335</v>
      </c>
      <c r="AH18" s="202">
        <f t="shared" si="6"/>
        <v>28392.937127309335</v>
      </c>
      <c r="AI18" s="202">
        <f t="shared" si="6"/>
        <v>28392.937127309335</v>
      </c>
      <c r="AJ18" s="202">
        <f t="shared" si="6"/>
        <v>28392.937127309335</v>
      </c>
      <c r="AK18" s="202">
        <f t="shared" si="6"/>
        <v>28392.937127309335</v>
      </c>
      <c r="AL18" s="202">
        <f t="shared" si="7"/>
        <v>28392.937127309335</v>
      </c>
      <c r="AM18" s="202">
        <f t="shared" si="7"/>
        <v>28392.937127309335</v>
      </c>
      <c r="AN18" s="202">
        <f t="shared" si="7"/>
        <v>28392.937127309335</v>
      </c>
      <c r="AO18" s="202">
        <f t="shared" si="7"/>
        <v>28392.937127309335</v>
      </c>
      <c r="AP18" s="202">
        <f t="shared" si="7"/>
        <v>28392.937127309335</v>
      </c>
      <c r="AQ18" s="202">
        <f t="shared" si="7"/>
        <v>28392.937127309335</v>
      </c>
      <c r="AR18" s="202">
        <f t="shared" si="7"/>
        <v>28392.937127309335</v>
      </c>
      <c r="AS18" s="202">
        <f t="shared" si="7"/>
        <v>28392.937127309335</v>
      </c>
      <c r="AT18" s="202">
        <f t="shared" si="7"/>
        <v>28392.937127309335</v>
      </c>
      <c r="AU18" s="202">
        <f t="shared" si="7"/>
        <v>28392.937127309335</v>
      </c>
      <c r="AV18" s="202">
        <f t="shared" si="7"/>
        <v>28392.937127309335</v>
      </c>
      <c r="AW18" s="202">
        <f t="shared" si="7"/>
        <v>28392.937127309335</v>
      </c>
      <c r="AX18" s="202">
        <f t="shared" si="8"/>
        <v>28392.937127309335</v>
      </c>
      <c r="AY18" s="202">
        <f t="shared" si="8"/>
        <v>28392.937127309335</v>
      </c>
      <c r="AZ18" s="202">
        <f t="shared" si="8"/>
        <v>28392.937127309335</v>
      </c>
      <c r="BA18" s="202">
        <f t="shared" si="8"/>
        <v>28392.937127309335</v>
      </c>
      <c r="BB18" s="202">
        <f t="shared" si="8"/>
        <v>28392.937127309335</v>
      </c>
      <c r="BC18" s="202">
        <f t="shared" si="8"/>
        <v>28392.937127309335</v>
      </c>
      <c r="BD18" s="202">
        <f t="shared" si="8"/>
        <v>28392.937127309335</v>
      </c>
      <c r="BE18" s="202">
        <f t="shared" si="8"/>
        <v>28392.937127309335</v>
      </c>
      <c r="BF18" s="202">
        <f t="shared" si="8"/>
        <v>28392.937127309335</v>
      </c>
      <c r="BG18" s="202">
        <f t="shared" si="8"/>
        <v>28392.937127309335</v>
      </c>
      <c r="BH18" s="202">
        <f t="shared" si="8"/>
        <v>28392.937127309335</v>
      </c>
      <c r="BI18" s="202">
        <f t="shared" si="8"/>
        <v>28392.937127309335</v>
      </c>
      <c r="BJ18" s="202">
        <f t="shared" si="8"/>
        <v>28392.937127309335</v>
      </c>
      <c r="BK18" s="202">
        <f t="shared" si="8"/>
        <v>28392.937127309335</v>
      </c>
      <c r="BL18" s="202">
        <f t="shared" ref="BL18:BZ18" si="13">IF(BL$2&lt;=($B$2+$C$2+$D$2),IF(BL$2&lt;=($B$2+$C$2),IF(BL$2&lt;=$B$2,$B18,$C18),$D18),$E18)</f>
        <v>28392.937127309335</v>
      </c>
      <c r="BM18" s="202">
        <f t="shared" si="13"/>
        <v>28392.937127309335</v>
      </c>
      <c r="BN18" s="202">
        <f t="shared" si="13"/>
        <v>28392.937127309335</v>
      </c>
      <c r="BO18" s="202">
        <f t="shared" si="13"/>
        <v>28392.937127309335</v>
      </c>
      <c r="BP18" s="202">
        <f t="shared" si="13"/>
        <v>28392.937127309335</v>
      </c>
      <c r="BQ18" s="202">
        <f t="shared" si="13"/>
        <v>28392.937127309335</v>
      </c>
      <c r="BR18" s="202">
        <f t="shared" si="13"/>
        <v>28392.937127309335</v>
      </c>
      <c r="BS18" s="202">
        <f t="shared" si="13"/>
        <v>28392.937127309335</v>
      </c>
      <c r="BT18" s="202">
        <f t="shared" si="13"/>
        <v>28392.937127309335</v>
      </c>
      <c r="BU18" s="202">
        <f t="shared" si="13"/>
        <v>28392.937127309335</v>
      </c>
      <c r="BV18" s="202">
        <f t="shared" si="13"/>
        <v>28392.937127309335</v>
      </c>
      <c r="BW18" s="202">
        <f t="shared" si="13"/>
        <v>28392.937127309335</v>
      </c>
      <c r="BX18" s="202">
        <f t="shared" si="13"/>
        <v>28392.937127309335</v>
      </c>
      <c r="BY18" s="202">
        <f t="shared" si="13"/>
        <v>28392.937127309335</v>
      </c>
      <c r="BZ18" s="202">
        <f t="shared" si="13"/>
        <v>28392.937127309335</v>
      </c>
      <c r="CA18" s="202">
        <f t="shared" si="10"/>
        <v>28392.937127309335</v>
      </c>
      <c r="CB18" s="202">
        <f t="shared" si="10"/>
        <v>28392.937127309335</v>
      </c>
      <c r="CC18" s="202">
        <f t="shared" si="9"/>
        <v>28392.937127309335</v>
      </c>
      <c r="CD18" s="202">
        <f t="shared" si="9"/>
        <v>28392.937127309335</v>
      </c>
      <c r="CE18" s="202">
        <f t="shared" si="9"/>
        <v>28392.937127309335</v>
      </c>
      <c r="CF18" s="202">
        <f t="shared" si="9"/>
        <v>28392.937127309335</v>
      </c>
      <c r="CG18" s="202">
        <f t="shared" si="9"/>
        <v>28392.937127309335</v>
      </c>
      <c r="CH18" s="202">
        <f t="shared" si="9"/>
        <v>28392.937127309335</v>
      </c>
      <c r="CI18" s="202">
        <f t="shared" si="9"/>
        <v>28392.937127309335</v>
      </c>
      <c r="CJ18" s="202">
        <f t="shared" si="9"/>
        <v>28392.937127309335</v>
      </c>
      <c r="CK18" s="202">
        <f t="shared" si="9"/>
        <v>28392.937127309335</v>
      </c>
      <c r="CL18" s="202">
        <f t="shared" si="9"/>
        <v>28392.937127309335</v>
      </c>
      <c r="CM18" s="202">
        <f t="shared" si="9"/>
        <v>28392.937127309335</v>
      </c>
      <c r="CN18" s="202">
        <f t="shared" si="9"/>
        <v>28392.937127309335</v>
      </c>
      <c r="CO18" s="202">
        <f t="shared" si="9"/>
        <v>28392.937127309335</v>
      </c>
      <c r="CP18" s="202">
        <f t="shared" si="9"/>
        <v>28392.937127309335</v>
      </c>
      <c r="CQ18" s="202">
        <f t="shared" si="9"/>
        <v>28392.937127309335</v>
      </c>
      <c r="CR18" s="202">
        <f t="shared" si="9"/>
        <v>28392.937127309335</v>
      </c>
      <c r="CS18" s="202">
        <f t="shared" si="11"/>
        <v>28392.937127309335</v>
      </c>
      <c r="CT18" s="202">
        <f t="shared" si="11"/>
        <v>28392.937127309335</v>
      </c>
      <c r="CU18" s="202">
        <f t="shared" si="11"/>
        <v>28392.937127309335</v>
      </c>
      <c r="CV18" s="202">
        <f t="shared" si="11"/>
        <v>28392.937127309335</v>
      </c>
      <c r="CW18" s="202">
        <f t="shared" si="11"/>
        <v>28392.937127309335</v>
      </c>
      <c r="CX18" s="202">
        <f t="shared" si="11"/>
        <v>28392.937127309335</v>
      </c>
      <c r="CY18" s="202">
        <f t="shared" si="11"/>
        <v>28392.937127309335</v>
      </c>
      <c r="CZ18" s="202">
        <f t="shared" si="11"/>
        <v>28392.937127309335</v>
      </c>
      <c r="DA18" s="202">
        <f t="shared" si="11"/>
        <v>28392.937127309335</v>
      </c>
    </row>
    <row r="19" spans="1:105">
      <c r="A19" s="199" t="s">
        <v>96</v>
      </c>
      <c r="F19" s="199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199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199" t="str">
        <f t="shared" si="14"/>
        <v/>
      </c>
      <c r="I19" s="199" t="str">
        <f t="shared" si="14"/>
        <v/>
      </c>
      <c r="J19" s="199" t="str">
        <f t="shared" si="14"/>
        <v/>
      </c>
      <c r="K19" s="199" t="str">
        <f t="shared" si="14"/>
        <v/>
      </c>
      <c r="L19" s="199" t="str">
        <f t="shared" si="14"/>
        <v/>
      </c>
      <c r="M19" s="199" t="str">
        <f t="shared" si="14"/>
        <v/>
      </c>
      <c r="N19" s="199" t="str">
        <f t="shared" si="14"/>
        <v/>
      </c>
      <c r="O19" s="199" t="str">
        <f t="shared" si="14"/>
        <v/>
      </c>
      <c r="P19" s="199">
        <f t="shared" si="14"/>
        <v>30016.778563707263</v>
      </c>
      <c r="Q19" s="199">
        <f t="shared" si="14"/>
        <v>30807.940803079979</v>
      </c>
      <c r="R19" s="199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199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199">
        <f t="shared" si="14"/>
        <v>33181.427521198129</v>
      </c>
      <c r="U19" s="199">
        <f t="shared" si="14"/>
        <v>33972.589760570845</v>
      </c>
      <c r="V19" s="199">
        <f t="shared" si="14"/>
        <v>34763.751999943561</v>
      </c>
      <c r="W19" s="199">
        <f t="shared" si="14"/>
        <v>35554.914239316284</v>
      </c>
      <c r="X19" s="199">
        <f t="shared" si="14"/>
        <v>36346.076478688999</v>
      </c>
      <c r="Y19" s="199">
        <f t="shared" si="14"/>
        <v>37137.238718061715</v>
      </c>
      <c r="Z19" s="199">
        <f t="shared" si="14"/>
        <v>37928.400957434431</v>
      </c>
      <c r="AA19" s="199">
        <f t="shared" si="14"/>
        <v>38719.563196807154</v>
      </c>
      <c r="AB19" s="199">
        <f t="shared" si="14"/>
        <v>39510.72543617987</v>
      </c>
      <c r="AC19" s="199">
        <f t="shared" si="14"/>
        <v>40301.887675552585</v>
      </c>
      <c r="AD19" s="199">
        <f t="shared" si="14"/>
        <v>41093.049914925301</v>
      </c>
      <c r="AE19" s="199">
        <f t="shared" si="14"/>
        <v>41884.212154298017</v>
      </c>
      <c r="AF19" s="199">
        <f t="shared" si="14"/>
        <v>42675.374393670732</v>
      </c>
      <c r="AG19" s="199">
        <f t="shared" si="14"/>
        <v>43466.536633043448</v>
      </c>
      <c r="AH19" s="199">
        <f t="shared" si="14"/>
        <v>44257.698872416164</v>
      </c>
      <c r="AI19" s="199">
        <f t="shared" si="14"/>
        <v>45048.861111788887</v>
      </c>
      <c r="AJ19" s="199">
        <f t="shared" si="14"/>
        <v>45840.023351161602</v>
      </c>
      <c r="AK19" s="199">
        <f t="shared" si="14"/>
        <v>46612.240998713532</v>
      </c>
      <c r="AL19" s="199">
        <f t="shared" si="14"/>
        <v>47384.45864626547</v>
      </c>
      <c r="AM19" s="199">
        <f t="shared" si="14"/>
        <v>48156.6762938174</v>
      </c>
      <c r="AN19" s="199">
        <f t="shared" si="14"/>
        <v>48928.893941369337</v>
      </c>
      <c r="AO19" s="199">
        <f t="shared" si="14"/>
        <v>49701.111588921267</v>
      </c>
      <c r="AP19" s="199">
        <f t="shared" si="14"/>
        <v>50473.329236473204</v>
      </c>
      <c r="AQ19" s="199">
        <f t="shared" si="14"/>
        <v>51245.546884025134</v>
      </c>
      <c r="AR19" s="199">
        <f t="shared" si="14"/>
        <v>52017.764531577064</v>
      </c>
      <c r="AS19" s="199">
        <f t="shared" si="14"/>
        <v>52789.982179129001</v>
      </c>
      <c r="AT19" s="199">
        <f t="shared" si="14"/>
        <v>53562.199826680931</v>
      </c>
      <c r="AU19" s="199">
        <f t="shared" si="14"/>
        <v>54334.417474232861</v>
      </c>
      <c r="AV19" s="199">
        <f t="shared" si="14"/>
        <v>55106.635121784799</v>
      </c>
      <c r="AW19" s="199">
        <f t="shared" si="14"/>
        <v>55878.852769336729</v>
      </c>
      <c r="AX19" s="199">
        <f t="shared" si="14"/>
        <v>56651.070416888666</v>
      </c>
      <c r="AY19" s="199">
        <f t="shared" si="14"/>
        <v>57423.288064440596</v>
      </c>
      <c r="AZ19" s="199">
        <f t="shared" si="14"/>
        <v>58195.505711992533</v>
      </c>
      <c r="BA19" s="199">
        <f t="shared" si="14"/>
        <v>58967.723359544463</v>
      </c>
      <c r="BB19" s="199">
        <f t="shared" si="14"/>
        <v>59739.941007096393</v>
      </c>
      <c r="BC19" s="199">
        <f t="shared" si="14"/>
        <v>60512.15865464833</v>
      </c>
      <c r="BD19" s="199">
        <f t="shared" si="14"/>
        <v>61284.37630220026</v>
      </c>
      <c r="BE19" s="199">
        <f t="shared" si="14"/>
        <v>62892.862360126775</v>
      </c>
      <c r="BF19" s="199">
        <f t="shared" si="14"/>
        <v>64501.348418053291</v>
      </c>
      <c r="BG19" s="199">
        <f t="shared" si="14"/>
        <v>66109.834475979806</v>
      </c>
      <c r="BH19" s="199">
        <f t="shared" si="14"/>
        <v>67718.320533906328</v>
      </c>
      <c r="BI19" s="199">
        <f t="shared" si="14"/>
        <v>69326.806591832836</v>
      </c>
      <c r="BJ19" s="199">
        <f t="shared" si="14"/>
        <v>70935.292649759358</v>
      </c>
      <c r="BK19" s="199">
        <f t="shared" si="14"/>
        <v>72543.778707685866</v>
      </c>
      <c r="BL19" s="199">
        <f t="shared" si="14"/>
        <v>74152.264765612388</v>
      </c>
      <c r="BM19" s="199">
        <f t="shared" si="14"/>
        <v>75760.750823538896</v>
      </c>
      <c r="BN19" s="199">
        <f t="shared" si="14"/>
        <v>77369.236881465418</v>
      </c>
      <c r="BO19" s="199">
        <f t="shared" si="14"/>
        <v>78977.722939391926</v>
      </c>
      <c r="BP19" s="199">
        <f t="shared" si="14"/>
        <v>80586.208997318448</v>
      </c>
      <c r="BQ19" s="199">
        <f t="shared" si="14"/>
        <v>82194.695055244956</v>
      </c>
      <c r="BR19" s="199">
        <f t="shared" si="14"/>
        <v>83803.181113171479</v>
      </c>
      <c r="BS19" s="199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199">
        <f t="shared" si="15"/>
        <v>87020.153229024509</v>
      </c>
      <c r="BU19" s="199">
        <f t="shared" si="15"/>
        <v>88628.639286951016</v>
      </c>
      <c r="BV19" s="199">
        <f t="shared" si="15"/>
        <v>90237.125344877539</v>
      </c>
      <c r="BW19" s="199">
        <f t="shared" si="15"/>
        <v>91845.611402804061</v>
      </c>
      <c r="BX19" s="199" t="str">
        <f t="shared" si="15"/>
        <v/>
      </c>
      <c r="BY19" s="199" t="str">
        <f t="shared" si="15"/>
        <v/>
      </c>
      <c r="BZ19" s="199" t="str">
        <f t="shared" si="15"/>
        <v/>
      </c>
      <c r="CA19" s="199" t="str">
        <f t="shared" si="15"/>
        <v/>
      </c>
      <c r="CB19" s="199" t="str">
        <f t="shared" si="15"/>
        <v/>
      </c>
      <c r="CC19" s="199" t="str">
        <f t="shared" si="15"/>
        <v/>
      </c>
      <c r="CD19" s="199" t="str">
        <f t="shared" si="15"/>
        <v/>
      </c>
      <c r="CE19" s="199" t="str">
        <f t="shared" si="15"/>
        <v/>
      </c>
      <c r="CF19" s="199" t="str">
        <f t="shared" si="15"/>
        <v/>
      </c>
      <c r="CG19" s="199" t="str">
        <f t="shared" si="15"/>
        <v/>
      </c>
      <c r="CH19" s="199" t="str">
        <f t="shared" si="15"/>
        <v/>
      </c>
      <c r="CI19" s="199" t="str">
        <f t="shared" si="15"/>
        <v/>
      </c>
      <c r="CJ19" s="199" t="str">
        <f t="shared" si="15"/>
        <v/>
      </c>
      <c r="CK19" s="199" t="str">
        <f t="shared" si="15"/>
        <v/>
      </c>
      <c r="CL19" s="199" t="str">
        <f t="shared" si="15"/>
        <v/>
      </c>
      <c r="CM19" s="199" t="str">
        <f t="shared" si="15"/>
        <v/>
      </c>
      <c r="CN19" s="199" t="str">
        <f t="shared" si="15"/>
        <v/>
      </c>
      <c r="CO19" s="199" t="str">
        <f t="shared" si="15"/>
        <v/>
      </c>
      <c r="CP19" s="199" t="str">
        <f t="shared" si="15"/>
        <v/>
      </c>
      <c r="CQ19" s="199" t="str">
        <f t="shared" si="15"/>
        <v/>
      </c>
      <c r="CR19" s="199" t="str">
        <f t="shared" si="15"/>
        <v/>
      </c>
      <c r="CS19" s="199" t="str">
        <f t="shared" si="15"/>
        <v/>
      </c>
      <c r="CT19" s="199" t="str">
        <f t="shared" si="15"/>
        <v/>
      </c>
      <c r="CU19" s="199" t="str">
        <f t="shared" si="15"/>
        <v/>
      </c>
      <c r="CV19" s="199" t="str">
        <f t="shared" si="15"/>
        <v/>
      </c>
      <c r="CW19" s="199" t="str">
        <f t="shared" si="15"/>
        <v/>
      </c>
      <c r="CX19" s="199" t="str">
        <f t="shared" si="15"/>
        <v/>
      </c>
      <c r="CY19" s="199" t="str">
        <f t="shared" si="15"/>
        <v/>
      </c>
      <c r="CZ19" s="199" t="str">
        <f t="shared" si="15"/>
        <v/>
      </c>
      <c r="DA19" s="199" t="str">
        <f t="shared" si="15"/>
        <v/>
      </c>
    </row>
    <row r="21" spans="1:105">
      <c r="B21" s="199" t="s">
        <v>77</v>
      </c>
      <c r="C21" s="199" t="s">
        <v>76</v>
      </c>
      <c r="D21" s="199" t="s">
        <v>78</v>
      </c>
      <c r="E21" s="199" t="s">
        <v>79</v>
      </c>
    </row>
    <row r="22" spans="1:105">
      <c r="B22" s="203">
        <f>B2*100</f>
        <v>20</v>
      </c>
      <c r="C22" s="203">
        <f>C2*100</f>
        <v>20</v>
      </c>
      <c r="D22" s="203">
        <f>D2*100</f>
        <v>20</v>
      </c>
      <c r="E22" s="203">
        <f>E2*100</f>
        <v>20</v>
      </c>
      <c r="F22" s="203">
        <v>0</v>
      </c>
      <c r="G22" s="203">
        <v>1</v>
      </c>
      <c r="H22" s="203">
        <v>2</v>
      </c>
      <c r="I22" s="203">
        <v>3</v>
      </c>
      <c r="J22" s="203">
        <v>4</v>
      </c>
      <c r="K22" s="203">
        <v>5</v>
      </c>
      <c r="L22" s="203">
        <v>6</v>
      </c>
      <c r="M22" s="203">
        <v>7</v>
      </c>
      <c r="N22" s="203">
        <v>8</v>
      </c>
      <c r="O22" s="203">
        <v>9</v>
      </c>
      <c r="P22" s="203">
        <v>10</v>
      </c>
      <c r="Q22" s="203">
        <v>11</v>
      </c>
      <c r="R22" s="203">
        <v>12</v>
      </c>
      <c r="S22" s="203">
        <v>13</v>
      </c>
      <c r="T22" s="203">
        <v>14</v>
      </c>
      <c r="U22" s="203">
        <v>15</v>
      </c>
      <c r="V22" s="203">
        <v>16</v>
      </c>
      <c r="W22" s="203">
        <v>17</v>
      </c>
      <c r="X22" s="203">
        <v>18</v>
      </c>
      <c r="Y22" s="203">
        <v>19</v>
      </c>
      <c r="Z22" s="203">
        <v>20</v>
      </c>
      <c r="AA22" s="203">
        <v>21</v>
      </c>
      <c r="AB22" s="203">
        <v>22</v>
      </c>
      <c r="AC22" s="203">
        <v>23</v>
      </c>
      <c r="AD22" s="203">
        <v>24</v>
      </c>
      <c r="AE22" s="203">
        <v>25</v>
      </c>
      <c r="AF22" s="203">
        <v>26</v>
      </c>
      <c r="AG22" s="203">
        <v>27</v>
      </c>
      <c r="AH22" s="203">
        <v>28</v>
      </c>
      <c r="AI22" s="203">
        <v>29</v>
      </c>
      <c r="AJ22" s="203">
        <v>30</v>
      </c>
      <c r="AK22" s="203">
        <v>31</v>
      </c>
      <c r="AL22" s="203">
        <v>32</v>
      </c>
      <c r="AM22" s="203">
        <v>33</v>
      </c>
      <c r="AN22" s="203">
        <v>34</v>
      </c>
      <c r="AO22" s="203">
        <v>35</v>
      </c>
      <c r="AP22" s="203">
        <v>36</v>
      </c>
      <c r="AQ22" s="203">
        <v>37</v>
      </c>
      <c r="AR22" s="203">
        <v>38</v>
      </c>
      <c r="AS22" s="203">
        <v>39</v>
      </c>
      <c r="AT22" s="203">
        <v>40</v>
      </c>
      <c r="AU22" s="203">
        <v>41</v>
      </c>
      <c r="AV22" s="203">
        <v>42</v>
      </c>
      <c r="AW22" s="203">
        <v>43</v>
      </c>
      <c r="AX22" s="203">
        <v>44</v>
      </c>
      <c r="AY22" s="203">
        <v>45</v>
      </c>
      <c r="AZ22" s="203">
        <v>46</v>
      </c>
      <c r="BA22" s="203">
        <v>47</v>
      </c>
      <c r="BB22" s="203">
        <v>48</v>
      </c>
      <c r="BC22" s="203">
        <v>49</v>
      </c>
      <c r="BD22" s="203">
        <v>50</v>
      </c>
      <c r="BE22" s="203">
        <v>51</v>
      </c>
      <c r="BF22" s="203">
        <v>52</v>
      </c>
      <c r="BG22" s="203">
        <v>53</v>
      </c>
      <c r="BH22" s="203">
        <v>54</v>
      </c>
      <c r="BI22" s="203">
        <v>55</v>
      </c>
      <c r="BJ22" s="203">
        <v>56</v>
      </c>
      <c r="BK22" s="203">
        <v>57</v>
      </c>
      <c r="BL22" s="203">
        <v>58</v>
      </c>
      <c r="BM22" s="203">
        <v>59</v>
      </c>
      <c r="BN22" s="203">
        <v>60</v>
      </c>
      <c r="BO22" s="203">
        <v>61</v>
      </c>
      <c r="BP22" s="203">
        <v>62</v>
      </c>
      <c r="BQ22" s="203">
        <v>63</v>
      </c>
      <c r="BR22" s="203">
        <v>64</v>
      </c>
      <c r="BS22" s="203">
        <v>65</v>
      </c>
      <c r="BT22" s="203">
        <v>66</v>
      </c>
      <c r="BU22" s="203">
        <v>67</v>
      </c>
      <c r="BV22" s="203">
        <v>68</v>
      </c>
      <c r="BW22" s="203">
        <v>69</v>
      </c>
      <c r="BX22" s="203">
        <v>70</v>
      </c>
      <c r="BY22" s="203">
        <v>71</v>
      </c>
      <c r="BZ22" s="203">
        <v>72</v>
      </c>
      <c r="CA22" s="203">
        <v>73</v>
      </c>
      <c r="CB22" s="203">
        <v>74</v>
      </c>
      <c r="CC22" s="203">
        <v>75</v>
      </c>
      <c r="CD22" s="203">
        <v>76</v>
      </c>
      <c r="CE22" s="203">
        <v>77</v>
      </c>
      <c r="CF22" s="203">
        <v>78</v>
      </c>
      <c r="CG22" s="203">
        <v>79</v>
      </c>
      <c r="CH22" s="203">
        <v>80</v>
      </c>
      <c r="CI22" s="203">
        <v>81</v>
      </c>
      <c r="CJ22" s="203">
        <v>82</v>
      </c>
      <c r="CK22" s="203">
        <v>83</v>
      </c>
      <c r="CL22" s="203">
        <v>84</v>
      </c>
      <c r="CM22" s="203">
        <v>85</v>
      </c>
      <c r="CN22" s="203">
        <v>86</v>
      </c>
      <c r="CO22" s="203">
        <v>87</v>
      </c>
      <c r="CP22" s="203">
        <v>88</v>
      </c>
      <c r="CQ22" s="203">
        <v>89</v>
      </c>
      <c r="CR22" s="203">
        <v>90</v>
      </c>
      <c r="CS22" s="203">
        <v>91</v>
      </c>
      <c r="CT22" s="203">
        <v>92</v>
      </c>
      <c r="CU22" s="203">
        <v>93</v>
      </c>
      <c r="CV22" s="203">
        <v>94</v>
      </c>
      <c r="CW22" s="203">
        <v>95</v>
      </c>
      <c r="CX22" s="203">
        <v>96</v>
      </c>
      <c r="CY22" s="203">
        <v>97</v>
      </c>
      <c r="CZ22" s="203">
        <v>98</v>
      </c>
      <c r="DA22" s="203">
        <v>99</v>
      </c>
    </row>
    <row r="23" spans="1:105">
      <c r="B23" s="204">
        <f>SUM($B22:B22)</f>
        <v>20</v>
      </c>
      <c r="C23" s="204">
        <f>SUM($B22:C22)</f>
        <v>40</v>
      </c>
      <c r="D23" s="204">
        <f>SUM($B22:D22)</f>
        <v>60</v>
      </c>
      <c r="E23" s="204">
        <f>SUM($B22:E22)</f>
        <v>80</v>
      </c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  <c r="BD23" s="205"/>
      <c r="BE23" s="205"/>
      <c r="BF23" s="205"/>
      <c r="BG23" s="205"/>
      <c r="BH23" s="205"/>
      <c r="BI23" s="205"/>
      <c r="BJ23" s="205"/>
      <c r="BK23" s="205"/>
      <c r="BL23" s="205"/>
      <c r="BM23" s="205"/>
      <c r="BN23" s="205"/>
      <c r="BO23" s="205"/>
      <c r="BP23" s="205"/>
      <c r="BQ23" s="205"/>
      <c r="BR23" s="205"/>
      <c r="BS23" s="205"/>
      <c r="BT23" s="205"/>
      <c r="BU23" s="205"/>
      <c r="BV23" s="205"/>
      <c r="BW23" s="205"/>
      <c r="BX23" s="205"/>
      <c r="BY23" s="205"/>
      <c r="BZ23" s="205"/>
      <c r="CA23" s="205"/>
      <c r="CB23" s="205"/>
      <c r="CC23" s="205"/>
      <c r="CD23" s="205"/>
      <c r="CE23" s="205"/>
      <c r="CF23" s="205"/>
      <c r="CG23" s="205"/>
      <c r="CH23" s="205"/>
      <c r="CI23" s="205"/>
      <c r="CJ23" s="205"/>
      <c r="CK23" s="205"/>
      <c r="CL23" s="205"/>
      <c r="CM23" s="205"/>
      <c r="CN23" s="205"/>
      <c r="CO23" s="205"/>
      <c r="CP23" s="205"/>
      <c r="CQ23" s="205"/>
      <c r="CR23" s="205"/>
      <c r="CS23" s="205"/>
      <c r="CT23" s="205"/>
      <c r="CU23" s="205"/>
      <c r="CV23" s="205"/>
      <c r="CW23" s="205"/>
      <c r="CX23" s="205"/>
      <c r="CY23" s="205"/>
      <c r="CZ23" s="205"/>
      <c r="DA23" s="205"/>
    </row>
    <row r="24" spans="1:105">
      <c r="B24" s="206">
        <f>A23+(B23-A23)/2</f>
        <v>10</v>
      </c>
      <c r="C24" s="206">
        <f>B23+(C23-B23)/2</f>
        <v>30</v>
      </c>
      <c r="D24" s="206">
        <f>C23+(D23-C23)/2</f>
        <v>50</v>
      </c>
      <c r="E24" s="206">
        <f>D23+(E23-D23)/2</f>
        <v>70</v>
      </c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</row>
    <row r="25" spans="1:105">
      <c r="A25" s="199" t="str">
        <f>Income!A72</f>
        <v>Own crops Consumed</v>
      </c>
      <c r="B25" s="201">
        <f>Income!B72</f>
        <v>0</v>
      </c>
      <c r="C25" s="201">
        <f>Income!C72</f>
        <v>0</v>
      </c>
      <c r="D25" s="201">
        <f>Income!D72</f>
        <v>0</v>
      </c>
      <c r="E25" s="201">
        <f>Income!E72</f>
        <v>0</v>
      </c>
      <c r="F25" s="208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8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8">
        <f t="shared" si="16"/>
        <v>0</v>
      </c>
      <c r="I25" s="208">
        <f t="shared" si="16"/>
        <v>0</v>
      </c>
      <c r="J25" s="208">
        <f t="shared" si="16"/>
        <v>0</v>
      </c>
      <c r="K25" s="208">
        <f t="shared" si="16"/>
        <v>0</v>
      </c>
      <c r="L25" s="208">
        <f t="shared" si="16"/>
        <v>0</v>
      </c>
      <c r="M25" s="208">
        <f t="shared" si="16"/>
        <v>0</v>
      </c>
      <c r="N25" s="208">
        <f t="shared" si="16"/>
        <v>0</v>
      </c>
      <c r="O25" s="208">
        <f t="shared" si="16"/>
        <v>0</v>
      </c>
      <c r="P25" s="208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8">
        <f t="shared" si="17"/>
        <v>0</v>
      </c>
      <c r="R25" s="208">
        <f t="shared" si="17"/>
        <v>0</v>
      </c>
      <c r="S25" s="208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8">
        <f t="shared" si="17"/>
        <v>0</v>
      </c>
      <c r="U25" s="208">
        <f t="shared" si="17"/>
        <v>0</v>
      </c>
      <c r="V25" s="208">
        <f t="shared" si="17"/>
        <v>0</v>
      </c>
      <c r="W25" s="208">
        <f t="shared" si="17"/>
        <v>0</v>
      </c>
      <c r="X25" s="208">
        <f t="shared" si="17"/>
        <v>0</v>
      </c>
      <c r="Y25" s="208">
        <f t="shared" si="17"/>
        <v>0</v>
      </c>
      <c r="Z25" s="208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8">
        <f t="shared" si="18"/>
        <v>0</v>
      </c>
      <c r="AB25" s="208">
        <f t="shared" si="18"/>
        <v>0</v>
      </c>
      <c r="AC25" s="208">
        <f t="shared" si="18"/>
        <v>0</v>
      </c>
      <c r="AD25" s="208">
        <f t="shared" si="18"/>
        <v>0</v>
      </c>
      <c r="AE25" s="208">
        <f t="shared" si="18"/>
        <v>0</v>
      </c>
      <c r="AF25" s="208">
        <f t="shared" si="18"/>
        <v>0</v>
      </c>
      <c r="AG25" s="208">
        <f t="shared" si="18"/>
        <v>0</v>
      </c>
      <c r="AH25" s="208">
        <f t="shared" si="18"/>
        <v>0</v>
      </c>
      <c r="AI25" s="208">
        <f t="shared" si="18"/>
        <v>0</v>
      </c>
      <c r="AJ25" s="208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8">
        <f t="shared" si="19"/>
        <v>0</v>
      </c>
      <c r="AL25" s="208">
        <f t="shared" si="19"/>
        <v>0</v>
      </c>
      <c r="AM25" s="208">
        <f t="shared" si="19"/>
        <v>0</v>
      </c>
      <c r="AN25" s="208">
        <f t="shared" si="19"/>
        <v>0</v>
      </c>
      <c r="AO25" s="208">
        <f t="shared" si="19"/>
        <v>0</v>
      </c>
      <c r="AP25" s="208">
        <f t="shared" si="19"/>
        <v>0</v>
      </c>
      <c r="AQ25" s="208">
        <f t="shared" si="19"/>
        <v>0</v>
      </c>
      <c r="AR25" s="208">
        <f t="shared" si="19"/>
        <v>0</v>
      </c>
      <c r="AS25" s="208">
        <f t="shared" si="19"/>
        <v>0</v>
      </c>
      <c r="AT25" s="208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8">
        <f t="shared" si="20"/>
        <v>0</v>
      </c>
      <c r="AV25" s="208">
        <f t="shared" si="20"/>
        <v>0</v>
      </c>
      <c r="AW25" s="208">
        <f t="shared" si="20"/>
        <v>0</v>
      </c>
      <c r="AX25" s="208">
        <f t="shared" si="20"/>
        <v>0</v>
      </c>
      <c r="AY25" s="208">
        <f t="shared" si="20"/>
        <v>0</v>
      </c>
      <c r="AZ25" s="208">
        <f t="shared" si="20"/>
        <v>0</v>
      </c>
      <c r="BA25" s="208">
        <f t="shared" si="20"/>
        <v>0</v>
      </c>
      <c r="BB25" s="208">
        <f t="shared" si="20"/>
        <v>0</v>
      </c>
      <c r="BC25" s="208">
        <f t="shared" si="20"/>
        <v>0</v>
      </c>
      <c r="BD25" s="208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8">
        <f t="shared" si="21"/>
        <v>0</v>
      </c>
      <c r="BF25" s="208">
        <f t="shared" si="21"/>
        <v>0</v>
      </c>
      <c r="BG25" s="208">
        <f t="shared" si="21"/>
        <v>0</v>
      </c>
      <c r="BH25" s="208">
        <f t="shared" si="21"/>
        <v>0</v>
      </c>
      <c r="BI25" s="208">
        <f t="shared" si="21"/>
        <v>0</v>
      </c>
      <c r="BJ25" s="208">
        <f t="shared" si="21"/>
        <v>0</v>
      </c>
      <c r="BK25" s="208">
        <f t="shared" si="21"/>
        <v>0</v>
      </c>
      <c r="BL25" s="208">
        <f t="shared" si="21"/>
        <v>0</v>
      </c>
      <c r="BM25" s="208">
        <f t="shared" si="21"/>
        <v>0</v>
      </c>
      <c r="BN25" s="208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8">
        <f t="shared" si="22"/>
        <v>0</v>
      </c>
      <c r="BP25" s="208">
        <f t="shared" si="22"/>
        <v>0</v>
      </c>
      <c r="BQ25" s="208">
        <f t="shared" si="22"/>
        <v>0</v>
      </c>
      <c r="BR25" s="208">
        <f t="shared" si="22"/>
        <v>0</v>
      </c>
      <c r="BS25" s="208">
        <f t="shared" si="22"/>
        <v>0</v>
      </c>
      <c r="BT25" s="208">
        <f t="shared" si="22"/>
        <v>0</v>
      </c>
      <c r="BU25" s="208">
        <f t="shared" si="22"/>
        <v>0</v>
      </c>
      <c r="BV25" s="208">
        <f t="shared" si="22"/>
        <v>0</v>
      </c>
      <c r="BW25" s="208">
        <f t="shared" si="22"/>
        <v>0</v>
      </c>
      <c r="BX25" s="208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8">
        <f t="shared" si="23"/>
        <v>0</v>
      </c>
      <c r="BZ25" s="208">
        <f t="shared" si="23"/>
        <v>0</v>
      </c>
      <c r="CA25" s="208">
        <f t="shared" si="23"/>
        <v>0</v>
      </c>
      <c r="CB25" s="208">
        <f t="shared" si="23"/>
        <v>0</v>
      </c>
      <c r="CC25" s="208">
        <f t="shared" si="23"/>
        <v>0</v>
      </c>
      <c r="CD25" s="208">
        <f t="shared" si="23"/>
        <v>0</v>
      </c>
      <c r="CE25" s="208">
        <f t="shared" si="23"/>
        <v>0</v>
      </c>
      <c r="CF25" s="208">
        <f t="shared" si="23"/>
        <v>0</v>
      </c>
      <c r="CG25" s="208">
        <f t="shared" si="23"/>
        <v>0</v>
      </c>
      <c r="CH25" s="208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8">
        <f t="shared" si="24"/>
        <v>0</v>
      </c>
      <c r="CJ25" s="208">
        <f t="shared" si="24"/>
        <v>0</v>
      </c>
      <c r="CK25" s="208">
        <f t="shared" si="24"/>
        <v>0</v>
      </c>
      <c r="CL25" s="208">
        <f t="shared" si="24"/>
        <v>0</v>
      </c>
      <c r="CM25" s="208">
        <f t="shared" si="24"/>
        <v>0</v>
      </c>
      <c r="CN25" s="208">
        <f t="shared" si="24"/>
        <v>0</v>
      </c>
      <c r="CO25" s="208">
        <f t="shared" si="24"/>
        <v>0</v>
      </c>
      <c r="CP25" s="208">
        <f t="shared" si="24"/>
        <v>0</v>
      </c>
      <c r="CQ25" s="208">
        <f t="shared" si="24"/>
        <v>0</v>
      </c>
      <c r="CR25" s="208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8">
        <f t="shared" si="25"/>
        <v>0</v>
      </c>
      <c r="CT25" s="208">
        <f t="shared" si="25"/>
        <v>0</v>
      </c>
      <c r="CU25" s="208">
        <f t="shared" si="25"/>
        <v>0</v>
      </c>
      <c r="CV25" s="208">
        <f t="shared" si="25"/>
        <v>0</v>
      </c>
      <c r="CW25" s="208">
        <f t="shared" si="25"/>
        <v>0</v>
      </c>
      <c r="CX25" s="208">
        <f t="shared" si="25"/>
        <v>0</v>
      </c>
      <c r="CY25" s="208">
        <f t="shared" si="25"/>
        <v>0</v>
      </c>
      <c r="CZ25" s="208">
        <f t="shared" si="25"/>
        <v>0</v>
      </c>
      <c r="DA25" s="208">
        <f t="shared" si="25"/>
        <v>0</v>
      </c>
    </row>
    <row r="26" spans="1:105">
      <c r="A26" s="199" t="str">
        <f>Income!A73</f>
        <v>Own crops sold</v>
      </c>
      <c r="B26" s="201">
        <f>Income!B73</f>
        <v>0</v>
      </c>
      <c r="C26" s="201">
        <f>Income!C73</f>
        <v>0</v>
      </c>
      <c r="D26" s="201">
        <f>Income!D73</f>
        <v>0</v>
      </c>
      <c r="E26" s="201">
        <f>Income!E73</f>
        <v>0</v>
      </c>
      <c r="F26" s="208">
        <f t="shared" si="16"/>
        <v>0</v>
      </c>
      <c r="G26" s="208">
        <f t="shared" si="16"/>
        <v>0</v>
      </c>
      <c r="H26" s="208">
        <f t="shared" si="16"/>
        <v>0</v>
      </c>
      <c r="I26" s="208">
        <f t="shared" si="16"/>
        <v>0</v>
      </c>
      <c r="J26" s="208">
        <f t="shared" si="16"/>
        <v>0</v>
      </c>
      <c r="K26" s="208">
        <f t="shared" si="16"/>
        <v>0</v>
      </c>
      <c r="L26" s="208">
        <f t="shared" si="16"/>
        <v>0</v>
      </c>
      <c r="M26" s="208">
        <f t="shared" si="16"/>
        <v>0</v>
      </c>
      <c r="N26" s="208">
        <f t="shared" si="16"/>
        <v>0</v>
      </c>
      <c r="O26" s="208">
        <f t="shared" si="16"/>
        <v>0</v>
      </c>
      <c r="P26" s="208">
        <f t="shared" si="17"/>
        <v>0</v>
      </c>
      <c r="Q26" s="208">
        <f t="shared" si="17"/>
        <v>0</v>
      </c>
      <c r="R26" s="208">
        <f t="shared" si="17"/>
        <v>0</v>
      </c>
      <c r="S26" s="208">
        <f t="shared" si="17"/>
        <v>0</v>
      </c>
      <c r="T26" s="208">
        <f t="shared" si="17"/>
        <v>0</v>
      </c>
      <c r="U26" s="208">
        <f t="shared" si="17"/>
        <v>0</v>
      </c>
      <c r="V26" s="208">
        <f t="shared" si="17"/>
        <v>0</v>
      </c>
      <c r="W26" s="208">
        <f t="shared" si="17"/>
        <v>0</v>
      </c>
      <c r="X26" s="208">
        <f t="shared" si="17"/>
        <v>0</v>
      </c>
      <c r="Y26" s="208">
        <f t="shared" si="17"/>
        <v>0</v>
      </c>
      <c r="Z26" s="208">
        <f t="shared" si="18"/>
        <v>0</v>
      </c>
      <c r="AA26" s="208">
        <f t="shared" si="18"/>
        <v>0</v>
      </c>
      <c r="AB26" s="208">
        <f t="shared" si="18"/>
        <v>0</v>
      </c>
      <c r="AC26" s="208">
        <f t="shared" si="18"/>
        <v>0</v>
      </c>
      <c r="AD26" s="208">
        <f t="shared" si="18"/>
        <v>0</v>
      </c>
      <c r="AE26" s="208">
        <f t="shared" si="18"/>
        <v>0</v>
      </c>
      <c r="AF26" s="208">
        <f t="shared" si="18"/>
        <v>0</v>
      </c>
      <c r="AG26" s="208">
        <f t="shared" si="18"/>
        <v>0</v>
      </c>
      <c r="AH26" s="208">
        <f t="shared" si="18"/>
        <v>0</v>
      </c>
      <c r="AI26" s="208">
        <f t="shared" si="18"/>
        <v>0</v>
      </c>
      <c r="AJ26" s="208">
        <f t="shared" si="19"/>
        <v>0</v>
      </c>
      <c r="AK26" s="208">
        <f t="shared" si="19"/>
        <v>0</v>
      </c>
      <c r="AL26" s="208">
        <f t="shared" si="19"/>
        <v>0</v>
      </c>
      <c r="AM26" s="208">
        <f t="shared" si="19"/>
        <v>0</v>
      </c>
      <c r="AN26" s="208">
        <f t="shared" si="19"/>
        <v>0</v>
      </c>
      <c r="AO26" s="208">
        <f t="shared" si="19"/>
        <v>0</v>
      </c>
      <c r="AP26" s="208">
        <f t="shared" si="19"/>
        <v>0</v>
      </c>
      <c r="AQ26" s="208">
        <f t="shared" si="19"/>
        <v>0</v>
      </c>
      <c r="AR26" s="208">
        <f t="shared" si="19"/>
        <v>0</v>
      </c>
      <c r="AS26" s="208">
        <f t="shared" si="19"/>
        <v>0</v>
      </c>
      <c r="AT26" s="208">
        <f t="shared" si="20"/>
        <v>0</v>
      </c>
      <c r="AU26" s="208">
        <f t="shared" si="20"/>
        <v>0</v>
      </c>
      <c r="AV26" s="208">
        <f t="shared" si="20"/>
        <v>0</v>
      </c>
      <c r="AW26" s="208">
        <f t="shared" si="20"/>
        <v>0</v>
      </c>
      <c r="AX26" s="208">
        <f t="shared" si="20"/>
        <v>0</v>
      </c>
      <c r="AY26" s="208">
        <f t="shared" si="20"/>
        <v>0</v>
      </c>
      <c r="AZ26" s="208">
        <f t="shared" si="20"/>
        <v>0</v>
      </c>
      <c r="BA26" s="208">
        <f t="shared" si="20"/>
        <v>0</v>
      </c>
      <c r="BB26" s="208">
        <f t="shared" si="20"/>
        <v>0</v>
      </c>
      <c r="BC26" s="208">
        <f t="shared" si="20"/>
        <v>0</v>
      </c>
      <c r="BD26" s="208">
        <f t="shared" si="21"/>
        <v>0</v>
      </c>
      <c r="BE26" s="208">
        <f t="shared" si="21"/>
        <v>0</v>
      </c>
      <c r="BF26" s="208">
        <f t="shared" si="21"/>
        <v>0</v>
      </c>
      <c r="BG26" s="208">
        <f t="shared" si="21"/>
        <v>0</v>
      </c>
      <c r="BH26" s="208">
        <f t="shared" si="21"/>
        <v>0</v>
      </c>
      <c r="BI26" s="208">
        <f t="shared" si="21"/>
        <v>0</v>
      </c>
      <c r="BJ26" s="208">
        <f t="shared" si="21"/>
        <v>0</v>
      </c>
      <c r="BK26" s="208">
        <f t="shared" si="21"/>
        <v>0</v>
      </c>
      <c r="BL26" s="208">
        <f t="shared" si="21"/>
        <v>0</v>
      </c>
      <c r="BM26" s="208">
        <f t="shared" si="21"/>
        <v>0</v>
      </c>
      <c r="BN26" s="208">
        <f t="shared" si="22"/>
        <v>0</v>
      </c>
      <c r="BO26" s="208">
        <f t="shared" si="22"/>
        <v>0</v>
      </c>
      <c r="BP26" s="208">
        <f t="shared" si="22"/>
        <v>0</v>
      </c>
      <c r="BQ26" s="208">
        <f t="shared" si="22"/>
        <v>0</v>
      </c>
      <c r="BR26" s="208">
        <f t="shared" si="22"/>
        <v>0</v>
      </c>
      <c r="BS26" s="208">
        <f t="shared" si="22"/>
        <v>0</v>
      </c>
      <c r="BT26" s="208">
        <f t="shared" si="22"/>
        <v>0</v>
      </c>
      <c r="BU26" s="208">
        <f t="shared" si="22"/>
        <v>0</v>
      </c>
      <c r="BV26" s="208">
        <f t="shared" si="22"/>
        <v>0</v>
      </c>
      <c r="BW26" s="208">
        <f t="shared" si="22"/>
        <v>0</v>
      </c>
      <c r="BX26" s="208">
        <f t="shared" si="23"/>
        <v>0</v>
      </c>
      <c r="BY26" s="208">
        <f t="shared" si="23"/>
        <v>0</v>
      </c>
      <c r="BZ26" s="208">
        <f t="shared" si="23"/>
        <v>0</v>
      </c>
      <c r="CA26" s="208">
        <f t="shared" si="23"/>
        <v>0</v>
      </c>
      <c r="CB26" s="208">
        <f t="shared" si="23"/>
        <v>0</v>
      </c>
      <c r="CC26" s="208">
        <f t="shared" si="23"/>
        <v>0</v>
      </c>
      <c r="CD26" s="208">
        <f t="shared" si="23"/>
        <v>0</v>
      </c>
      <c r="CE26" s="208">
        <f t="shared" si="23"/>
        <v>0</v>
      </c>
      <c r="CF26" s="208">
        <f t="shared" si="23"/>
        <v>0</v>
      </c>
      <c r="CG26" s="208">
        <f t="shared" si="23"/>
        <v>0</v>
      </c>
      <c r="CH26" s="208">
        <f t="shared" si="24"/>
        <v>0</v>
      </c>
      <c r="CI26" s="208">
        <f t="shared" si="24"/>
        <v>0</v>
      </c>
      <c r="CJ26" s="208">
        <f t="shared" si="24"/>
        <v>0</v>
      </c>
      <c r="CK26" s="208">
        <f t="shared" si="24"/>
        <v>0</v>
      </c>
      <c r="CL26" s="208">
        <f t="shared" si="24"/>
        <v>0</v>
      </c>
      <c r="CM26" s="208">
        <f t="shared" si="24"/>
        <v>0</v>
      </c>
      <c r="CN26" s="208">
        <f t="shared" si="24"/>
        <v>0</v>
      </c>
      <c r="CO26" s="208">
        <f t="shared" si="24"/>
        <v>0</v>
      </c>
      <c r="CP26" s="208">
        <f t="shared" si="24"/>
        <v>0</v>
      </c>
      <c r="CQ26" s="208">
        <f t="shared" si="24"/>
        <v>0</v>
      </c>
      <c r="CR26" s="208">
        <f t="shared" si="25"/>
        <v>0</v>
      </c>
      <c r="CS26" s="208">
        <f t="shared" si="25"/>
        <v>0</v>
      </c>
      <c r="CT26" s="208">
        <f t="shared" si="25"/>
        <v>0</v>
      </c>
      <c r="CU26" s="208">
        <f t="shared" si="25"/>
        <v>0</v>
      </c>
      <c r="CV26" s="208">
        <f t="shared" si="25"/>
        <v>0</v>
      </c>
      <c r="CW26" s="208">
        <f t="shared" si="25"/>
        <v>0</v>
      </c>
      <c r="CX26" s="208">
        <f t="shared" si="25"/>
        <v>0</v>
      </c>
      <c r="CY26" s="208">
        <f t="shared" si="25"/>
        <v>0</v>
      </c>
      <c r="CZ26" s="208">
        <f t="shared" si="25"/>
        <v>0</v>
      </c>
      <c r="DA26" s="208">
        <f t="shared" si="25"/>
        <v>0</v>
      </c>
    </row>
    <row r="27" spans="1:105">
      <c r="A27" s="199" t="str">
        <f>Income!A74</f>
        <v>Animal products consumed</v>
      </c>
      <c r="B27" s="201">
        <f>Income!B74</f>
        <v>0</v>
      </c>
      <c r="C27" s="201">
        <f>Income!C74</f>
        <v>0</v>
      </c>
      <c r="D27" s="201">
        <f>Income!D74</f>
        <v>0</v>
      </c>
      <c r="E27" s="201">
        <f>Income!E74</f>
        <v>0</v>
      </c>
      <c r="F27" s="208">
        <f t="shared" si="16"/>
        <v>0</v>
      </c>
      <c r="G27" s="208">
        <f t="shared" si="16"/>
        <v>0</v>
      </c>
      <c r="H27" s="208">
        <f t="shared" si="16"/>
        <v>0</v>
      </c>
      <c r="I27" s="208">
        <f t="shared" si="16"/>
        <v>0</v>
      </c>
      <c r="J27" s="208">
        <f t="shared" si="16"/>
        <v>0</v>
      </c>
      <c r="K27" s="208">
        <f t="shared" si="16"/>
        <v>0</v>
      </c>
      <c r="L27" s="208">
        <f t="shared" si="16"/>
        <v>0</v>
      </c>
      <c r="M27" s="208">
        <f t="shared" si="16"/>
        <v>0</v>
      </c>
      <c r="N27" s="208">
        <f t="shared" si="16"/>
        <v>0</v>
      </c>
      <c r="O27" s="208">
        <f t="shared" si="16"/>
        <v>0</v>
      </c>
      <c r="P27" s="208">
        <f t="shared" si="17"/>
        <v>0</v>
      </c>
      <c r="Q27" s="208">
        <f t="shared" si="17"/>
        <v>0</v>
      </c>
      <c r="R27" s="208">
        <f t="shared" si="17"/>
        <v>0</v>
      </c>
      <c r="S27" s="208">
        <f t="shared" si="17"/>
        <v>0</v>
      </c>
      <c r="T27" s="208">
        <f t="shared" si="17"/>
        <v>0</v>
      </c>
      <c r="U27" s="208">
        <f t="shared" si="17"/>
        <v>0</v>
      </c>
      <c r="V27" s="208">
        <f t="shared" si="17"/>
        <v>0</v>
      </c>
      <c r="W27" s="208">
        <f t="shared" si="17"/>
        <v>0</v>
      </c>
      <c r="X27" s="208">
        <f t="shared" si="17"/>
        <v>0</v>
      </c>
      <c r="Y27" s="208">
        <f t="shared" si="17"/>
        <v>0</v>
      </c>
      <c r="Z27" s="208">
        <f t="shared" si="18"/>
        <v>0</v>
      </c>
      <c r="AA27" s="208">
        <f t="shared" si="18"/>
        <v>0</v>
      </c>
      <c r="AB27" s="208">
        <f t="shared" si="18"/>
        <v>0</v>
      </c>
      <c r="AC27" s="208">
        <f t="shared" si="18"/>
        <v>0</v>
      </c>
      <c r="AD27" s="208">
        <f t="shared" si="18"/>
        <v>0</v>
      </c>
      <c r="AE27" s="208">
        <f t="shared" si="18"/>
        <v>0</v>
      </c>
      <c r="AF27" s="208">
        <f t="shared" si="18"/>
        <v>0</v>
      </c>
      <c r="AG27" s="208">
        <f t="shared" si="18"/>
        <v>0</v>
      </c>
      <c r="AH27" s="208">
        <f t="shared" si="18"/>
        <v>0</v>
      </c>
      <c r="AI27" s="208">
        <f t="shared" si="18"/>
        <v>0</v>
      </c>
      <c r="AJ27" s="208">
        <f t="shared" si="19"/>
        <v>0</v>
      </c>
      <c r="AK27" s="208">
        <f t="shared" si="19"/>
        <v>0</v>
      </c>
      <c r="AL27" s="208">
        <f t="shared" si="19"/>
        <v>0</v>
      </c>
      <c r="AM27" s="208">
        <f t="shared" si="19"/>
        <v>0</v>
      </c>
      <c r="AN27" s="208">
        <f t="shared" si="19"/>
        <v>0</v>
      </c>
      <c r="AO27" s="208">
        <f t="shared" si="19"/>
        <v>0</v>
      </c>
      <c r="AP27" s="208">
        <f t="shared" si="19"/>
        <v>0</v>
      </c>
      <c r="AQ27" s="208">
        <f t="shared" si="19"/>
        <v>0</v>
      </c>
      <c r="AR27" s="208">
        <f t="shared" si="19"/>
        <v>0</v>
      </c>
      <c r="AS27" s="208">
        <f t="shared" si="19"/>
        <v>0</v>
      </c>
      <c r="AT27" s="208">
        <f t="shared" si="20"/>
        <v>0</v>
      </c>
      <c r="AU27" s="208">
        <f t="shared" si="20"/>
        <v>0</v>
      </c>
      <c r="AV27" s="208">
        <f t="shared" si="20"/>
        <v>0</v>
      </c>
      <c r="AW27" s="208">
        <f t="shared" si="20"/>
        <v>0</v>
      </c>
      <c r="AX27" s="208">
        <f t="shared" si="20"/>
        <v>0</v>
      </c>
      <c r="AY27" s="208">
        <f t="shared" si="20"/>
        <v>0</v>
      </c>
      <c r="AZ27" s="208">
        <f t="shared" si="20"/>
        <v>0</v>
      </c>
      <c r="BA27" s="208">
        <f t="shared" si="20"/>
        <v>0</v>
      </c>
      <c r="BB27" s="208">
        <f t="shared" si="20"/>
        <v>0</v>
      </c>
      <c r="BC27" s="208">
        <f t="shared" si="20"/>
        <v>0</v>
      </c>
      <c r="BD27" s="208">
        <f t="shared" si="21"/>
        <v>0</v>
      </c>
      <c r="BE27" s="208">
        <f t="shared" si="21"/>
        <v>0</v>
      </c>
      <c r="BF27" s="208">
        <f t="shared" si="21"/>
        <v>0</v>
      </c>
      <c r="BG27" s="208">
        <f t="shared" si="21"/>
        <v>0</v>
      </c>
      <c r="BH27" s="208">
        <f t="shared" si="21"/>
        <v>0</v>
      </c>
      <c r="BI27" s="208">
        <f t="shared" si="21"/>
        <v>0</v>
      </c>
      <c r="BJ27" s="208">
        <f t="shared" si="21"/>
        <v>0</v>
      </c>
      <c r="BK27" s="208">
        <f t="shared" si="21"/>
        <v>0</v>
      </c>
      <c r="BL27" s="208">
        <f t="shared" si="21"/>
        <v>0</v>
      </c>
      <c r="BM27" s="208">
        <f t="shared" si="21"/>
        <v>0</v>
      </c>
      <c r="BN27" s="208">
        <f t="shared" si="22"/>
        <v>0</v>
      </c>
      <c r="BO27" s="208">
        <f t="shared" si="22"/>
        <v>0</v>
      </c>
      <c r="BP27" s="208">
        <f t="shared" si="22"/>
        <v>0</v>
      </c>
      <c r="BQ27" s="208">
        <f t="shared" si="22"/>
        <v>0</v>
      </c>
      <c r="BR27" s="208">
        <f t="shared" si="22"/>
        <v>0</v>
      </c>
      <c r="BS27" s="208">
        <f t="shared" si="22"/>
        <v>0</v>
      </c>
      <c r="BT27" s="208">
        <f t="shared" si="22"/>
        <v>0</v>
      </c>
      <c r="BU27" s="208">
        <f t="shared" si="22"/>
        <v>0</v>
      </c>
      <c r="BV27" s="208">
        <f t="shared" si="22"/>
        <v>0</v>
      </c>
      <c r="BW27" s="208">
        <f t="shared" si="22"/>
        <v>0</v>
      </c>
      <c r="BX27" s="208">
        <f t="shared" si="23"/>
        <v>0</v>
      </c>
      <c r="BY27" s="208">
        <f t="shared" si="23"/>
        <v>0</v>
      </c>
      <c r="BZ27" s="208">
        <f t="shared" si="23"/>
        <v>0</v>
      </c>
      <c r="CA27" s="208">
        <f t="shared" si="23"/>
        <v>0</v>
      </c>
      <c r="CB27" s="208">
        <f t="shared" si="23"/>
        <v>0</v>
      </c>
      <c r="CC27" s="208">
        <f t="shared" si="23"/>
        <v>0</v>
      </c>
      <c r="CD27" s="208">
        <f t="shared" si="23"/>
        <v>0</v>
      </c>
      <c r="CE27" s="208">
        <f t="shared" si="23"/>
        <v>0</v>
      </c>
      <c r="CF27" s="208">
        <f t="shared" si="23"/>
        <v>0</v>
      </c>
      <c r="CG27" s="208">
        <f t="shared" si="23"/>
        <v>0</v>
      </c>
      <c r="CH27" s="208">
        <f t="shared" si="24"/>
        <v>0</v>
      </c>
      <c r="CI27" s="208">
        <f t="shared" si="24"/>
        <v>0</v>
      </c>
      <c r="CJ27" s="208">
        <f t="shared" si="24"/>
        <v>0</v>
      </c>
      <c r="CK27" s="208">
        <f t="shared" si="24"/>
        <v>0</v>
      </c>
      <c r="CL27" s="208">
        <f t="shared" si="24"/>
        <v>0</v>
      </c>
      <c r="CM27" s="208">
        <f t="shared" si="24"/>
        <v>0</v>
      </c>
      <c r="CN27" s="208">
        <f t="shared" si="24"/>
        <v>0</v>
      </c>
      <c r="CO27" s="208">
        <f t="shared" si="24"/>
        <v>0</v>
      </c>
      <c r="CP27" s="208">
        <f t="shared" si="24"/>
        <v>0</v>
      </c>
      <c r="CQ27" s="208">
        <f t="shared" si="24"/>
        <v>0</v>
      </c>
      <c r="CR27" s="208">
        <f t="shared" si="25"/>
        <v>0</v>
      </c>
      <c r="CS27" s="208">
        <f t="shared" si="25"/>
        <v>0</v>
      </c>
      <c r="CT27" s="208">
        <f t="shared" si="25"/>
        <v>0</v>
      </c>
      <c r="CU27" s="208">
        <f t="shared" si="25"/>
        <v>0</v>
      </c>
      <c r="CV27" s="208">
        <f t="shared" si="25"/>
        <v>0</v>
      </c>
      <c r="CW27" s="208">
        <f t="shared" si="25"/>
        <v>0</v>
      </c>
      <c r="CX27" s="208">
        <f t="shared" si="25"/>
        <v>0</v>
      </c>
      <c r="CY27" s="208">
        <f t="shared" si="25"/>
        <v>0</v>
      </c>
      <c r="CZ27" s="208">
        <f t="shared" si="25"/>
        <v>0</v>
      </c>
      <c r="DA27" s="208">
        <f t="shared" si="25"/>
        <v>0</v>
      </c>
    </row>
    <row r="28" spans="1:105">
      <c r="A28" s="199" t="str">
        <f>Income!A75</f>
        <v>Animal products sold</v>
      </c>
      <c r="B28" s="201">
        <f>Income!B75</f>
        <v>0</v>
      </c>
      <c r="C28" s="201">
        <f>Income!C75</f>
        <v>0</v>
      </c>
      <c r="D28" s="201">
        <f>Income!D75</f>
        <v>0</v>
      </c>
      <c r="E28" s="201">
        <f>Income!E75</f>
        <v>0</v>
      </c>
      <c r="F28" s="208">
        <f t="shared" si="16"/>
        <v>0</v>
      </c>
      <c r="G28" s="208">
        <f t="shared" si="16"/>
        <v>0</v>
      </c>
      <c r="H28" s="208">
        <f t="shared" si="16"/>
        <v>0</v>
      </c>
      <c r="I28" s="208">
        <f t="shared" si="16"/>
        <v>0</v>
      </c>
      <c r="J28" s="208">
        <f t="shared" si="16"/>
        <v>0</v>
      </c>
      <c r="K28" s="208">
        <f t="shared" si="16"/>
        <v>0</v>
      </c>
      <c r="L28" s="208">
        <f t="shared" si="16"/>
        <v>0</v>
      </c>
      <c r="M28" s="208">
        <f t="shared" si="16"/>
        <v>0</v>
      </c>
      <c r="N28" s="208">
        <f t="shared" si="16"/>
        <v>0</v>
      </c>
      <c r="O28" s="208">
        <f t="shared" si="16"/>
        <v>0</v>
      </c>
      <c r="P28" s="208">
        <f t="shared" si="17"/>
        <v>0</v>
      </c>
      <c r="Q28" s="208">
        <f t="shared" si="17"/>
        <v>0</v>
      </c>
      <c r="R28" s="208">
        <f t="shared" si="17"/>
        <v>0</v>
      </c>
      <c r="S28" s="208">
        <f t="shared" si="17"/>
        <v>0</v>
      </c>
      <c r="T28" s="208">
        <f t="shared" si="17"/>
        <v>0</v>
      </c>
      <c r="U28" s="208">
        <f t="shared" si="17"/>
        <v>0</v>
      </c>
      <c r="V28" s="208">
        <f t="shared" si="17"/>
        <v>0</v>
      </c>
      <c r="W28" s="208">
        <f t="shared" si="17"/>
        <v>0</v>
      </c>
      <c r="X28" s="208">
        <f t="shared" si="17"/>
        <v>0</v>
      </c>
      <c r="Y28" s="208">
        <f t="shared" si="17"/>
        <v>0</v>
      </c>
      <c r="Z28" s="208">
        <f t="shared" si="18"/>
        <v>0</v>
      </c>
      <c r="AA28" s="208">
        <f t="shared" si="18"/>
        <v>0</v>
      </c>
      <c r="AB28" s="208">
        <f t="shared" si="18"/>
        <v>0</v>
      </c>
      <c r="AC28" s="208">
        <f t="shared" si="18"/>
        <v>0</v>
      </c>
      <c r="AD28" s="208">
        <f t="shared" si="18"/>
        <v>0</v>
      </c>
      <c r="AE28" s="208">
        <f t="shared" si="18"/>
        <v>0</v>
      </c>
      <c r="AF28" s="208">
        <f t="shared" si="18"/>
        <v>0</v>
      </c>
      <c r="AG28" s="208">
        <f t="shared" si="18"/>
        <v>0</v>
      </c>
      <c r="AH28" s="208">
        <f t="shared" si="18"/>
        <v>0</v>
      </c>
      <c r="AI28" s="208">
        <f t="shared" si="18"/>
        <v>0</v>
      </c>
      <c r="AJ28" s="208">
        <f t="shared" si="19"/>
        <v>0</v>
      </c>
      <c r="AK28" s="208">
        <f t="shared" si="19"/>
        <v>0</v>
      </c>
      <c r="AL28" s="208">
        <f t="shared" si="19"/>
        <v>0</v>
      </c>
      <c r="AM28" s="208">
        <f t="shared" si="19"/>
        <v>0</v>
      </c>
      <c r="AN28" s="208">
        <f t="shared" si="19"/>
        <v>0</v>
      </c>
      <c r="AO28" s="208">
        <f t="shared" si="19"/>
        <v>0</v>
      </c>
      <c r="AP28" s="208">
        <f t="shared" si="19"/>
        <v>0</v>
      </c>
      <c r="AQ28" s="208">
        <f t="shared" si="19"/>
        <v>0</v>
      </c>
      <c r="AR28" s="208">
        <f t="shared" si="19"/>
        <v>0</v>
      </c>
      <c r="AS28" s="208">
        <f t="shared" si="19"/>
        <v>0</v>
      </c>
      <c r="AT28" s="208">
        <f t="shared" si="20"/>
        <v>0</v>
      </c>
      <c r="AU28" s="208">
        <f t="shared" si="20"/>
        <v>0</v>
      </c>
      <c r="AV28" s="208">
        <f t="shared" si="20"/>
        <v>0</v>
      </c>
      <c r="AW28" s="208">
        <f t="shared" si="20"/>
        <v>0</v>
      </c>
      <c r="AX28" s="208">
        <f t="shared" si="20"/>
        <v>0</v>
      </c>
      <c r="AY28" s="208">
        <f t="shared" si="20"/>
        <v>0</v>
      </c>
      <c r="AZ28" s="208">
        <f t="shared" si="20"/>
        <v>0</v>
      </c>
      <c r="BA28" s="208">
        <f t="shared" si="20"/>
        <v>0</v>
      </c>
      <c r="BB28" s="208">
        <f t="shared" si="20"/>
        <v>0</v>
      </c>
      <c r="BC28" s="208">
        <f t="shared" si="20"/>
        <v>0</v>
      </c>
      <c r="BD28" s="208">
        <f t="shared" si="21"/>
        <v>0</v>
      </c>
      <c r="BE28" s="208">
        <f t="shared" si="21"/>
        <v>0</v>
      </c>
      <c r="BF28" s="208">
        <f t="shared" si="21"/>
        <v>0</v>
      </c>
      <c r="BG28" s="208">
        <f t="shared" si="21"/>
        <v>0</v>
      </c>
      <c r="BH28" s="208">
        <f t="shared" si="21"/>
        <v>0</v>
      </c>
      <c r="BI28" s="208">
        <f t="shared" si="21"/>
        <v>0</v>
      </c>
      <c r="BJ28" s="208">
        <f t="shared" si="21"/>
        <v>0</v>
      </c>
      <c r="BK28" s="208">
        <f t="shared" si="21"/>
        <v>0</v>
      </c>
      <c r="BL28" s="208">
        <f t="shared" si="21"/>
        <v>0</v>
      </c>
      <c r="BM28" s="208">
        <f t="shared" si="21"/>
        <v>0</v>
      </c>
      <c r="BN28" s="208">
        <f t="shared" si="22"/>
        <v>0</v>
      </c>
      <c r="BO28" s="208">
        <f t="shared" si="22"/>
        <v>0</v>
      </c>
      <c r="BP28" s="208">
        <f t="shared" si="22"/>
        <v>0</v>
      </c>
      <c r="BQ28" s="208">
        <f t="shared" si="22"/>
        <v>0</v>
      </c>
      <c r="BR28" s="208">
        <f t="shared" si="22"/>
        <v>0</v>
      </c>
      <c r="BS28" s="208">
        <f t="shared" si="22"/>
        <v>0</v>
      </c>
      <c r="BT28" s="208">
        <f t="shared" si="22"/>
        <v>0</v>
      </c>
      <c r="BU28" s="208">
        <f t="shared" si="22"/>
        <v>0</v>
      </c>
      <c r="BV28" s="208">
        <f t="shared" si="22"/>
        <v>0</v>
      </c>
      <c r="BW28" s="208">
        <f t="shared" si="22"/>
        <v>0</v>
      </c>
      <c r="BX28" s="208">
        <f t="shared" si="23"/>
        <v>0</v>
      </c>
      <c r="BY28" s="208">
        <f t="shared" si="23"/>
        <v>0</v>
      </c>
      <c r="BZ28" s="208">
        <f t="shared" si="23"/>
        <v>0</v>
      </c>
      <c r="CA28" s="208">
        <f t="shared" si="23"/>
        <v>0</v>
      </c>
      <c r="CB28" s="208">
        <f t="shared" si="23"/>
        <v>0</v>
      </c>
      <c r="CC28" s="208">
        <f t="shared" si="23"/>
        <v>0</v>
      </c>
      <c r="CD28" s="208">
        <f t="shared" si="23"/>
        <v>0</v>
      </c>
      <c r="CE28" s="208">
        <f t="shared" si="23"/>
        <v>0</v>
      </c>
      <c r="CF28" s="208">
        <f t="shared" si="23"/>
        <v>0</v>
      </c>
      <c r="CG28" s="208">
        <f t="shared" si="23"/>
        <v>0</v>
      </c>
      <c r="CH28" s="208">
        <f t="shared" si="24"/>
        <v>0</v>
      </c>
      <c r="CI28" s="208">
        <f t="shared" si="24"/>
        <v>0</v>
      </c>
      <c r="CJ28" s="208">
        <f t="shared" si="24"/>
        <v>0</v>
      </c>
      <c r="CK28" s="208">
        <f t="shared" si="24"/>
        <v>0</v>
      </c>
      <c r="CL28" s="208">
        <f t="shared" si="24"/>
        <v>0</v>
      </c>
      <c r="CM28" s="208">
        <f t="shared" si="24"/>
        <v>0</v>
      </c>
      <c r="CN28" s="208">
        <f t="shared" si="24"/>
        <v>0</v>
      </c>
      <c r="CO28" s="208">
        <f t="shared" si="24"/>
        <v>0</v>
      </c>
      <c r="CP28" s="208">
        <f t="shared" si="24"/>
        <v>0</v>
      </c>
      <c r="CQ28" s="208">
        <f t="shared" si="24"/>
        <v>0</v>
      </c>
      <c r="CR28" s="208">
        <f t="shared" si="25"/>
        <v>0</v>
      </c>
      <c r="CS28" s="208">
        <f t="shared" si="25"/>
        <v>0</v>
      </c>
      <c r="CT28" s="208">
        <f t="shared" si="25"/>
        <v>0</v>
      </c>
      <c r="CU28" s="208">
        <f t="shared" si="25"/>
        <v>0</v>
      </c>
      <c r="CV28" s="208">
        <f t="shared" si="25"/>
        <v>0</v>
      </c>
      <c r="CW28" s="208">
        <f t="shared" si="25"/>
        <v>0</v>
      </c>
      <c r="CX28" s="208">
        <f t="shared" si="25"/>
        <v>0</v>
      </c>
      <c r="CY28" s="208">
        <f t="shared" si="25"/>
        <v>0</v>
      </c>
      <c r="CZ28" s="208">
        <f t="shared" si="25"/>
        <v>0</v>
      </c>
      <c r="DA28" s="208">
        <f t="shared" si="25"/>
        <v>0</v>
      </c>
    </row>
    <row r="29" spans="1:105">
      <c r="A29" s="199" t="str">
        <f>Income!A76</f>
        <v>Animals sold</v>
      </c>
      <c r="B29" s="201">
        <f>Income!B76</f>
        <v>0</v>
      </c>
      <c r="C29" s="201">
        <f>Income!C76</f>
        <v>0</v>
      </c>
      <c r="D29" s="201">
        <f>Income!D76</f>
        <v>0</v>
      </c>
      <c r="E29" s="201">
        <f>Income!E76</f>
        <v>0</v>
      </c>
      <c r="F29" s="208">
        <f t="shared" si="16"/>
        <v>0</v>
      </c>
      <c r="G29" s="208">
        <f t="shared" si="16"/>
        <v>0</v>
      </c>
      <c r="H29" s="208">
        <f t="shared" si="16"/>
        <v>0</v>
      </c>
      <c r="I29" s="208">
        <f t="shared" si="16"/>
        <v>0</v>
      </c>
      <c r="J29" s="208">
        <f t="shared" si="16"/>
        <v>0</v>
      </c>
      <c r="K29" s="208">
        <f t="shared" si="16"/>
        <v>0</v>
      </c>
      <c r="L29" s="208">
        <f t="shared" si="16"/>
        <v>0</v>
      </c>
      <c r="M29" s="208">
        <f t="shared" si="16"/>
        <v>0</v>
      </c>
      <c r="N29" s="208">
        <f t="shared" si="16"/>
        <v>0</v>
      </c>
      <c r="O29" s="208">
        <f t="shared" si="16"/>
        <v>0</v>
      </c>
      <c r="P29" s="208">
        <f t="shared" si="17"/>
        <v>0</v>
      </c>
      <c r="Q29" s="208">
        <f t="shared" si="17"/>
        <v>0</v>
      </c>
      <c r="R29" s="208">
        <f t="shared" si="17"/>
        <v>0</v>
      </c>
      <c r="S29" s="208">
        <f t="shared" si="17"/>
        <v>0</v>
      </c>
      <c r="T29" s="208">
        <f t="shared" si="17"/>
        <v>0</v>
      </c>
      <c r="U29" s="208">
        <f t="shared" si="17"/>
        <v>0</v>
      </c>
      <c r="V29" s="208">
        <f t="shared" si="17"/>
        <v>0</v>
      </c>
      <c r="W29" s="208">
        <f t="shared" si="17"/>
        <v>0</v>
      </c>
      <c r="X29" s="208">
        <f t="shared" si="17"/>
        <v>0</v>
      </c>
      <c r="Y29" s="208">
        <f t="shared" si="17"/>
        <v>0</v>
      </c>
      <c r="Z29" s="208">
        <f t="shared" si="18"/>
        <v>0</v>
      </c>
      <c r="AA29" s="208">
        <f t="shared" si="18"/>
        <v>0</v>
      </c>
      <c r="AB29" s="208">
        <f t="shared" si="18"/>
        <v>0</v>
      </c>
      <c r="AC29" s="208">
        <f t="shared" si="18"/>
        <v>0</v>
      </c>
      <c r="AD29" s="208">
        <f t="shared" si="18"/>
        <v>0</v>
      </c>
      <c r="AE29" s="208">
        <f t="shared" si="18"/>
        <v>0</v>
      </c>
      <c r="AF29" s="208">
        <f t="shared" si="18"/>
        <v>0</v>
      </c>
      <c r="AG29" s="208">
        <f t="shared" si="18"/>
        <v>0</v>
      </c>
      <c r="AH29" s="208">
        <f t="shared" si="18"/>
        <v>0</v>
      </c>
      <c r="AI29" s="208">
        <f t="shared" si="18"/>
        <v>0</v>
      </c>
      <c r="AJ29" s="208">
        <f t="shared" si="19"/>
        <v>0</v>
      </c>
      <c r="AK29" s="208">
        <f t="shared" si="19"/>
        <v>0</v>
      </c>
      <c r="AL29" s="208">
        <f t="shared" si="19"/>
        <v>0</v>
      </c>
      <c r="AM29" s="208">
        <f t="shared" si="19"/>
        <v>0</v>
      </c>
      <c r="AN29" s="208">
        <f t="shared" si="19"/>
        <v>0</v>
      </c>
      <c r="AO29" s="208">
        <f t="shared" si="19"/>
        <v>0</v>
      </c>
      <c r="AP29" s="208">
        <f t="shared" si="19"/>
        <v>0</v>
      </c>
      <c r="AQ29" s="208">
        <f t="shared" si="19"/>
        <v>0</v>
      </c>
      <c r="AR29" s="208">
        <f t="shared" si="19"/>
        <v>0</v>
      </c>
      <c r="AS29" s="208">
        <f t="shared" si="19"/>
        <v>0</v>
      </c>
      <c r="AT29" s="208">
        <f t="shared" si="20"/>
        <v>0</v>
      </c>
      <c r="AU29" s="208">
        <f t="shared" si="20"/>
        <v>0</v>
      </c>
      <c r="AV29" s="208">
        <f t="shared" si="20"/>
        <v>0</v>
      </c>
      <c r="AW29" s="208">
        <f t="shared" si="20"/>
        <v>0</v>
      </c>
      <c r="AX29" s="208">
        <f t="shared" si="20"/>
        <v>0</v>
      </c>
      <c r="AY29" s="208">
        <f t="shared" si="20"/>
        <v>0</v>
      </c>
      <c r="AZ29" s="208">
        <f t="shared" si="20"/>
        <v>0</v>
      </c>
      <c r="BA29" s="208">
        <f t="shared" si="20"/>
        <v>0</v>
      </c>
      <c r="BB29" s="208">
        <f t="shared" si="20"/>
        <v>0</v>
      </c>
      <c r="BC29" s="208">
        <f t="shared" si="20"/>
        <v>0</v>
      </c>
      <c r="BD29" s="208">
        <f t="shared" si="21"/>
        <v>0</v>
      </c>
      <c r="BE29" s="208">
        <f t="shared" si="21"/>
        <v>0</v>
      </c>
      <c r="BF29" s="208">
        <f t="shared" si="21"/>
        <v>0</v>
      </c>
      <c r="BG29" s="208">
        <f t="shared" si="21"/>
        <v>0</v>
      </c>
      <c r="BH29" s="208">
        <f t="shared" si="21"/>
        <v>0</v>
      </c>
      <c r="BI29" s="208">
        <f t="shared" si="21"/>
        <v>0</v>
      </c>
      <c r="BJ29" s="208">
        <f t="shared" si="21"/>
        <v>0</v>
      </c>
      <c r="BK29" s="208">
        <f t="shared" si="21"/>
        <v>0</v>
      </c>
      <c r="BL29" s="208">
        <f t="shared" si="21"/>
        <v>0</v>
      </c>
      <c r="BM29" s="208">
        <f t="shared" si="21"/>
        <v>0</v>
      </c>
      <c r="BN29" s="208">
        <f t="shared" si="22"/>
        <v>0</v>
      </c>
      <c r="BO29" s="208">
        <f t="shared" si="22"/>
        <v>0</v>
      </c>
      <c r="BP29" s="208">
        <f t="shared" si="22"/>
        <v>0</v>
      </c>
      <c r="BQ29" s="208">
        <f t="shared" si="22"/>
        <v>0</v>
      </c>
      <c r="BR29" s="208">
        <f t="shared" si="22"/>
        <v>0</v>
      </c>
      <c r="BS29" s="208">
        <f t="shared" si="22"/>
        <v>0</v>
      </c>
      <c r="BT29" s="208">
        <f t="shared" si="22"/>
        <v>0</v>
      </c>
      <c r="BU29" s="208">
        <f t="shared" si="22"/>
        <v>0</v>
      </c>
      <c r="BV29" s="208">
        <f t="shared" si="22"/>
        <v>0</v>
      </c>
      <c r="BW29" s="208">
        <f t="shared" si="22"/>
        <v>0</v>
      </c>
      <c r="BX29" s="208">
        <f t="shared" si="23"/>
        <v>0</v>
      </c>
      <c r="BY29" s="208">
        <f t="shared" si="23"/>
        <v>0</v>
      </c>
      <c r="BZ29" s="208">
        <f t="shared" si="23"/>
        <v>0</v>
      </c>
      <c r="CA29" s="208">
        <f t="shared" si="23"/>
        <v>0</v>
      </c>
      <c r="CB29" s="208">
        <f t="shared" si="23"/>
        <v>0</v>
      </c>
      <c r="CC29" s="208">
        <f t="shared" si="23"/>
        <v>0</v>
      </c>
      <c r="CD29" s="208">
        <f t="shared" si="23"/>
        <v>0</v>
      </c>
      <c r="CE29" s="208">
        <f t="shared" si="23"/>
        <v>0</v>
      </c>
      <c r="CF29" s="208">
        <f t="shared" si="23"/>
        <v>0</v>
      </c>
      <c r="CG29" s="208">
        <f t="shared" si="23"/>
        <v>0</v>
      </c>
      <c r="CH29" s="208">
        <f t="shared" si="24"/>
        <v>0</v>
      </c>
      <c r="CI29" s="208">
        <f t="shared" si="24"/>
        <v>0</v>
      </c>
      <c r="CJ29" s="208">
        <f t="shared" si="24"/>
        <v>0</v>
      </c>
      <c r="CK29" s="208">
        <f t="shared" si="24"/>
        <v>0</v>
      </c>
      <c r="CL29" s="208">
        <f t="shared" si="24"/>
        <v>0</v>
      </c>
      <c r="CM29" s="208">
        <f t="shared" si="24"/>
        <v>0</v>
      </c>
      <c r="CN29" s="208">
        <f t="shared" si="24"/>
        <v>0</v>
      </c>
      <c r="CO29" s="208">
        <f t="shared" si="24"/>
        <v>0</v>
      </c>
      <c r="CP29" s="208">
        <f t="shared" si="24"/>
        <v>0</v>
      </c>
      <c r="CQ29" s="208">
        <f t="shared" si="24"/>
        <v>0</v>
      </c>
      <c r="CR29" s="208">
        <f t="shared" si="25"/>
        <v>0</v>
      </c>
      <c r="CS29" s="208">
        <f t="shared" si="25"/>
        <v>0</v>
      </c>
      <c r="CT29" s="208">
        <f t="shared" si="25"/>
        <v>0</v>
      </c>
      <c r="CU29" s="208">
        <f t="shared" si="25"/>
        <v>0</v>
      </c>
      <c r="CV29" s="208">
        <f t="shared" si="25"/>
        <v>0</v>
      </c>
      <c r="CW29" s="208">
        <f t="shared" si="25"/>
        <v>0</v>
      </c>
      <c r="CX29" s="208">
        <f t="shared" si="25"/>
        <v>0</v>
      </c>
      <c r="CY29" s="208">
        <f t="shared" si="25"/>
        <v>0</v>
      </c>
      <c r="CZ29" s="208">
        <f t="shared" si="25"/>
        <v>0</v>
      </c>
      <c r="DA29" s="208">
        <f t="shared" si="25"/>
        <v>0</v>
      </c>
    </row>
    <row r="30" spans="1:105">
      <c r="A30" s="199" t="str">
        <f>Income!A77</f>
        <v>Wild foods consumed and sold</v>
      </c>
      <c r="B30" s="201">
        <f>Income!B77</f>
        <v>0</v>
      </c>
      <c r="C30" s="201">
        <f>Income!C77</f>
        <v>0</v>
      </c>
      <c r="D30" s="201">
        <f>Income!D77</f>
        <v>0</v>
      </c>
      <c r="E30" s="201">
        <f>Income!E77</f>
        <v>0</v>
      </c>
      <c r="F30" s="208">
        <f t="shared" si="16"/>
        <v>0</v>
      </c>
      <c r="G30" s="208">
        <f t="shared" si="16"/>
        <v>0</v>
      </c>
      <c r="H30" s="208">
        <f t="shared" si="16"/>
        <v>0</v>
      </c>
      <c r="I30" s="208">
        <f t="shared" si="16"/>
        <v>0</v>
      </c>
      <c r="J30" s="208">
        <f t="shared" si="16"/>
        <v>0</v>
      </c>
      <c r="K30" s="208">
        <f t="shared" si="16"/>
        <v>0</v>
      </c>
      <c r="L30" s="208">
        <f t="shared" si="16"/>
        <v>0</v>
      </c>
      <c r="M30" s="208">
        <f t="shared" si="16"/>
        <v>0</v>
      </c>
      <c r="N30" s="208">
        <f t="shared" si="16"/>
        <v>0</v>
      </c>
      <c r="O30" s="208">
        <f t="shared" si="16"/>
        <v>0</v>
      </c>
      <c r="P30" s="208">
        <f t="shared" si="17"/>
        <v>0</v>
      </c>
      <c r="Q30" s="208">
        <f t="shared" si="17"/>
        <v>0</v>
      </c>
      <c r="R30" s="208">
        <f t="shared" si="17"/>
        <v>0</v>
      </c>
      <c r="S30" s="208">
        <f t="shared" si="17"/>
        <v>0</v>
      </c>
      <c r="T30" s="208">
        <f t="shared" si="17"/>
        <v>0</v>
      </c>
      <c r="U30" s="208">
        <f t="shared" si="17"/>
        <v>0</v>
      </c>
      <c r="V30" s="208">
        <f t="shared" si="17"/>
        <v>0</v>
      </c>
      <c r="W30" s="208">
        <f t="shared" si="17"/>
        <v>0</v>
      </c>
      <c r="X30" s="208">
        <f t="shared" si="17"/>
        <v>0</v>
      </c>
      <c r="Y30" s="208">
        <f t="shared" si="17"/>
        <v>0</v>
      </c>
      <c r="Z30" s="208">
        <f t="shared" si="18"/>
        <v>0</v>
      </c>
      <c r="AA30" s="208">
        <f t="shared" si="18"/>
        <v>0</v>
      </c>
      <c r="AB30" s="208">
        <f t="shared" si="18"/>
        <v>0</v>
      </c>
      <c r="AC30" s="208">
        <f t="shared" si="18"/>
        <v>0</v>
      </c>
      <c r="AD30" s="208">
        <f t="shared" si="18"/>
        <v>0</v>
      </c>
      <c r="AE30" s="208">
        <f t="shared" si="18"/>
        <v>0</v>
      </c>
      <c r="AF30" s="208">
        <f t="shared" si="18"/>
        <v>0</v>
      </c>
      <c r="AG30" s="208">
        <f t="shared" si="18"/>
        <v>0</v>
      </c>
      <c r="AH30" s="208">
        <f t="shared" si="18"/>
        <v>0</v>
      </c>
      <c r="AI30" s="208">
        <f t="shared" si="18"/>
        <v>0</v>
      </c>
      <c r="AJ30" s="208">
        <f t="shared" si="19"/>
        <v>0</v>
      </c>
      <c r="AK30" s="208">
        <f t="shared" si="19"/>
        <v>0</v>
      </c>
      <c r="AL30" s="208">
        <f t="shared" si="19"/>
        <v>0</v>
      </c>
      <c r="AM30" s="208">
        <f t="shared" si="19"/>
        <v>0</v>
      </c>
      <c r="AN30" s="208">
        <f t="shared" si="19"/>
        <v>0</v>
      </c>
      <c r="AO30" s="208">
        <f t="shared" si="19"/>
        <v>0</v>
      </c>
      <c r="AP30" s="208">
        <f t="shared" si="19"/>
        <v>0</v>
      </c>
      <c r="AQ30" s="208">
        <f t="shared" si="19"/>
        <v>0</v>
      </c>
      <c r="AR30" s="208">
        <f t="shared" si="19"/>
        <v>0</v>
      </c>
      <c r="AS30" s="208">
        <f t="shared" si="19"/>
        <v>0</v>
      </c>
      <c r="AT30" s="208">
        <f t="shared" si="20"/>
        <v>0</v>
      </c>
      <c r="AU30" s="208">
        <f t="shared" si="20"/>
        <v>0</v>
      </c>
      <c r="AV30" s="208">
        <f t="shared" si="20"/>
        <v>0</v>
      </c>
      <c r="AW30" s="208">
        <f t="shared" si="20"/>
        <v>0</v>
      </c>
      <c r="AX30" s="208">
        <f t="shared" si="20"/>
        <v>0</v>
      </c>
      <c r="AY30" s="208">
        <f t="shared" si="20"/>
        <v>0</v>
      </c>
      <c r="AZ30" s="208">
        <f t="shared" si="20"/>
        <v>0</v>
      </c>
      <c r="BA30" s="208">
        <f t="shared" si="20"/>
        <v>0</v>
      </c>
      <c r="BB30" s="208">
        <f t="shared" si="20"/>
        <v>0</v>
      </c>
      <c r="BC30" s="208">
        <f t="shared" si="20"/>
        <v>0</v>
      </c>
      <c r="BD30" s="208">
        <f t="shared" si="21"/>
        <v>0</v>
      </c>
      <c r="BE30" s="208">
        <f t="shared" si="21"/>
        <v>0</v>
      </c>
      <c r="BF30" s="208">
        <f t="shared" si="21"/>
        <v>0</v>
      </c>
      <c r="BG30" s="208">
        <f t="shared" si="21"/>
        <v>0</v>
      </c>
      <c r="BH30" s="208">
        <f t="shared" si="21"/>
        <v>0</v>
      </c>
      <c r="BI30" s="208">
        <f t="shared" si="21"/>
        <v>0</v>
      </c>
      <c r="BJ30" s="208">
        <f t="shared" si="21"/>
        <v>0</v>
      </c>
      <c r="BK30" s="208">
        <f t="shared" si="21"/>
        <v>0</v>
      </c>
      <c r="BL30" s="208">
        <f t="shared" si="21"/>
        <v>0</v>
      </c>
      <c r="BM30" s="208">
        <f t="shared" si="21"/>
        <v>0</v>
      </c>
      <c r="BN30" s="208">
        <f t="shared" si="22"/>
        <v>0</v>
      </c>
      <c r="BO30" s="208">
        <f t="shared" si="22"/>
        <v>0</v>
      </c>
      <c r="BP30" s="208">
        <f t="shared" si="22"/>
        <v>0</v>
      </c>
      <c r="BQ30" s="208">
        <f t="shared" si="22"/>
        <v>0</v>
      </c>
      <c r="BR30" s="208">
        <f t="shared" si="22"/>
        <v>0</v>
      </c>
      <c r="BS30" s="208">
        <f t="shared" si="22"/>
        <v>0</v>
      </c>
      <c r="BT30" s="208">
        <f t="shared" si="22"/>
        <v>0</v>
      </c>
      <c r="BU30" s="208">
        <f t="shared" si="22"/>
        <v>0</v>
      </c>
      <c r="BV30" s="208">
        <f t="shared" si="22"/>
        <v>0</v>
      </c>
      <c r="BW30" s="208">
        <f t="shared" si="22"/>
        <v>0</v>
      </c>
      <c r="BX30" s="208">
        <f t="shared" si="23"/>
        <v>0</v>
      </c>
      <c r="BY30" s="208">
        <f t="shared" si="23"/>
        <v>0</v>
      </c>
      <c r="BZ30" s="208">
        <f t="shared" si="23"/>
        <v>0</v>
      </c>
      <c r="CA30" s="208">
        <f t="shared" si="23"/>
        <v>0</v>
      </c>
      <c r="CB30" s="208">
        <f t="shared" si="23"/>
        <v>0</v>
      </c>
      <c r="CC30" s="208">
        <f t="shared" si="23"/>
        <v>0</v>
      </c>
      <c r="CD30" s="208">
        <f t="shared" si="23"/>
        <v>0</v>
      </c>
      <c r="CE30" s="208">
        <f t="shared" si="23"/>
        <v>0</v>
      </c>
      <c r="CF30" s="208">
        <f t="shared" si="23"/>
        <v>0</v>
      </c>
      <c r="CG30" s="208">
        <f t="shared" si="23"/>
        <v>0</v>
      </c>
      <c r="CH30" s="208">
        <f t="shared" si="24"/>
        <v>0</v>
      </c>
      <c r="CI30" s="208">
        <f t="shared" si="24"/>
        <v>0</v>
      </c>
      <c r="CJ30" s="208">
        <f t="shared" si="24"/>
        <v>0</v>
      </c>
      <c r="CK30" s="208">
        <f t="shared" si="24"/>
        <v>0</v>
      </c>
      <c r="CL30" s="208">
        <f t="shared" si="24"/>
        <v>0</v>
      </c>
      <c r="CM30" s="208">
        <f t="shared" si="24"/>
        <v>0</v>
      </c>
      <c r="CN30" s="208">
        <f t="shared" si="24"/>
        <v>0</v>
      </c>
      <c r="CO30" s="208">
        <f t="shared" si="24"/>
        <v>0</v>
      </c>
      <c r="CP30" s="208">
        <f t="shared" si="24"/>
        <v>0</v>
      </c>
      <c r="CQ30" s="208">
        <f t="shared" si="24"/>
        <v>0</v>
      </c>
      <c r="CR30" s="208">
        <f t="shared" si="25"/>
        <v>0</v>
      </c>
      <c r="CS30" s="208">
        <f t="shared" si="25"/>
        <v>0</v>
      </c>
      <c r="CT30" s="208">
        <f t="shared" si="25"/>
        <v>0</v>
      </c>
      <c r="CU30" s="208">
        <f t="shared" si="25"/>
        <v>0</v>
      </c>
      <c r="CV30" s="208">
        <f t="shared" si="25"/>
        <v>0</v>
      </c>
      <c r="CW30" s="208">
        <f t="shared" si="25"/>
        <v>0</v>
      </c>
      <c r="CX30" s="208">
        <f t="shared" si="25"/>
        <v>0</v>
      </c>
      <c r="CY30" s="208">
        <f t="shared" si="25"/>
        <v>0</v>
      </c>
      <c r="CZ30" s="208">
        <f t="shared" si="25"/>
        <v>0</v>
      </c>
      <c r="DA30" s="208">
        <f t="shared" si="25"/>
        <v>0</v>
      </c>
    </row>
    <row r="31" spans="1:105">
      <c r="A31" s="199" t="str">
        <f>Income!A78</f>
        <v>Labour - casual</v>
      </c>
      <c r="B31" s="201">
        <f>Income!B78</f>
        <v>6044.2269142499463</v>
      </c>
      <c r="C31" s="201">
        <f>Income!C78</f>
        <v>14145.295226184951</v>
      </c>
      <c r="D31" s="201">
        <f>Income!D78</f>
        <v>20839.051002861754</v>
      </c>
      <c r="E31" s="201">
        <f>Income!E78</f>
        <v>29770.072861231078</v>
      </c>
      <c r="F31" s="208">
        <f t="shared" si="16"/>
        <v>6044.2269142499463</v>
      </c>
      <c r="G31" s="208">
        <f t="shared" si="16"/>
        <v>6044.2269142499463</v>
      </c>
      <c r="H31" s="208">
        <f t="shared" si="16"/>
        <v>6044.2269142499463</v>
      </c>
      <c r="I31" s="208">
        <f t="shared" si="16"/>
        <v>6044.2269142499463</v>
      </c>
      <c r="J31" s="208">
        <f t="shared" si="16"/>
        <v>6044.2269142499463</v>
      </c>
      <c r="K31" s="208">
        <f t="shared" si="16"/>
        <v>6044.2269142499463</v>
      </c>
      <c r="L31" s="208">
        <f t="shared" si="16"/>
        <v>6044.2269142499463</v>
      </c>
      <c r="M31" s="208">
        <f t="shared" si="16"/>
        <v>6044.2269142499463</v>
      </c>
      <c r="N31" s="208">
        <f t="shared" si="16"/>
        <v>6044.2269142499463</v>
      </c>
      <c r="O31" s="208">
        <f t="shared" si="16"/>
        <v>6044.2269142499463</v>
      </c>
      <c r="P31" s="208">
        <f t="shared" si="17"/>
        <v>6044.2269142499463</v>
      </c>
      <c r="Q31" s="208">
        <f t="shared" si="17"/>
        <v>6449.280329846697</v>
      </c>
      <c r="R31" s="208">
        <f t="shared" si="17"/>
        <v>6854.3337454434468</v>
      </c>
      <c r="S31" s="208">
        <f t="shared" si="17"/>
        <v>7259.3871610401966</v>
      </c>
      <c r="T31" s="208">
        <f t="shared" si="17"/>
        <v>7664.4405766369473</v>
      </c>
      <c r="U31" s="208">
        <f t="shared" si="17"/>
        <v>8069.493992233698</v>
      </c>
      <c r="V31" s="208">
        <f t="shared" si="17"/>
        <v>8474.5474078304469</v>
      </c>
      <c r="W31" s="208">
        <f t="shared" si="17"/>
        <v>8879.6008234271976</v>
      </c>
      <c r="X31" s="208">
        <f t="shared" si="17"/>
        <v>9284.6542390239483</v>
      </c>
      <c r="Y31" s="208">
        <f t="shared" si="17"/>
        <v>9689.707654620699</v>
      </c>
      <c r="Z31" s="208">
        <f t="shared" si="18"/>
        <v>10094.76107021745</v>
      </c>
      <c r="AA31" s="208">
        <f t="shared" si="18"/>
        <v>10499.814485814199</v>
      </c>
      <c r="AB31" s="208">
        <f t="shared" si="18"/>
        <v>10904.867901410949</v>
      </c>
      <c r="AC31" s="208">
        <f t="shared" si="18"/>
        <v>11309.9213170077</v>
      </c>
      <c r="AD31" s="208">
        <f t="shared" si="18"/>
        <v>11714.974732604449</v>
      </c>
      <c r="AE31" s="208">
        <f t="shared" si="18"/>
        <v>12120.0281482012</v>
      </c>
      <c r="AF31" s="208">
        <f t="shared" si="18"/>
        <v>12525.08156379795</v>
      </c>
      <c r="AG31" s="208">
        <f t="shared" si="18"/>
        <v>12930.134979394701</v>
      </c>
      <c r="AH31" s="208">
        <f t="shared" si="18"/>
        <v>13335.18839499145</v>
      </c>
      <c r="AI31" s="208">
        <f t="shared" si="18"/>
        <v>13740.241810588202</v>
      </c>
      <c r="AJ31" s="208">
        <f t="shared" si="19"/>
        <v>14145.295226184951</v>
      </c>
      <c r="AK31" s="208">
        <f t="shared" si="19"/>
        <v>14479.983015018792</v>
      </c>
      <c r="AL31" s="208">
        <f t="shared" si="19"/>
        <v>14814.670803852632</v>
      </c>
      <c r="AM31" s="208">
        <f t="shared" si="19"/>
        <v>15149.358592686473</v>
      </c>
      <c r="AN31" s="208">
        <f t="shared" si="19"/>
        <v>15484.046381520311</v>
      </c>
      <c r="AO31" s="208">
        <f t="shared" si="19"/>
        <v>15818.734170354152</v>
      </c>
      <c r="AP31" s="208">
        <f t="shared" si="19"/>
        <v>16153.421959187992</v>
      </c>
      <c r="AQ31" s="208">
        <f t="shared" si="19"/>
        <v>16488.10974802183</v>
      </c>
      <c r="AR31" s="208">
        <f t="shared" si="19"/>
        <v>16822.797536855673</v>
      </c>
      <c r="AS31" s="208">
        <f t="shared" si="19"/>
        <v>17157.485325689511</v>
      </c>
      <c r="AT31" s="208">
        <f t="shared" si="20"/>
        <v>17492.173114523353</v>
      </c>
      <c r="AU31" s="208">
        <f t="shared" si="20"/>
        <v>17826.860903357192</v>
      </c>
      <c r="AV31" s="208">
        <f t="shared" si="20"/>
        <v>18161.548692191034</v>
      </c>
      <c r="AW31" s="208">
        <f t="shared" si="20"/>
        <v>18496.236481024873</v>
      </c>
      <c r="AX31" s="208">
        <f t="shared" si="20"/>
        <v>18830.924269858711</v>
      </c>
      <c r="AY31" s="208">
        <f t="shared" si="20"/>
        <v>19165.612058692554</v>
      </c>
      <c r="AZ31" s="208">
        <f t="shared" si="20"/>
        <v>19500.299847526392</v>
      </c>
      <c r="BA31" s="208">
        <f t="shared" si="20"/>
        <v>19834.987636360234</v>
      </c>
      <c r="BB31" s="208">
        <f t="shared" si="20"/>
        <v>20169.675425194073</v>
      </c>
      <c r="BC31" s="208">
        <f t="shared" si="20"/>
        <v>20504.363214027915</v>
      </c>
      <c r="BD31" s="208">
        <f t="shared" si="21"/>
        <v>20839.051002861754</v>
      </c>
      <c r="BE31" s="208">
        <f t="shared" si="21"/>
        <v>21285.602095780221</v>
      </c>
      <c r="BF31" s="208">
        <f t="shared" si="21"/>
        <v>21732.153188698685</v>
      </c>
      <c r="BG31" s="208">
        <f t="shared" si="21"/>
        <v>22178.704281617152</v>
      </c>
      <c r="BH31" s="208">
        <f t="shared" si="21"/>
        <v>22625.25537453562</v>
      </c>
      <c r="BI31" s="208">
        <f t="shared" si="21"/>
        <v>23071.806467454084</v>
      </c>
      <c r="BJ31" s="208">
        <f t="shared" si="21"/>
        <v>23518.357560372551</v>
      </c>
      <c r="BK31" s="208">
        <f t="shared" si="21"/>
        <v>23964.908653291019</v>
      </c>
      <c r="BL31" s="208">
        <f t="shared" si="21"/>
        <v>24411.459746209483</v>
      </c>
      <c r="BM31" s="208">
        <f t="shared" si="21"/>
        <v>24858.01083912795</v>
      </c>
      <c r="BN31" s="208">
        <f t="shared" si="22"/>
        <v>25304.561932046417</v>
      </c>
      <c r="BO31" s="208">
        <f t="shared" si="22"/>
        <v>25751.113024964881</v>
      </c>
      <c r="BP31" s="208">
        <f t="shared" si="22"/>
        <v>26197.664117883349</v>
      </c>
      <c r="BQ31" s="208">
        <f t="shared" si="22"/>
        <v>26644.215210801813</v>
      </c>
      <c r="BR31" s="208">
        <f t="shared" si="22"/>
        <v>27090.76630372028</v>
      </c>
      <c r="BS31" s="208">
        <f t="shared" si="22"/>
        <v>27537.317396638748</v>
      </c>
      <c r="BT31" s="208">
        <f t="shared" si="22"/>
        <v>27983.868489557215</v>
      </c>
      <c r="BU31" s="208">
        <f t="shared" si="22"/>
        <v>28430.419582475679</v>
      </c>
      <c r="BV31" s="208">
        <f t="shared" si="22"/>
        <v>28876.970675394143</v>
      </c>
      <c r="BW31" s="208">
        <f t="shared" si="22"/>
        <v>29323.52176831261</v>
      </c>
      <c r="BX31" s="208">
        <f t="shared" si="23"/>
        <v>29770.072861231078</v>
      </c>
      <c r="BY31" s="208">
        <f t="shared" si="23"/>
        <v>29770.072861231078</v>
      </c>
      <c r="BZ31" s="208">
        <f t="shared" si="23"/>
        <v>29770.072861231078</v>
      </c>
      <c r="CA31" s="208">
        <f t="shared" si="23"/>
        <v>29770.072861231078</v>
      </c>
      <c r="CB31" s="208">
        <f t="shared" si="23"/>
        <v>29770.072861231078</v>
      </c>
      <c r="CC31" s="208">
        <f t="shared" si="23"/>
        <v>29770.072861231078</v>
      </c>
      <c r="CD31" s="208">
        <f t="shared" si="23"/>
        <v>29770.072861231078</v>
      </c>
      <c r="CE31" s="208">
        <f t="shared" si="23"/>
        <v>29770.072861231078</v>
      </c>
      <c r="CF31" s="208">
        <f t="shared" si="23"/>
        <v>29770.072861231078</v>
      </c>
      <c r="CG31" s="208">
        <f t="shared" si="23"/>
        <v>29770.072861231078</v>
      </c>
      <c r="CH31" s="208">
        <f t="shared" si="24"/>
        <v>29770.072861231078</v>
      </c>
      <c r="CI31" s="208">
        <f t="shared" si="24"/>
        <v>29770.072861231078</v>
      </c>
      <c r="CJ31" s="208">
        <f t="shared" si="24"/>
        <v>29770.072861231078</v>
      </c>
      <c r="CK31" s="208">
        <f t="shared" si="24"/>
        <v>29770.072861231078</v>
      </c>
      <c r="CL31" s="208">
        <f t="shared" si="24"/>
        <v>29770.072861231078</v>
      </c>
      <c r="CM31" s="208">
        <f t="shared" si="24"/>
        <v>29770.072861231078</v>
      </c>
      <c r="CN31" s="208">
        <f t="shared" si="24"/>
        <v>29770.072861231078</v>
      </c>
      <c r="CO31" s="208">
        <f t="shared" si="24"/>
        <v>29770.072861231078</v>
      </c>
      <c r="CP31" s="208">
        <f t="shared" si="24"/>
        <v>29770.072861231078</v>
      </c>
      <c r="CQ31" s="208">
        <f t="shared" si="24"/>
        <v>29770.072861231078</v>
      </c>
      <c r="CR31" s="208">
        <f t="shared" si="25"/>
        <v>29770.072861231078</v>
      </c>
      <c r="CS31" s="208">
        <f t="shared" si="25"/>
        <v>29770.072861231078</v>
      </c>
      <c r="CT31" s="208">
        <f t="shared" si="25"/>
        <v>29770.072861231078</v>
      </c>
      <c r="CU31" s="208">
        <f t="shared" si="25"/>
        <v>29770.072861231078</v>
      </c>
      <c r="CV31" s="208">
        <f t="shared" si="25"/>
        <v>29770.072861231078</v>
      </c>
      <c r="CW31" s="208">
        <f t="shared" si="25"/>
        <v>29770.072861231078</v>
      </c>
      <c r="CX31" s="208">
        <f t="shared" si="25"/>
        <v>29770.072861231078</v>
      </c>
      <c r="CY31" s="208">
        <f t="shared" si="25"/>
        <v>29770.072861231078</v>
      </c>
      <c r="CZ31" s="208">
        <f t="shared" si="25"/>
        <v>29770.072861231078</v>
      </c>
      <c r="DA31" s="208">
        <f t="shared" si="25"/>
        <v>29770.072861231078</v>
      </c>
    </row>
    <row r="32" spans="1:105">
      <c r="A32" s="199" t="str">
        <f>Income!A79</f>
        <v>Labour - formal emp</v>
      </c>
      <c r="B32" s="201">
        <f>Income!B79</f>
        <v>0</v>
      </c>
      <c r="C32" s="201">
        <f>Income!C79</f>
        <v>0</v>
      </c>
      <c r="D32" s="201">
        <f>Income!D79</f>
        <v>13531.851300559581</v>
      </c>
      <c r="E32" s="201">
        <f>Income!E79</f>
        <v>34731.751671436257</v>
      </c>
      <c r="F32" s="208">
        <f t="shared" si="16"/>
        <v>0</v>
      </c>
      <c r="G32" s="208">
        <f t="shared" si="16"/>
        <v>0</v>
      </c>
      <c r="H32" s="208">
        <f t="shared" si="16"/>
        <v>0</v>
      </c>
      <c r="I32" s="208">
        <f t="shared" si="16"/>
        <v>0</v>
      </c>
      <c r="J32" s="208">
        <f t="shared" si="16"/>
        <v>0</v>
      </c>
      <c r="K32" s="208">
        <f t="shared" si="16"/>
        <v>0</v>
      </c>
      <c r="L32" s="208">
        <f t="shared" si="16"/>
        <v>0</v>
      </c>
      <c r="M32" s="208">
        <f t="shared" si="16"/>
        <v>0</v>
      </c>
      <c r="N32" s="208">
        <f t="shared" si="16"/>
        <v>0</v>
      </c>
      <c r="O32" s="208">
        <f t="shared" si="16"/>
        <v>0</v>
      </c>
      <c r="P32" s="208">
        <f t="shared" si="17"/>
        <v>0</v>
      </c>
      <c r="Q32" s="208">
        <f t="shared" si="17"/>
        <v>0</v>
      </c>
      <c r="R32" s="208">
        <f t="shared" si="17"/>
        <v>0</v>
      </c>
      <c r="S32" s="208">
        <f t="shared" si="17"/>
        <v>0</v>
      </c>
      <c r="T32" s="208">
        <f t="shared" si="17"/>
        <v>0</v>
      </c>
      <c r="U32" s="208">
        <f t="shared" si="17"/>
        <v>0</v>
      </c>
      <c r="V32" s="208">
        <f t="shared" si="17"/>
        <v>0</v>
      </c>
      <c r="W32" s="208">
        <f t="shared" si="17"/>
        <v>0</v>
      </c>
      <c r="X32" s="208">
        <f t="shared" si="17"/>
        <v>0</v>
      </c>
      <c r="Y32" s="208">
        <f t="shared" si="17"/>
        <v>0</v>
      </c>
      <c r="Z32" s="208">
        <f t="shared" si="18"/>
        <v>0</v>
      </c>
      <c r="AA32" s="208">
        <f t="shared" si="18"/>
        <v>0</v>
      </c>
      <c r="AB32" s="208">
        <f t="shared" si="18"/>
        <v>0</v>
      </c>
      <c r="AC32" s="208">
        <f t="shared" si="18"/>
        <v>0</v>
      </c>
      <c r="AD32" s="208">
        <f t="shared" si="18"/>
        <v>0</v>
      </c>
      <c r="AE32" s="208">
        <f t="shared" si="18"/>
        <v>0</v>
      </c>
      <c r="AF32" s="208">
        <f t="shared" si="18"/>
        <v>0</v>
      </c>
      <c r="AG32" s="208">
        <f t="shared" si="18"/>
        <v>0</v>
      </c>
      <c r="AH32" s="208">
        <f t="shared" si="18"/>
        <v>0</v>
      </c>
      <c r="AI32" s="208">
        <f t="shared" si="18"/>
        <v>0</v>
      </c>
      <c r="AJ32" s="208">
        <f t="shared" si="19"/>
        <v>0</v>
      </c>
      <c r="AK32" s="208">
        <f t="shared" si="19"/>
        <v>676.59256502797905</v>
      </c>
      <c r="AL32" s="208">
        <f t="shared" si="19"/>
        <v>1353.1851300559581</v>
      </c>
      <c r="AM32" s="208">
        <f t="shared" si="19"/>
        <v>2029.7776950839373</v>
      </c>
      <c r="AN32" s="208">
        <f t="shared" si="19"/>
        <v>2706.3702601119162</v>
      </c>
      <c r="AO32" s="208">
        <f t="shared" si="19"/>
        <v>3382.9628251398958</v>
      </c>
      <c r="AP32" s="208">
        <f t="shared" si="19"/>
        <v>4059.5553901678745</v>
      </c>
      <c r="AQ32" s="208">
        <f t="shared" si="19"/>
        <v>4736.1479551958528</v>
      </c>
      <c r="AR32" s="208">
        <f t="shared" si="19"/>
        <v>5412.7405202238324</v>
      </c>
      <c r="AS32" s="208">
        <f t="shared" si="19"/>
        <v>6089.333085251812</v>
      </c>
      <c r="AT32" s="208">
        <f t="shared" si="20"/>
        <v>6765.9256502797916</v>
      </c>
      <c r="AU32" s="208">
        <f t="shared" si="20"/>
        <v>7442.5182153077694</v>
      </c>
      <c r="AV32" s="208">
        <f t="shared" si="20"/>
        <v>8119.110780335749</v>
      </c>
      <c r="AW32" s="208">
        <f t="shared" si="20"/>
        <v>8795.7033453637287</v>
      </c>
      <c r="AX32" s="208">
        <f t="shared" si="20"/>
        <v>9472.2959103917055</v>
      </c>
      <c r="AY32" s="208">
        <f t="shared" si="20"/>
        <v>10148.888475419686</v>
      </c>
      <c r="AZ32" s="208">
        <f t="shared" si="20"/>
        <v>10825.481040447665</v>
      </c>
      <c r="BA32" s="208">
        <f t="shared" si="20"/>
        <v>11502.073605475645</v>
      </c>
      <c r="BB32" s="208">
        <f t="shared" si="20"/>
        <v>12178.666170503624</v>
      </c>
      <c r="BC32" s="208">
        <f t="shared" si="20"/>
        <v>12855.258735531603</v>
      </c>
      <c r="BD32" s="208">
        <f t="shared" si="21"/>
        <v>13531.851300559583</v>
      </c>
      <c r="BE32" s="208">
        <f t="shared" si="21"/>
        <v>14591.846319103415</v>
      </c>
      <c r="BF32" s="208">
        <f t="shared" si="21"/>
        <v>15651.841337647249</v>
      </c>
      <c r="BG32" s="208">
        <f t="shared" si="21"/>
        <v>16711.836356191081</v>
      </c>
      <c r="BH32" s="208">
        <f t="shared" si="21"/>
        <v>17771.831374734917</v>
      </c>
      <c r="BI32" s="208">
        <f t="shared" si="21"/>
        <v>18831.826393278752</v>
      </c>
      <c r="BJ32" s="208">
        <f t="shared" si="21"/>
        <v>19891.821411822584</v>
      </c>
      <c r="BK32" s="208">
        <f t="shared" si="21"/>
        <v>20951.816430366416</v>
      </c>
      <c r="BL32" s="208">
        <f t="shared" si="21"/>
        <v>22011.811448910252</v>
      </c>
      <c r="BM32" s="208">
        <f t="shared" si="21"/>
        <v>23071.806467454087</v>
      </c>
      <c r="BN32" s="208">
        <f t="shared" si="22"/>
        <v>24131.801485997919</v>
      </c>
      <c r="BO32" s="208">
        <f t="shared" si="22"/>
        <v>25191.796504541751</v>
      </c>
      <c r="BP32" s="208">
        <f t="shared" si="22"/>
        <v>26251.791523085587</v>
      </c>
      <c r="BQ32" s="208">
        <f t="shared" si="22"/>
        <v>27311.786541629423</v>
      </c>
      <c r="BR32" s="208">
        <f t="shared" si="22"/>
        <v>28371.781560173255</v>
      </c>
      <c r="BS32" s="208">
        <f t="shared" si="22"/>
        <v>29431.77657871709</v>
      </c>
      <c r="BT32" s="208">
        <f t="shared" si="22"/>
        <v>30491.771597260922</v>
      </c>
      <c r="BU32" s="208">
        <f t="shared" si="22"/>
        <v>31551.766615804754</v>
      </c>
      <c r="BV32" s="208">
        <f t="shared" si="22"/>
        <v>32611.76163434859</v>
      </c>
      <c r="BW32" s="208">
        <f t="shared" si="22"/>
        <v>33671.756652892422</v>
      </c>
      <c r="BX32" s="208">
        <f t="shared" si="23"/>
        <v>34731.751671436257</v>
      </c>
      <c r="BY32" s="208">
        <f t="shared" si="23"/>
        <v>34731.751671436257</v>
      </c>
      <c r="BZ32" s="208">
        <f t="shared" si="23"/>
        <v>34731.751671436257</v>
      </c>
      <c r="CA32" s="208">
        <f t="shared" si="23"/>
        <v>34731.751671436257</v>
      </c>
      <c r="CB32" s="208">
        <f t="shared" si="23"/>
        <v>34731.751671436257</v>
      </c>
      <c r="CC32" s="208">
        <f t="shared" si="23"/>
        <v>34731.751671436257</v>
      </c>
      <c r="CD32" s="208">
        <f t="shared" si="23"/>
        <v>34731.751671436257</v>
      </c>
      <c r="CE32" s="208">
        <f t="shared" si="23"/>
        <v>34731.751671436257</v>
      </c>
      <c r="CF32" s="208">
        <f t="shared" si="23"/>
        <v>34731.751671436257</v>
      </c>
      <c r="CG32" s="208">
        <f t="shared" si="23"/>
        <v>34731.751671436257</v>
      </c>
      <c r="CH32" s="208">
        <f t="shared" si="24"/>
        <v>34731.751671436257</v>
      </c>
      <c r="CI32" s="208">
        <f t="shared" si="24"/>
        <v>34731.751671436257</v>
      </c>
      <c r="CJ32" s="208">
        <f t="shared" si="24"/>
        <v>34731.751671436257</v>
      </c>
      <c r="CK32" s="208">
        <f t="shared" si="24"/>
        <v>34731.751671436257</v>
      </c>
      <c r="CL32" s="208">
        <f t="shared" si="24"/>
        <v>34731.751671436257</v>
      </c>
      <c r="CM32" s="208">
        <f t="shared" si="24"/>
        <v>34731.751671436257</v>
      </c>
      <c r="CN32" s="208">
        <f t="shared" si="24"/>
        <v>34731.751671436257</v>
      </c>
      <c r="CO32" s="208">
        <f t="shared" si="24"/>
        <v>34731.751671436257</v>
      </c>
      <c r="CP32" s="208">
        <f t="shared" si="24"/>
        <v>34731.751671436257</v>
      </c>
      <c r="CQ32" s="208">
        <f t="shared" si="24"/>
        <v>34731.751671436257</v>
      </c>
      <c r="CR32" s="208">
        <f t="shared" si="25"/>
        <v>34731.751671436257</v>
      </c>
      <c r="CS32" s="208">
        <f t="shared" si="25"/>
        <v>34731.751671436257</v>
      </c>
      <c r="CT32" s="208">
        <f t="shared" si="25"/>
        <v>34731.751671436257</v>
      </c>
      <c r="CU32" s="208">
        <f t="shared" si="25"/>
        <v>34731.751671436257</v>
      </c>
      <c r="CV32" s="208">
        <f t="shared" si="25"/>
        <v>34731.751671436257</v>
      </c>
      <c r="CW32" s="208">
        <f t="shared" si="25"/>
        <v>34731.751671436257</v>
      </c>
      <c r="CX32" s="208">
        <f t="shared" si="25"/>
        <v>34731.751671436257</v>
      </c>
      <c r="CY32" s="208">
        <f t="shared" si="25"/>
        <v>34731.751671436257</v>
      </c>
      <c r="CZ32" s="208">
        <f t="shared" si="25"/>
        <v>34731.751671436257</v>
      </c>
      <c r="DA32" s="208">
        <f t="shared" si="25"/>
        <v>34731.751671436257</v>
      </c>
    </row>
    <row r="33" spans="1:105">
      <c r="A33" s="199" t="str">
        <f>Income!A81</f>
        <v>Self - employment</v>
      </c>
      <c r="B33" s="201">
        <f>Income!B81</f>
        <v>3518.2813381454916</v>
      </c>
      <c r="C33" s="201">
        <f>Income!C81</f>
        <v>8209.3231223394796</v>
      </c>
      <c r="D33" s="201">
        <f>Income!D81</f>
        <v>10554.844014436472</v>
      </c>
      <c r="E33" s="201">
        <f>Income!E81</f>
        <v>14289.634973390919</v>
      </c>
      <c r="F33" s="208">
        <f t="shared" si="16"/>
        <v>3518.2813381454916</v>
      </c>
      <c r="G33" s="208">
        <f t="shared" si="16"/>
        <v>3518.2813381454916</v>
      </c>
      <c r="H33" s="208">
        <f t="shared" si="16"/>
        <v>3518.2813381454916</v>
      </c>
      <c r="I33" s="208">
        <f t="shared" si="16"/>
        <v>3518.2813381454916</v>
      </c>
      <c r="J33" s="208">
        <f t="shared" si="16"/>
        <v>3518.2813381454916</v>
      </c>
      <c r="K33" s="208">
        <f t="shared" si="16"/>
        <v>3518.2813381454916</v>
      </c>
      <c r="L33" s="208">
        <f t="shared" si="16"/>
        <v>3518.2813381454916</v>
      </c>
      <c r="M33" s="208">
        <f t="shared" si="16"/>
        <v>3518.2813381454916</v>
      </c>
      <c r="N33" s="208">
        <f t="shared" si="16"/>
        <v>3518.2813381454916</v>
      </c>
      <c r="O33" s="208">
        <f t="shared" si="16"/>
        <v>3518.2813381454916</v>
      </c>
      <c r="P33" s="208">
        <f t="shared" si="17"/>
        <v>3518.2813381454916</v>
      </c>
      <c r="Q33" s="208">
        <f t="shared" si="17"/>
        <v>3752.8334273551909</v>
      </c>
      <c r="R33" s="208">
        <f t="shared" si="17"/>
        <v>3987.3855165648906</v>
      </c>
      <c r="S33" s="208">
        <f t="shared" si="17"/>
        <v>4221.9376057745894</v>
      </c>
      <c r="T33" s="208">
        <f t="shared" si="17"/>
        <v>4456.4896949842896</v>
      </c>
      <c r="U33" s="208">
        <f t="shared" si="17"/>
        <v>4691.0417841939889</v>
      </c>
      <c r="V33" s="208">
        <f t="shared" si="17"/>
        <v>4925.5938734036881</v>
      </c>
      <c r="W33" s="208">
        <f t="shared" si="17"/>
        <v>5160.1459626133874</v>
      </c>
      <c r="X33" s="208">
        <f t="shared" si="17"/>
        <v>5394.6980518230866</v>
      </c>
      <c r="Y33" s="208">
        <f t="shared" si="17"/>
        <v>5629.2501410327859</v>
      </c>
      <c r="Z33" s="208">
        <f t="shared" si="18"/>
        <v>5863.8022302424852</v>
      </c>
      <c r="AA33" s="208">
        <f t="shared" si="18"/>
        <v>6098.3543194521844</v>
      </c>
      <c r="AB33" s="208">
        <f t="shared" si="18"/>
        <v>6332.9064086618837</v>
      </c>
      <c r="AC33" s="208">
        <f t="shared" si="18"/>
        <v>6567.4584978715839</v>
      </c>
      <c r="AD33" s="208">
        <f t="shared" si="18"/>
        <v>6802.010587081284</v>
      </c>
      <c r="AE33" s="208">
        <f t="shared" si="18"/>
        <v>7036.5626762909824</v>
      </c>
      <c r="AF33" s="208">
        <f t="shared" si="18"/>
        <v>7271.1147655006826</v>
      </c>
      <c r="AG33" s="208">
        <f t="shared" si="18"/>
        <v>7505.6668547103818</v>
      </c>
      <c r="AH33" s="208">
        <f t="shared" si="18"/>
        <v>7740.2189439200802</v>
      </c>
      <c r="AI33" s="208">
        <f t="shared" si="18"/>
        <v>7974.7710331297803</v>
      </c>
      <c r="AJ33" s="208">
        <f t="shared" si="19"/>
        <v>8209.3231223394796</v>
      </c>
      <c r="AK33" s="208">
        <f t="shared" si="19"/>
        <v>8326.5991669443283</v>
      </c>
      <c r="AL33" s="208">
        <f t="shared" si="19"/>
        <v>8443.8752115491789</v>
      </c>
      <c r="AM33" s="208">
        <f t="shared" si="19"/>
        <v>8561.1512561540294</v>
      </c>
      <c r="AN33" s="208">
        <f t="shared" si="19"/>
        <v>8678.4273007588781</v>
      </c>
      <c r="AO33" s="208">
        <f t="shared" si="19"/>
        <v>8795.7033453637268</v>
      </c>
      <c r="AP33" s="208">
        <f t="shared" si="19"/>
        <v>8912.9793899685774</v>
      </c>
      <c r="AQ33" s="208">
        <f t="shared" si="19"/>
        <v>9030.2554345734279</v>
      </c>
      <c r="AR33" s="208">
        <f t="shared" si="19"/>
        <v>9147.5314791782766</v>
      </c>
      <c r="AS33" s="208">
        <f t="shared" si="19"/>
        <v>9264.8075237831254</v>
      </c>
      <c r="AT33" s="208">
        <f t="shared" si="20"/>
        <v>9382.0835683879759</v>
      </c>
      <c r="AU33" s="208">
        <f t="shared" si="20"/>
        <v>9499.3596129928264</v>
      </c>
      <c r="AV33" s="208">
        <f t="shared" si="20"/>
        <v>9616.6356575976752</v>
      </c>
      <c r="AW33" s="208">
        <f t="shared" si="20"/>
        <v>9733.9117022025239</v>
      </c>
      <c r="AX33" s="208">
        <f t="shared" si="20"/>
        <v>9851.1877468073744</v>
      </c>
      <c r="AY33" s="208">
        <f t="shared" si="20"/>
        <v>9968.463791412225</v>
      </c>
      <c r="AZ33" s="208">
        <f t="shared" si="20"/>
        <v>10085.739836017074</v>
      </c>
      <c r="BA33" s="208">
        <f t="shared" si="20"/>
        <v>10203.015880621922</v>
      </c>
      <c r="BB33" s="208">
        <f t="shared" si="20"/>
        <v>10320.291925226773</v>
      </c>
      <c r="BC33" s="208">
        <f t="shared" si="20"/>
        <v>10437.567969831623</v>
      </c>
      <c r="BD33" s="208">
        <f t="shared" si="21"/>
        <v>10554.844014436472</v>
      </c>
      <c r="BE33" s="208">
        <f t="shared" si="21"/>
        <v>10741.583562384194</v>
      </c>
      <c r="BF33" s="208">
        <f t="shared" si="21"/>
        <v>10928.323110331918</v>
      </c>
      <c r="BG33" s="208">
        <f t="shared" si="21"/>
        <v>11115.062658279639</v>
      </c>
      <c r="BH33" s="208">
        <f t="shared" si="21"/>
        <v>11301.802206227361</v>
      </c>
      <c r="BI33" s="208">
        <f t="shared" si="21"/>
        <v>11488.541754175083</v>
      </c>
      <c r="BJ33" s="208">
        <f t="shared" si="21"/>
        <v>11675.281302122807</v>
      </c>
      <c r="BK33" s="208">
        <f t="shared" si="21"/>
        <v>11862.020850070528</v>
      </c>
      <c r="BL33" s="208">
        <f t="shared" si="21"/>
        <v>12048.76039801825</v>
      </c>
      <c r="BM33" s="208">
        <f t="shared" si="21"/>
        <v>12235.499945965974</v>
      </c>
      <c r="BN33" s="208">
        <f t="shared" si="22"/>
        <v>12422.239493913696</v>
      </c>
      <c r="BO33" s="208">
        <f t="shared" si="22"/>
        <v>12608.979041861417</v>
      </c>
      <c r="BP33" s="208">
        <f t="shared" si="22"/>
        <v>12795.718589809141</v>
      </c>
      <c r="BQ33" s="208">
        <f t="shared" si="22"/>
        <v>12982.458137756863</v>
      </c>
      <c r="BR33" s="208">
        <f t="shared" si="22"/>
        <v>13169.197685704585</v>
      </c>
      <c r="BS33" s="208">
        <f t="shared" si="22"/>
        <v>13355.937233652308</v>
      </c>
      <c r="BT33" s="208">
        <f t="shared" si="22"/>
        <v>13542.67678160003</v>
      </c>
      <c r="BU33" s="208">
        <f t="shared" si="22"/>
        <v>13729.416329547752</v>
      </c>
      <c r="BV33" s="208">
        <f t="shared" si="22"/>
        <v>13916.155877495474</v>
      </c>
      <c r="BW33" s="208">
        <f t="shared" si="22"/>
        <v>14102.895425443197</v>
      </c>
      <c r="BX33" s="208">
        <f t="shared" si="23"/>
        <v>14289.634973390919</v>
      </c>
      <c r="BY33" s="208">
        <f t="shared" si="23"/>
        <v>14289.634973390919</v>
      </c>
      <c r="BZ33" s="208">
        <f t="shared" si="23"/>
        <v>14289.634973390919</v>
      </c>
      <c r="CA33" s="208">
        <f t="shared" si="23"/>
        <v>14289.634973390919</v>
      </c>
      <c r="CB33" s="208">
        <f t="shared" si="23"/>
        <v>14289.634973390919</v>
      </c>
      <c r="CC33" s="208">
        <f t="shared" si="23"/>
        <v>14289.634973390919</v>
      </c>
      <c r="CD33" s="208">
        <f t="shared" si="23"/>
        <v>14289.634973390919</v>
      </c>
      <c r="CE33" s="208">
        <f t="shared" si="23"/>
        <v>14289.634973390919</v>
      </c>
      <c r="CF33" s="208">
        <f t="shared" si="23"/>
        <v>14289.634973390919</v>
      </c>
      <c r="CG33" s="208">
        <f t="shared" si="23"/>
        <v>14289.634973390919</v>
      </c>
      <c r="CH33" s="208">
        <f t="shared" si="24"/>
        <v>14289.634973390919</v>
      </c>
      <c r="CI33" s="208">
        <f t="shared" si="24"/>
        <v>14289.634973390919</v>
      </c>
      <c r="CJ33" s="208">
        <f t="shared" si="24"/>
        <v>14289.634973390919</v>
      </c>
      <c r="CK33" s="208">
        <f t="shared" si="24"/>
        <v>14289.634973390919</v>
      </c>
      <c r="CL33" s="208">
        <f t="shared" si="24"/>
        <v>14289.634973390919</v>
      </c>
      <c r="CM33" s="208">
        <f t="shared" si="24"/>
        <v>14289.634973390919</v>
      </c>
      <c r="CN33" s="208">
        <f t="shared" si="24"/>
        <v>14289.634973390919</v>
      </c>
      <c r="CO33" s="208">
        <f t="shared" si="24"/>
        <v>14289.634973390919</v>
      </c>
      <c r="CP33" s="208">
        <f t="shared" si="24"/>
        <v>14289.634973390919</v>
      </c>
      <c r="CQ33" s="208">
        <f t="shared" si="24"/>
        <v>14289.634973390919</v>
      </c>
      <c r="CR33" s="208">
        <f t="shared" si="25"/>
        <v>14289.634973390919</v>
      </c>
      <c r="CS33" s="208">
        <f t="shared" si="25"/>
        <v>14289.634973390919</v>
      </c>
      <c r="CT33" s="208">
        <f t="shared" si="25"/>
        <v>14289.634973390919</v>
      </c>
      <c r="CU33" s="208">
        <f t="shared" si="25"/>
        <v>14289.634973390919</v>
      </c>
      <c r="CV33" s="208">
        <f t="shared" si="25"/>
        <v>14289.634973390919</v>
      </c>
      <c r="CW33" s="208">
        <f t="shared" si="25"/>
        <v>14289.634973390919</v>
      </c>
      <c r="CX33" s="208">
        <f t="shared" si="25"/>
        <v>14289.634973390919</v>
      </c>
      <c r="CY33" s="208">
        <f t="shared" si="25"/>
        <v>14289.634973390919</v>
      </c>
      <c r="CZ33" s="208">
        <f t="shared" si="25"/>
        <v>14289.634973390919</v>
      </c>
      <c r="DA33" s="208">
        <f t="shared" si="25"/>
        <v>14289.634973390919</v>
      </c>
    </row>
    <row r="34" spans="1:105">
      <c r="A34" s="199" t="str">
        <f>Income!A82</f>
        <v>Small business/petty trading</v>
      </c>
      <c r="B34" s="201">
        <f>Income!B82</f>
        <v>0</v>
      </c>
      <c r="C34" s="201">
        <f>Income!C82</f>
        <v>4239.9800741753361</v>
      </c>
      <c r="D34" s="201">
        <f>Income!D82</f>
        <v>7036.5626762909824</v>
      </c>
      <c r="E34" s="201">
        <f>Income!E82</f>
        <v>8931.021858369324</v>
      </c>
      <c r="F34" s="208">
        <f t="shared" si="16"/>
        <v>0</v>
      </c>
      <c r="G34" s="208">
        <f t="shared" si="16"/>
        <v>0</v>
      </c>
      <c r="H34" s="208">
        <f t="shared" si="16"/>
        <v>0</v>
      </c>
      <c r="I34" s="208">
        <f t="shared" si="16"/>
        <v>0</v>
      </c>
      <c r="J34" s="208">
        <f t="shared" si="16"/>
        <v>0</v>
      </c>
      <c r="K34" s="208">
        <f t="shared" si="16"/>
        <v>0</v>
      </c>
      <c r="L34" s="208">
        <f t="shared" si="16"/>
        <v>0</v>
      </c>
      <c r="M34" s="208">
        <f t="shared" si="16"/>
        <v>0</v>
      </c>
      <c r="N34" s="208">
        <f t="shared" si="16"/>
        <v>0</v>
      </c>
      <c r="O34" s="208">
        <f t="shared" si="16"/>
        <v>0</v>
      </c>
      <c r="P34" s="208">
        <f t="shared" si="17"/>
        <v>0</v>
      </c>
      <c r="Q34" s="208">
        <f t="shared" si="17"/>
        <v>211.99900370876679</v>
      </c>
      <c r="R34" s="208">
        <f t="shared" si="17"/>
        <v>423.99800741753359</v>
      </c>
      <c r="S34" s="208">
        <f t="shared" si="17"/>
        <v>635.99701112630044</v>
      </c>
      <c r="T34" s="208">
        <f t="shared" si="17"/>
        <v>847.99601483506717</v>
      </c>
      <c r="U34" s="208">
        <f t="shared" si="17"/>
        <v>1059.995018543834</v>
      </c>
      <c r="V34" s="208">
        <f t="shared" si="17"/>
        <v>1271.9940222526009</v>
      </c>
      <c r="W34" s="208">
        <f t="shared" si="17"/>
        <v>1483.9930259613677</v>
      </c>
      <c r="X34" s="208">
        <f t="shared" si="17"/>
        <v>1695.9920296701343</v>
      </c>
      <c r="Y34" s="208">
        <f t="shared" si="17"/>
        <v>1907.9910333789012</v>
      </c>
      <c r="Z34" s="208">
        <f t="shared" si="18"/>
        <v>2119.990037087668</v>
      </c>
      <c r="AA34" s="208">
        <f t="shared" si="18"/>
        <v>2331.9890407964349</v>
      </c>
      <c r="AB34" s="208">
        <f t="shared" si="18"/>
        <v>2543.9880445052017</v>
      </c>
      <c r="AC34" s="208">
        <f t="shared" si="18"/>
        <v>2755.9870482139686</v>
      </c>
      <c r="AD34" s="208">
        <f t="shared" si="18"/>
        <v>2967.9860519227354</v>
      </c>
      <c r="AE34" s="208">
        <f t="shared" si="18"/>
        <v>3179.9850556315023</v>
      </c>
      <c r="AF34" s="208">
        <f t="shared" si="18"/>
        <v>3391.9840593402687</v>
      </c>
      <c r="AG34" s="208">
        <f t="shared" si="18"/>
        <v>3603.983063049036</v>
      </c>
      <c r="AH34" s="208">
        <f t="shared" si="18"/>
        <v>3815.9820667578024</v>
      </c>
      <c r="AI34" s="208">
        <f t="shared" si="18"/>
        <v>4027.9810704665697</v>
      </c>
      <c r="AJ34" s="208">
        <f t="shared" si="19"/>
        <v>4239.9800741753361</v>
      </c>
      <c r="AK34" s="208">
        <f t="shared" si="19"/>
        <v>4379.8092042811186</v>
      </c>
      <c r="AL34" s="208">
        <f t="shared" si="19"/>
        <v>4519.6383343869011</v>
      </c>
      <c r="AM34" s="208">
        <f t="shared" si="19"/>
        <v>4659.4674644926827</v>
      </c>
      <c r="AN34" s="208">
        <f t="shared" si="19"/>
        <v>4799.2965945984652</v>
      </c>
      <c r="AO34" s="208">
        <f t="shared" si="19"/>
        <v>4939.1257247042477</v>
      </c>
      <c r="AP34" s="208">
        <f t="shared" si="19"/>
        <v>5078.9548548100302</v>
      </c>
      <c r="AQ34" s="208">
        <f t="shared" si="19"/>
        <v>5218.7839849158127</v>
      </c>
      <c r="AR34" s="208">
        <f t="shared" si="19"/>
        <v>5358.6131150215951</v>
      </c>
      <c r="AS34" s="208">
        <f t="shared" si="19"/>
        <v>5498.4422451273767</v>
      </c>
      <c r="AT34" s="208">
        <f t="shared" si="20"/>
        <v>5638.2713752331592</v>
      </c>
      <c r="AU34" s="208">
        <f t="shared" si="20"/>
        <v>5778.1005053389417</v>
      </c>
      <c r="AV34" s="208">
        <f t="shared" si="20"/>
        <v>5917.9296354447233</v>
      </c>
      <c r="AW34" s="208">
        <f t="shared" si="20"/>
        <v>6057.7587655505067</v>
      </c>
      <c r="AX34" s="208">
        <f t="shared" si="20"/>
        <v>6197.5878956562883</v>
      </c>
      <c r="AY34" s="208">
        <f t="shared" si="20"/>
        <v>6337.4170257620708</v>
      </c>
      <c r="AZ34" s="208">
        <f t="shared" si="20"/>
        <v>6477.2461558678533</v>
      </c>
      <c r="BA34" s="208">
        <f t="shared" si="20"/>
        <v>6617.0752859736349</v>
      </c>
      <c r="BB34" s="208">
        <f t="shared" si="20"/>
        <v>6756.9044160794183</v>
      </c>
      <c r="BC34" s="208">
        <f t="shared" si="20"/>
        <v>6896.7335461851999</v>
      </c>
      <c r="BD34" s="208">
        <f t="shared" si="21"/>
        <v>7036.5626762909824</v>
      </c>
      <c r="BE34" s="208">
        <f t="shared" si="21"/>
        <v>7131.2856353948991</v>
      </c>
      <c r="BF34" s="208">
        <f t="shared" si="21"/>
        <v>7226.0085944988168</v>
      </c>
      <c r="BG34" s="208">
        <f t="shared" si="21"/>
        <v>7320.7315536027336</v>
      </c>
      <c r="BH34" s="208">
        <f t="shared" si="21"/>
        <v>7415.4545127066503</v>
      </c>
      <c r="BI34" s="208">
        <f t="shared" si="21"/>
        <v>7510.177471810568</v>
      </c>
      <c r="BJ34" s="208">
        <f t="shared" si="21"/>
        <v>7604.9004309144848</v>
      </c>
      <c r="BK34" s="208">
        <f t="shared" si="21"/>
        <v>7699.6233900184016</v>
      </c>
      <c r="BL34" s="208">
        <f t="shared" si="21"/>
        <v>7794.3463491223192</v>
      </c>
      <c r="BM34" s="208">
        <f t="shared" si="21"/>
        <v>7889.069308226236</v>
      </c>
      <c r="BN34" s="208">
        <f t="shared" si="22"/>
        <v>7983.7922673301537</v>
      </c>
      <c r="BO34" s="208">
        <f t="shared" si="22"/>
        <v>8078.5152264340704</v>
      </c>
      <c r="BP34" s="208">
        <f t="shared" si="22"/>
        <v>8173.2381855379872</v>
      </c>
      <c r="BQ34" s="208">
        <f t="shared" si="22"/>
        <v>8267.961144641904</v>
      </c>
      <c r="BR34" s="208">
        <f t="shared" si="22"/>
        <v>8362.6841037458216</v>
      </c>
      <c r="BS34" s="208">
        <f t="shared" si="22"/>
        <v>8457.4070628497393</v>
      </c>
      <c r="BT34" s="208">
        <f t="shared" si="22"/>
        <v>8552.1300219536552</v>
      </c>
      <c r="BU34" s="208">
        <f t="shared" si="22"/>
        <v>8646.8529810575728</v>
      </c>
      <c r="BV34" s="208">
        <f t="shared" si="22"/>
        <v>8741.5759401614905</v>
      </c>
      <c r="BW34" s="208">
        <f t="shared" si="22"/>
        <v>8836.2988992654064</v>
      </c>
      <c r="BX34" s="208">
        <f t="shared" si="23"/>
        <v>8931.021858369324</v>
      </c>
      <c r="BY34" s="208">
        <f t="shared" si="23"/>
        <v>8931.021858369324</v>
      </c>
      <c r="BZ34" s="208">
        <f t="shared" si="23"/>
        <v>8931.021858369324</v>
      </c>
      <c r="CA34" s="208">
        <f t="shared" si="23"/>
        <v>8931.021858369324</v>
      </c>
      <c r="CB34" s="208">
        <f t="shared" si="23"/>
        <v>8931.021858369324</v>
      </c>
      <c r="CC34" s="208">
        <f t="shared" si="23"/>
        <v>8931.021858369324</v>
      </c>
      <c r="CD34" s="208">
        <f t="shared" si="23"/>
        <v>8931.021858369324</v>
      </c>
      <c r="CE34" s="208">
        <f t="shared" si="23"/>
        <v>8931.021858369324</v>
      </c>
      <c r="CF34" s="208">
        <f t="shared" si="23"/>
        <v>8931.021858369324</v>
      </c>
      <c r="CG34" s="208">
        <f t="shared" si="23"/>
        <v>8931.021858369324</v>
      </c>
      <c r="CH34" s="208">
        <f t="shared" si="24"/>
        <v>8931.021858369324</v>
      </c>
      <c r="CI34" s="208">
        <f t="shared" si="24"/>
        <v>8931.021858369324</v>
      </c>
      <c r="CJ34" s="208">
        <f t="shared" si="24"/>
        <v>8931.021858369324</v>
      </c>
      <c r="CK34" s="208">
        <f t="shared" si="24"/>
        <v>8931.021858369324</v>
      </c>
      <c r="CL34" s="208">
        <f t="shared" si="24"/>
        <v>8931.021858369324</v>
      </c>
      <c r="CM34" s="208">
        <f t="shared" si="24"/>
        <v>8931.021858369324</v>
      </c>
      <c r="CN34" s="208">
        <f t="shared" si="24"/>
        <v>8931.021858369324</v>
      </c>
      <c r="CO34" s="208">
        <f t="shared" si="24"/>
        <v>8931.021858369324</v>
      </c>
      <c r="CP34" s="208">
        <f t="shared" si="24"/>
        <v>8931.021858369324</v>
      </c>
      <c r="CQ34" s="208">
        <f t="shared" si="24"/>
        <v>8931.021858369324</v>
      </c>
      <c r="CR34" s="208">
        <f t="shared" si="25"/>
        <v>8931.021858369324</v>
      </c>
      <c r="CS34" s="208">
        <f t="shared" si="25"/>
        <v>8931.021858369324</v>
      </c>
      <c r="CT34" s="208">
        <f t="shared" si="25"/>
        <v>8931.021858369324</v>
      </c>
      <c r="CU34" s="208">
        <f t="shared" si="25"/>
        <v>8931.021858369324</v>
      </c>
      <c r="CV34" s="208">
        <f t="shared" si="25"/>
        <v>8931.021858369324</v>
      </c>
      <c r="CW34" s="208">
        <f t="shared" si="25"/>
        <v>8931.021858369324</v>
      </c>
      <c r="CX34" s="208">
        <f t="shared" si="25"/>
        <v>8931.021858369324</v>
      </c>
      <c r="CY34" s="208">
        <f t="shared" si="25"/>
        <v>8931.021858369324</v>
      </c>
      <c r="CZ34" s="208">
        <f t="shared" si="25"/>
        <v>8931.021858369324</v>
      </c>
      <c r="DA34" s="208">
        <f t="shared" si="25"/>
        <v>8931.021858369324</v>
      </c>
    </row>
    <row r="35" spans="1:105">
      <c r="A35" s="199" t="str">
        <f>Income!A83</f>
        <v>Food transfer - official</v>
      </c>
      <c r="B35" s="201">
        <f>Income!B83</f>
        <v>1220.9989961164727</v>
      </c>
      <c r="C35" s="201">
        <f>Income!C83</f>
        <v>1220.9989961164727</v>
      </c>
      <c r="D35" s="201">
        <f>Income!D83</f>
        <v>1220.9989961164724</v>
      </c>
      <c r="E35" s="201">
        <f>Income!E83</f>
        <v>1220.9989961164727</v>
      </c>
      <c r="F35" s="208">
        <f t="shared" si="16"/>
        <v>1220.9989961164727</v>
      </c>
      <c r="G35" s="208">
        <f t="shared" si="16"/>
        <v>1220.9989961164727</v>
      </c>
      <c r="H35" s="208">
        <f t="shared" si="16"/>
        <v>1220.9989961164727</v>
      </c>
      <c r="I35" s="208">
        <f t="shared" si="16"/>
        <v>1220.9989961164727</v>
      </c>
      <c r="J35" s="208">
        <f t="shared" si="16"/>
        <v>1220.9989961164727</v>
      </c>
      <c r="K35" s="208">
        <f t="shared" si="16"/>
        <v>1220.9989961164727</v>
      </c>
      <c r="L35" s="208">
        <f t="shared" si="16"/>
        <v>1220.9989961164727</v>
      </c>
      <c r="M35" s="208">
        <f t="shared" si="16"/>
        <v>1220.9989961164727</v>
      </c>
      <c r="N35" s="208">
        <f t="shared" si="16"/>
        <v>1220.9989961164727</v>
      </c>
      <c r="O35" s="208">
        <f t="shared" si="16"/>
        <v>1220.9989961164727</v>
      </c>
      <c r="P35" s="208">
        <f t="shared" si="17"/>
        <v>1220.9989961164727</v>
      </c>
      <c r="Q35" s="208">
        <f t="shared" si="17"/>
        <v>1220.9989961164727</v>
      </c>
      <c r="R35" s="208">
        <f t="shared" si="17"/>
        <v>1220.9989961164727</v>
      </c>
      <c r="S35" s="208">
        <f t="shared" si="17"/>
        <v>1220.9989961164727</v>
      </c>
      <c r="T35" s="208">
        <f t="shared" si="17"/>
        <v>1220.9989961164727</v>
      </c>
      <c r="U35" s="208">
        <f t="shared" si="17"/>
        <v>1220.9989961164727</v>
      </c>
      <c r="V35" s="208">
        <f t="shared" si="17"/>
        <v>1220.9989961164727</v>
      </c>
      <c r="W35" s="208">
        <f t="shared" si="17"/>
        <v>1220.9989961164727</v>
      </c>
      <c r="X35" s="208">
        <f t="shared" si="17"/>
        <v>1220.9989961164727</v>
      </c>
      <c r="Y35" s="208">
        <f t="shared" si="17"/>
        <v>1220.9989961164727</v>
      </c>
      <c r="Z35" s="208">
        <f t="shared" si="18"/>
        <v>1220.9989961164727</v>
      </c>
      <c r="AA35" s="208">
        <f t="shared" si="18"/>
        <v>1220.9989961164727</v>
      </c>
      <c r="AB35" s="208">
        <f t="shared" si="18"/>
        <v>1220.9989961164727</v>
      </c>
      <c r="AC35" s="208">
        <f t="shared" si="18"/>
        <v>1220.9989961164727</v>
      </c>
      <c r="AD35" s="208">
        <f t="shared" si="18"/>
        <v>1220.9989961164727</v>
      </c>
      <c r="AE35" s="208">
        <f t="shared" si="18"/>
        <v>1220.9989961164727</v>
      </c>
      <c r="AF35" s="208">
        <f t="shared" si="18"/>
        <v>1220.9989961164727</v>
      </c>
      <c r="AG35" s="208">
        <f t="shared" si="18"/>
        <v>1220.9989961164727</v>
      </c>
      <c r="AH35" s="208">
        <f t="shared" si="18"/>
        <v>1220.9989961164727</v>
      </c>
      <c r="AI35" s="208">
        <f t="shared" si="18"/>
        <v>1220.9989961164727</v>
      </c>
      <c r="AJ35" s="208">
        <f t="shared" si="19"/>
        <v>1220.9989961164727</v>
      </c>
      <c r="AK35" s="208">
        <f t="shared" si="19"/>
        <v>1220.9989961164727</v>
      </c>
      <c r="AL35" s="208">
        <f t="shared" si="19"/>
        <v>1220.9989961164727</v>
      </c>
      <c r="AM35" s="208">
        <f t="shared" si="19"/>
        <v>1220.9989961164727</v>
      </c>
      <c r="AN35" s="208">
        <f t="shared" si="19"/>
        <v>1220.9989961164727</v>
      </c>
      <c r="AO35" s="208">
        <f t="shared" si="19"/>
        <v>1220.9989961164727</v>
      </c>
      <c r="AP35" s="208">
        <f t="shared" si="19"/>
        <v>1220.9989961164727</v>
      </c>
      <c r="AQ35" s="208">
        <f t="shared" si="19"/>
        <v>1220.9989961164727</v>
      </c>
      <c r="AR35" s="208">
        <f t="shared" si="19"/>
        <v>1220.9989961164727</v>
      </c>
      <c r="AS35" s="208">
        <f t="shared" si="19"/>
        <v>1220.9989961164727</v>
      </c>
      <c r="AT35" s="208">
        <f t="shared" si="20"/>
        <v>1220.9989961164724</v>
      </c>
      <c r="AU35" s="208">
        <f t="shared" si="20"/>
        <v>1220.9989961164724</v>
      </c>
      <c r="AV35" s="208">
        <f t="shared" si="20"/>
        <v>1220.9989961164724</v>
      </c>
      <c r="AW35" s="208">
        <f t="shared" si="20"/>
        <v>1220.9989961164724</v>
      </c>
      <c r="AX35" s="208">
        <f t="shared" si="20"/>
        <v>1220.9989961164724</v>
      </c>
      <c r="AY35" s="208">
        <f t="shared" si="20"/>
        <v>1220.9989961164724</v>
      </c>
      <c r="AZ35" s="208">
        <f t="shared" si="20"/>
        <v>1220.9989961164724</v>
      </c>
      <c r="BA35" s="208">
        <f t="shared" si="20"/>
        <v>1220.9989961164724</v>
      </c>
      <c r="BB35" s="208">
        <f t="shared" si="20"/>
        <v>1220.9989961164724</v>
      </c>
      <c r="BC35" s="208">
        <f t="shared" si="20"/>
        <v>1220.9989961164724</v>
      </c>
      <c r="BD35" s="208">
        <f t="shared" si="21"/>
        <v>1220.9989961164724</v>
      </c>
      <c r="BE35" s="208">
        <f t="shared" si="21"/>
        <v>1220.9989961164724</v>
      </c>
      <c r="BF35" s="208">
        <f t="shared" si="21"/>
        <v>1220.9989961164724</v>
      </c>
      <c r="BG35" s="208">
        <f t="shared" si="21"/>
        <v>1220.9989961164724</v>
      </c>
      <c r="BH35" s="208">
        <f t="shared" si="21"/>
        <v>1220.9989961164724</v>
      </c>
      <c r="BI35" s="208">
        <f t="shared" si="21"/>
        <v>1220.9989961164724</v>
      </c>
      <c r="BJ35" s="208">
        <f t="shared" si="21"/>
        <v>1220.9989961164724</v>
      </c>
      <c r="BK35" s="208">
        <f t="shared" si="21"/>
        <v>1220.9989961164724</v>
      </c>
      <c r="BL35" s="208">
        <f t="shared" si="21"/>
        <v>1220.9989961164724</v>
      </c>
      <c r="BM35" s="208">
        <f t="shared" si="21"/>
        <v>1220.9989961164724</v>
      </c>
      <c r="BN35" s="208">
        <f t="shared" si="22"/>
        <v>1220.9989961164724</v>
      </c>
      <c r="BO35" s="208">
        <f t="shared" si="22"/>
        <v>1220.9989961164727</v>
      </c>
      <c r="BP35" s="208">
        <f t="shared" si="22"/>
        <v>1220.9989961164727</v>
      </c>
      <c r="BQ35" s="208">
        <f t="shared" si="22"/>
        <v>1220.9989961164727</v>
      </c>
      <c r="BR35" s="208">
        <f t="shared" si="22"/>
        <v>1220.9989961164727</v>
      </c>
      <c r="BS35" s="208">
        <f t="shared" si="22"/>
        <v>1220.9989961164727</v>
      </c>
      <c r="BT35" s="208">
        <f t="shared" si="22"/>
        <v>1220.9989961164727</v>
      </c>
      <c r="BU35" s="208">
        <f t="shared" si="22"/>
        <v>1220.9989961164727</v>
      </c>
      <c r="BV35" s="208">
        <f t="shared" si="22"/>
        <v>1220.9989961164727</v>
      </c>
      <c r="BW35" s="208">
        <f t="shared" si="22"/>
        <v>1220.9989961164727</v>
      </c>
      <c r="BX35" s="208">
        <f t="shared" si="23"/>
        <v>1220.9989961164727</v>
      </c>
      <c r="BY35" s="208">
        <f t="shared" si="23"/>
        <v>1220.9989961164727</v>
      </c>
      <c r="BZ35" s="208">
        <f t="shared" si="23"/>
        <v>1220.9989961164727</v>
      </c>
      <c r="CA35" s="208">
        <f t="shared" si="23"/>
        <v>1220.9989961164727</v>
      </c>
      <c r="CB35" s="208">
        <f t="shared" si="23"/>
        <v>1220.9989961164727</v>
      </c>
      <c r="CC35" s="208">
        <f t="shared" si="23"/>
        <v>1220.9989961164727</v>
      </c>
      <c r="CD35" s="208">
        <f t="shared" si="23"/>
        <v>1220.9989961164727</v>
      </c>
      <c r="CE35" s="208">
        <f t="shared" si="23"/>
        <v>1220.9989961164727</v>
      </c>
      <c r="CF35" s="208">
        <f t="shared" si="23"/>
        <v>1220.9989961164727</v>
      </c>
      <c r="CG35" s="208">
        <f t="shared" si="23"/>
        <v>1220.9989961164727</v>
      </c>
      <c r="CH35" s="208">
        <f t="shared" si="24"/>
        <v>1220.9989961164727</v>
      </c>
      <c r="CI35" s="208">
        <f t="shared" si="24"/>
        <v>1220.9989961164727</v>
      </c>
      <c r="CJ35" s="208">
        <f t="shared" si="24"/>
        <v>1220.9989961164727</v>
      </c>
      <c r="CK35" s="208">
        <f t="shared" si="24"/>
        <v>1220.9989961164727</v>
      </c>
      <c r="CL35" s="208">
        <f t="shared" si="24"/>
        <v>1220.9989961164727</v>
      </c>
      <c r="CM35" s="208">
        <f t="shared" si="24"/>
        <v>1220.9989961164727</v>
      </c>
      <c r="CN35" s="208">
        <f t="shared" si="24"/>
        <v>1220.9989961164727</v>
      </c>
      <c r="CO35" s="208">
        <f t="shared" si="24"/>
        <v>1220.9989961164727</v>
      </c>
      <c r="CP35" s="208">
        <f t="shared" si="24"/>
        <v>1220.9989961164727</v>
      </c>
      <c r="CQ35" s="208">
        <f t="shared" si="24"/>
        <v>1220.9989961164727</v>
      </c>
      <c r="CR35" s="208">
        <f t="shared" si="25"/>
        <v>1220.9989961164727</v>
      </c>
      <c r="CS35" s="208">
        <f t="shared" si="25"/>
        <v>1220.9989961164727</v>
      </c>
      <c r="CT35" s="208">
        <f t="shared" si="25"/>
        <v>1220.9989961164727</v>
      </c>
      <c r="CU35" s="208">
        <f t="shared" si="25"/>
        <v>1220.9989961164727</v>
      </c>
      <c r="CV35" s="208">
        <f t="shared" si="25"/>
        <v>1220.9989961164727</v>
      </c>
      <c r="CW35" s="208">
        <f t="shared" si="25"/>
        <v>1220.9989961164727</v>
      </c>
      <c r="CX35" s="208">
        <f t="shared" si="25"/>
        <v>1220.9989961164727</v>
      </c>
      <c r="CY35" s="208">
        <f t="shared" si="25"/>
        <v>1220.9989961164727</v>
      </c>
      <c r="CZ35" s="208">
        <f t="shared" si="25"/>
        <v>1220.9989961164727</v>
      </c>
      <c r="DA35" s="208">
        <f t="shared" si="25"/>
        <v>1220.9989961164727</v>
      </c>
    </row>
    <row r="36" spans="1:105">
      <c r="A36" s="199" t="str">
        <f>Income!A85</f>
        <v>Cash transfer - official</v>
      </c>
      <c r="B36" s="201">
        <f>Income!B85</f>
        <v>15408.268014237179</v>
      </c>
      <c r="C36" s="201">
        <f>Income!C85</f>
        <v>15408.268014237179</v>
      </c>
      <c r="D36" s="201">
        <f>Income!D85</f>
        <v>4582.7869737895116</v>
      </c>
      <c r="E36" s="201">
        <f>Income!E85</f>
        <v>0</v>
      </c>
      <c r="F36" s="208">
        <f t="shared" si="16"/>
        <v>15408.268014237179</v>
      </c>
      <c r="G36" s="208">
        <f t="shared" si="16"/>
        <v>15408.268014237179</v>
      </c>
      <c r="H36" s="208">
        <f t="shared" si="16"/>
        <v>15408.268014237179</v>
      </c>
      <c r="I36" s="208">
        <f t="shared" si="16"/>
        <v>15408.268014237179</v>
      </c>
      <c r="J36" s="208">
        <f t="shared" si="16"/>
        <v>15408.268014237179</v>
      </c>
      <c r="K36" s="208">
        <f t="shared" si="16"/>
        <v>15408.268014237179</v>
      </c>
      <c r="L36" s="208">
        <f t="shared" si="16"/>
        <v>15408.268014237179</v>
      </c>
      <c r="M36" s="208">
        <f t="shared" si="16"/>
        <v>15408.268014237179</v>
      </c>
      <c r="N36" s="208">
        <f t="shared" si="16"/>
        <v>15408.268014237179</v>
      </c>
      <c r="O36" s="208">
        <f t="shared" si="16"/>
        <v>15408.268014237179</v>
      </c>
      <c r="P36" s="208">
        <f t="shared" si="16"/>
        <v>15408.268014237179</v>
      </c>
      <c r="Q36" s="208">
        <f t="shared" si="16"/>
        <v>15408.268014237179</v>
      </c>
      <c r="R36" s="208">
        <f t="shared" si="16"/>
        <v>15408.268014237179</v>
      </c>
      <c r="S36" s="208">
        <f t="shared" si="16"/>
        <v>15408.268014237179</v>
      </c>
      <c r="T36" s="208">
        <f t="shared" si="16"/>
        <v>15408.268014237179</v>
      </c>
      <c r="U36" s="208">
        <f t="shared" si="16"/>
        <v>15408.268014237179</v>
      </c>
      <c r="V36" s="208">
        <f t="shared" si="17"/>
        <v>15408.268014237179</v>
      </c>
      <c r="W36" s="208">
        <f t="shared" si="17"/>
        <v>15408.268014237179</v>
      </c>
      <c r="X36" s="208">
        <f t="shared" si="17"/>
        <v>15408.268014237179</v>
      </c>
      <c r="Y36" s="208">
        <f t="shared" si="17"/>
        <v>15408.268014237179</v>
      </c>
      <c r="Z36" s="208">
        <f t="shared" si="17"/>
        <v>15408.268014237179</v>
      </c>
      <c r="AA36" s="208">
        <f t="shared" si="17"/>
        <v>15408.268014237179</v>
      </c>
      <c r="AB36" s="208">
        <f t="shared" si="17"/>
        <v>15408.268014237179</v>
      </c>
      <c r="AC36" s="208">
        <f t="shared" si="17"/>
        <v>15408.268014237179</v>
      </c>
      <c r="AD36" s="208">
        <f t="shared" si="17"/>
        <v>15408.268014237179</v>
      </c>
      <c r="AE36" s="208">
        <f t="shared" si="17"/>
        <v>15408.268014237179</v>
      </c>
      <c r="AF36" s="208">
        <f t="shared" si="18"/>
        <v>15408.268014237179</v>
      </c>
      <c r="AG36" s="208">
        <f t="shared" si="18"/>
        <v>15408.268014237179</v>
      </c>
      <c r="AH36" s="208">
        <f t="shared" si="18"/>
        <v>15408.268014237179</v>
      </c>
      <c r="AI36" s="208">
        <f t="shared" si="18"/>
        <v>15408.268014237179</v>
      </c>
      <c r="AJ36" s="208">
        <f t="shared" si="18"/>
        <v>15408.268014237179</v>
      </c>
      <c r="AK36" s="208">
        <f t="shared" si="18"/>
        <v>14866.993962214796</v>
      </c>
      <c r="AL36" s="208">
        <f t="shared" si="18"/>
        <v>14325.719910192412</v>
      </c>
      <c r="AM36" s="208">
        <f t="shared" si="18"/>
        <v>13784.445858170029</v>
      </c>
      <c r="AN36" s="208">
        <f t="shared" si="18"/>
        <v>13243.171806147646</v>
      </c>
      <c r="AO36" s="208">
        <f t="shared" si="18"/>
        <v>12701.897754125263</v>
      </c>
      <c r="AP36" s="208">
        <f t="shared" si="19"/>
        <v>12160.623702102879</v>
      </c>
      <c r="AQ36" s="208">
        <f t="shared" si="19"/>
        <v>11619.349650080496</v>
      </c>
      <c r="AR36" s="208">
        <f t="shared" si="19"/>
        <v>11078.075598058113</v>
      </c>
      <c r="AS36" s="208">
        <f t="shared" si="19"/>
        <v>10536.801546035729</v>
      </c>
      <c r="AT36" s="208">
        <f t="shared" si="19"/>
        <v>9995.5274940133459</v>
      </c>
      <c r="AU36" s="208">
        <f t="shared" si="19"/>
        <v>9454.2534419909625</v>
      </c>
      <c r="AV36" s="208">
        <f t="shared" si="19"/>
        <v>8912.9793899685792</v>
      </c>
      <c r="AW36" s="208">
        <f t="shared" si="19"/>
        <v>8371.7053379461959</v>
      </c>
      <c r="AX36" s="208">
        <f t="shared" si="19"/>
        <v>7830.4312859238116</v>
      </c>
      <c r="AY36" s="208">
        <f t="shared" si="19"/>
        <v>7289.1572339014292</v>
      </c>
      <c r="AZ36" s="208">
        <f t="shared" si="20"/>
        <v>6747.8831818790459</v>
      </c>
      <c r="BA36" s="208">
        <f t="shared" si="20"/>
        <v>6206.6091298566625</v>
      </c>
      <c r="BB36" s="208">
        <f t="shared" si="20"/>
        <v>5665.3350778342792</v>
      </c>
      <c r="BC36" s="208">
        <f t="shared" si="20"/>
        <v>5124.0610258118959</v>
      </c>
      <c r="BD36" s="208">
        <f t="shared" si="20"/>
        <v>4582.7869737895126</v>
      </c>
      <c r="BE36" s="208">
        <f t="shared" si="20"/>
        <v>4353.6476251000358</v>
      </c>
      <c r="BF36" s="208">
        <f t="shared" si="20"/>
        <v>4124.5082764105609</v>
      </c>
      <c r="BG36" s="208">
        <f t="shared" si="20"/>
        <v>3895.3689277210851</v>
      </c>
      <c r="BH36" s="208">
        <f t="shared" si="20"/>
        <v>3666.2295790316093</v>
      </c>
      <c r="BI36" s="208">
        <f t="shared" si="20"/>
        <v>3437.0902303421335</v>
      </c>
      <c r="BJ36" s="208">
        <f t="shared" si="21"/>
        <v>3207.9508816526582</v>
      </c>
      <c r="BK36" s="208">
        <f t="shared" si="21"/>
        <v>2978.8115329631828</v>
      </c>
      <c r="BL36" s="208">
        <f t="shared" si="21"/>
        <v>2749.672184273707</v>
      </c>
      <c r="BM36" s="208">
        <f t="shared" si="21"/>
        <v>2520.5328355842316</v>
      </c>
      <c r="BN36" s="208">
        <f t="shared" si="21"/>
        <v>2291.3934868947558</v>
      </c>
      <c r="BO36" s="208">
        <f t="shared" si="21"/>
        <v>2062.2541382052805</v>
      </c>
      <c r="BP36" s="208">
        <f t="shared" si="21"/>
        <v>1833.1147895158047</v>
      </c>
      <c r="BQ36" s="208">
        <f t="shared" si="21"/>
        <v>1603.9754408263288</v>
      </c>
      <c r="BR36" s="208">
        <f t="shared" si="21"/>
        <v>1374.8360921368535</v>
      </c>
      <c r="BS36" s="208">
        <f t="shared" si="21"/>
        <v>1145.6967434473777</v>
      </c>
      <c r="BT36" s="208">
        <f t="shared" si="22"/>
        <v>916.55739475790233</v>
      </c>
      <c r="BU36" s="208">
        <f t="shared" si="22"/>
        <v>687.41804606842697</v>
      </c>
      <c r="BV36" s="208">
        <f t="shared" si="22"/>
        <v>458.27869737895162</v>
      </c>
      <c r="BW36" s="208">
        <f t="shared" si="22"/>
        <v>229.1393486894749</v>
      </c>
      <c r="BX36" s="208">
        <f t="shared" si="22"/>
        <v>0</v>
      </c>
      <c r="BY36" s="208">
        <f t="shared" si="22"/>
        <v>0</v>
      </c>
      <c r="BZ36" s="208">
        <f t="shared" si="22"/>
        <v>0</v>
      </c>
      <c r="CA36" s="208">
        <f t="shared" si="22"/>
        <v>0</v>
      </c>
      <c r="CB36" s="208">
        <f t="shared" si="22"/>
        <v>0</v>
      </c>
      <c r="CC36" s="208">
        <f t="shared" si="22"/>
        <v>0</v>
      </c>
      <c r="CD36" s="208">
        <f t="shared" si="23"/>
        <v>0</v>
      </c>
      <c r="CE36" s="208">
        <f t="shared" si="23"/>
        <v>0</v>
      </c>
      <c r="CF36" s="208">
        <f t="shared" si="23"/>
        <v>0</v>
      </c>
      <c r="CG36" s="208">
        <f t="shared" si="23"/>
        <v>0</v>
      </c>
      <c r="CH36" s="208">
        <f t="shared" si="23"/>
        <v>0</v>
      </c>
      <c r="CI36" s="208">
        <f t="shared" si="23"/>
        <v>0</v>
      </c>
      <c r="CJ36" s="208">
        <f t="shared" si="23"/>
        <v>0</v>
      </c>
      <c r="CK36" s="208">
        <f t="shared" si="23"/>
        <v>0</v>
      </c>
      <c r="CL36" s="208">
        <f t="shared" si="23"/>
        <v>0</v>
      </c>
      <c r="CM36" s="208">
        <f t="shared" si="23"/>
        <v>0</v>
      </c>
      <c r="CN36" s="208">
        <f t="shared" si="24"/>
        <v>0</v>
      </c>
      <c r="CO36" s="208">
        <f t="shared" si="24"/>
        <v>0</v>
      </c>
      <c r="CP36" s="208">
        <f t="shared" si="24"/>
        <v>0</v>
      </c>
      <c r="CQ36" s="208">
        <f t="shared" si="24"/>
        <v>0</v>
      </c>
      <c r="CR36" s="208">
        <f t="shared" si="24"/>
        <v>0</v>
      </c>
      <c r="CS36" s="208">
        <f t="shared" si="24"/>
        <v>0</v>
      </c>
      <c r="CT36" s="208">
        <f t="shared" si="24"/>
        <v>0</v>
      </c>
      <c r="CU36" s="208">
        <f t="shared" si="24"/>
        <v>0</v>
      </c>
      <c r="CV36" s="208">
        <f t="shared" si="24"/>
        <v>0</v>
      </c>
      <c r="CW36" s="208">
        <f t="shared" si="24"/>
        <v>0</v>
      </c>
      <c r="CX36" s="208">
        <f t="shared" si="25"/>
        <v>0</v>
      </c>
      <c r="CY36" s="208">
        <f t="shared" si="25"/>
        <v>0</v>
      </c>
      <c r="CZ36" s="208">
        <f t="shared" si="25"/>
        <v>0</v>
      </c>
      <c r="DA36" s="208">
        <f t="shared" si="25"/>
        <v>0</v>
      </c>
    </row>
    <row r="37" spans="1:105">
      <c r="A37" s="199" t="str">
        <f>Income!A86</f>
        <v>Cash transfer - gifts</v>
      </c>
      <c r="B37" s="201">
        <f>Income!B86</f>
        <v>3825.0033009581762</v>
      </c>
      <c r="C37" s="201">
        <f>Income!C86</f>
        <v>2616.1579181081861</v>
      </c>
      <c r="D37" s="201">
        <f>Income!D86</f>
        <v>3518.2813381454912</v>
      </c>
      <c r="E37" s="201">
        <f>Income!E86</f>
        <v>4510.6171001865278</v>
      </c>
      <c r="F37" s="208">
        <f t="shared" si="16"/>
        <v>3825.0033009581762</v>
      </c>
      <c r="G37" s="208">
        <f t="shared" si="16"/>
        <v>3825.0033009581762</v>
      </c>
      <c r="H37" s="208">
        <f t="shared" si="16"/>
        <v>3825.0033009581762</v>
      </c>
      <c r="I37" s="208">
        <f t="shared" si="16"/>
        <v>3825.0033009581762</v>
      </c>
      <c r="J37" s="208">
        <f t="shared" si="16"/>
        <v>3825.0033009581762</v>
      </c>
      <c r="K37" s="208">
        <f t="shared" si="16"/>
        <v>3825.0033009581762</v>
      </c>
      <c r="L37" s="208">
        <f t="shared" si="16"/>
        <v>3825.0033009581762</v>
      </c>
      <c r="M37" s="208">
        <f t="shared" si="16"/>
        <v>3825.0033009581762</v>
      </c>
      <c r="N37" s="208">
        <f t="shared" si="16"/>
        <v>3825.0033009581762</v>
      </c>
      <c r="O37" s="208">
        <f t="shared" si="16"/>
        <v>3825.0033009581762</v>
      </c>
      <c r="P37" s="208">
        <f t="shared" si="17"/>
        <v>3825.0033009581762</v>
      </c>
      <c r="Q37" s="208">
        <f t="shared" si="17"/>
        <v>3764.5610318156769</v>
      </c>
      <c r="R37" s="208">
        <f t="shared" si="17"/>
        <v>3704.1187626731771</v>
      </c>
      <c r="S37" s="208">
        <f t="shared" si="17"/>
        <v>3643.6764935306778</v>
      </c>
      <c r="T37" s="208">
        <f t="shared" si="17"/>
        <v>3583.2342243881781</v>
      </c>
      <c r="U37" s="208">
        <f t="shared" si="17"/>
        <v>3522.7919552456788</v>
      </c>
      <c r="V37" s="208">
        <f t="shared" si="17"/>
        <v>3462.349686103179</v>
      </c>
      <c r="W37" s="208">
        <f t="shared" si="17"/>
        <v>3401.9074169606797</v>
      </c>
      <c r="X37" s="208">
        <f t="shared" si="17"/>
        <v>3341.46514781818</v>
      </c>
      <c r="Y37" s="208">
        <f t="shared" si="17"/>
        <v>3281.0228786756807</v>
      </c>
      <c r="Z37" s="208">
        <f t="shared" si="18"/>
        <v>3220.5806095331809</v>
      </c>
      <c r="AA37" s="208">
        <f t="shared" si="18"/>
        <v>3160.1383403906816</v>
      </c>
      <c r="AB37" s="208">
        <f t="shared" si="18"/>
        <v>3099.6960712481823</v>
      </c>
      <c r="AC37" s="208">
        <f t="shared" si="18"/>
        <v>3039.2538021056826</v>
      </c>
      <c r="AD37" s="208">
        <f t="shared" si="18"/>
        <v>2978.8115329631828</v>
      </c>
      <c r="AE37" s="208">
        <f t="shared" si="18"/>
        <v>2918.369263820684</v>
      </c>
      <c r="AF37" s="208">
        <f t="shared" si="18"/>
        <v>2857.9269946781842</v>
      </c>
      <c r="AG37" s="208">
        <f t="shared" si="18"/>
        <v>2797.4847255356844</v>
      </c>
      <c r="AH37" s="208">
        <f t="shared" si="18"/>
        <v>2737.0424563931851</v>
      </c>
      <c r="AI37" s="208">
        <f t="shared" si="18"/>
        <v>2676.6001872506858</v>
      </c>
      <c r="AJ37" s="208">
        <f t="shared" si="19"/>
        <v>2616.1579181081861</v>
      </c>
      <c r="AK37" s="208">
        <f t="shared" si="19"/>
        <v>2661.2640891100514</v>
      </c>
      <c r="AL37" s="208">
        <f t="shared" si="19"/>
        <v>2706.3702601119167</v>
      </c>
      <c r="AM37" s="208">
        <f t="shared" si="19"/>
        <v>2751.4764311137819</v>
      </c>
      <c r="AN37" s="208">
        <f t="shared" si="19"/>
        <v>2796.5826021156472</v>
      </c>
      <c r="AO37" s="208">
        <f t="shared" si="19"/>
        <v>2841.6887731175125</v>
      </c>
      <c r="AP37" s="208">
        <f t="shared" si="19"/>
        <v>2886.7949441193778</v>
      </c>
      <c r="AQ37" s="208">
        <f t="shared" si="19"/>
        <v>2931.901115121243</v>
      </c>
      <c r="AR37" s="208">
        <f t="shared" si="19"/>
        <v>2977.0072861231083</v>
      </c>
      <c r="AS37" s="208">
        <f t="shared" si="19"/>
        <v>3022.1134571249736</v>
      </c>
      <c r="AT37" s="208">
        <f t="shared" si="20"/>
        <v>3067.2196281268389</v>
      </c>
      <c r="AU37" s="208">
        <f t="shared" si="20"/>
        <v>3112.3257991287037</v>
      </c>
      <c r="AV37" s="208">
        <f t="shared" si="20"/>
        <v>3157.4319701305694</v>
      </c>
      <c r="AW37" s="208">
        <f t="shared" si="20"/>
        <v>3202.5381411324342</v>
      </c>
      <c r="AX37" s="208">
        <f t="shared" si="20"/>
        <v>3247.6443121342995</v>
      </c>
      <c r="AY37" s="208">
        <f t="shared" si="20"/>
        <v>3292.7504831361648</v>
      </c>
      <c r="AZ37" s="208">
        <f t="shared" si="20"/>
        <v>3337.8566541380301</v>
      </c>
      <c r="BA37" s="208">
        <f t="shared" si="20"/>
        <v>3382.9628251398954</v>
      </c>
      <c r="BB37" s="208">
        <f t="shared" si="20"/>
        <v>3428.0689961417606</v>
      </c>
      <c r="BC37" s="208">
        <f t="shared" si="20"/>
        <v>3473.1751671436259</v>
      </c>
      <c r="BD37" s="208">
        <f t="shared" si="21"/>
        <v>3518.2813381454912</v>
      </c>
      <c r="BE37" s="208">
        <f t="shared" si="21"/>
        <v>3567.8981262475431</v>
      </c>
      <c r="BF37" s="208">
        <f t="shared" si="21"/>
        <v>3617.5149143495946</v>
      </c>
      <c r="BG37" s="208">
        <f t="shared" si="21"/>
        <v>3667.1317024516466</v>
      </c>
      <c r="BH37" s="208">
        <f t="shared" si="21"/>
        <v>3716.7484905536985</v>
      </c>
      <c r="BI37" s="208">
        <f t="shared" si="21"/>
        <v>3766.3652786557504</v>
      </c>
      <c r="BJ37" s="208">
        <f t="shared" si="21"/>
        <v>3815.9820667578024</v>
      </c>
      <c r="BK37" s="208">
        <f t="shared" si="21"/>
        <v>3865.5988548598539</v>
      </c>
      <c r="BL37" s="208">
        <f t="shared" si="21"/>
        <v>3915.2156429619058</v>
      </c>
      <c r="BM37" s="208">
        <f t="shared" si="21"/>
        <v>3964.8324310639578</v>
      </c>
      <c r="BN37" s="208">
        <f t="shared" si="22"/>
        <v>4014.4492191660097</v>
      </c>
      <c r="BO37" s="208">
        <f t="shared" si="22"/>
        <v>4064.0660072680612</v>
      </c>
      <c r="BP37" s="208">
        <f t="shared" si="22"/>
        <v>4113.6827953701131</v>
      </c>
      <c r="BQ37" s="208">
        <f t="shared" si="22"/>
        <v>4163.2995834721651</v>
      </c>
      <c r="BR37" s="208">
        <f t="shared" si="22"/>
        <v>4212.916371574217</v>
      </c>
      <c r="BS37" s="208">
        <f t="shared" si="22"/>
        <v>4262.533159676269</v>
      </c>
      <c r="BT37" s="208">
        <f t="shared" si="22"/>
        <v>4312.14994777832</v>
      </c>
      <c r="BU37" s="208">
        <f t="shared" si="22"/>
        <v>4361.7667358803719</v>
      </c>
      <c r="BV37" s="208">
        <f t="shared" si="22"/>
        <v>4411.3835239824239</v>
      </c>
      <c r="BW37" s="208">
        <f t="shared" si="22"/>
        <v>4461.0003120844758</v>
      </c>
      <c r="BX37" s="208">
        <f t="shared" si="23"/>
        <v>4510.6171001865278</v>
      </c>
      <c r="BY37" s="208">
        <f t="shared" si="23"/>
        <v>4510.6171001865278</v>
      </c>
      <c r="BZ37" s="208">
        <f t="shared" si="23"/>
        <v>4510.6171001865278</v>
      </c>
      <c r="CA37" s="208">
        <f t="shared" si="23"/>
        <v>4510.6171001865278</v>
      </c>
      <c r="CB37" s="208">
        <f t="shared" si="23"/>
        <v>4510.6171001865278</v>
      </c>
      <c r="CC37" s="208">
        <f t="shared" si="23"/>
        <v>4510.6171001865278</v>
      </c>
      <c r="CD37" s="208">
        <f t="shared" si="23"/>
        <v>4510.6171001865278</v>
      </c>
      <c r="CE37" s="208">
        <f t="shared" si="23"/>
        <v>4510.6171001865278</v>
      </c>
      <c r="CF37" s="208">
        <f t="shared" si="23"/>
        <v>4510.6171001865278</v>
      </c>
      <c r="CG37" s="208">
        <f t="shared" si="23"/>
        <v>4510.6171001865278</v>
      </c>
      <c r="CH37" s="208">
        <f t="shared" si="24"/>
        <v>4510.6171001865278</v>
      </c>
      <c r="CI37" s="208">
        <f t="shared" si="24"/>
        <v>4510.6171001865278</v>
      </c>
      <c r="CJ37" s="208">
        <f t="shared" si="24"/>
        <v>4510.6171001865278</v>
      </c>
      <c r="CK37" s="208">
        <f t="shared" si="24"/>
        <v>4510.6171001865278</v>
      </c>
      <c r="CL37" s="208">
        <f t="shared" si="24"/>
        <v>4510.6171001865278</v>
      </c>
      <c r="CM37" s="208">
        <f t="shared" si="24"/>
        <v>4510.6171001865278</v>
      </c>
      <c r="CN37" s="208">
        <f t="shared" si="24"/>
        <v>4510.6171001865278</v>
      </c>
      <c r="CO37" s="208">
        <f t="shared" si="24"/>
        <v>4510.6171001865278</v>
      </c>
      <c r="CP37" s="208">
        <f t="shared" si="24"/>
        <v>4510.6171001865278</v>
      </c>
      <c r="CQ37" s="208">
        <f t="shared" si="24"/>
        <v>4510.6171001865278</v>
      </c>
      <c r="CR37" s="208">
        <f t="shared" si="25"/>
        <v>4510.6171001865278</v>
      </c>
      <c r="CS37" s="208">
        <f t="shared" si="25"/>
        <v>4510.6171001865278</v>
      </c>
      <c r="CT37" s="208">
        <f t="shared" si="25"/>
        <v>4510.6171001865278</v>
      </c>
      <c r="CU37" s="208">
        <f t="shared" si="25"/>
        <v>4510.6171001865278</v>
      </c>
      <c r="CV37" s="208">
        <f t="shared" si="25"/>
        <v>4510.6171001865278</v>
      </c>
      <c r="CW37" s="208">
        <f t="shared" si="25"/>
        <v>4510.6171001865278</v>
      </c>
      <c r="CX37" s="208">
        <f t="shared" si="25"/>
        <v>4510.6171001865278</v>
      </c>
      <c r="CY37" s="208">
        <f t="shared" si="25"/>
        <v>4510.6171001865278</v>
      </c>
      <c r="CZ37" s="208">
        <f t="shared" si="25"/>
        <v>4510.6171001865278</v>
      </c>
      <c r="DA37" s="208">
        <f t="shared" si="25"/>
        <v>4510.6171001865278</v>
      </c>
    </row>
    <row r="38" spans="1:105">
      <c r="A38" s="199" t="str">
        <f>Income!A88</f>
        <v>TOTAL</v>
      </c>
      <c r="B38" s="201">
        <f>Income!B88</f>
        <v>30016.778563707263</v>
      </c>
      <c r="C38" s="201">
        <f>Income!C88</f>
        <v>45840.023351161602</v>
      </c>
      <c r="D38" s="201">
        <f>Income!D88</f>
        <v>61284.37630220026</v>
      </c>
      <c r="E38" s="201">
        <f>Income!E88</f>
        <v>93454.097460730569</v>
      </c>
      <c r="F38" s="202">
        <f t="shared" ref="F38:AK38" si="26">SUM(F25:F37)</f>
        <v>30016.778563707263</v>
      </c>
      <c r="G38" s="202">
        <f t="shared" si="26"/>
        <v>30016.778563707263</v>
      </c>
      <c r="H38" s="202">
        <f t="shared" si="26"/>
        <v>30016.778563707263</v>
      </c>
      <c r="I38" s="202">
        <f t="shared" si="26"/>
        <v>30016.778563707263</v>
      </c>
      <c r="J38" s="202">
        <f t="shared" si="26"/>
        <v>30016.778563707263</v>
      </c>
      <c r="K38" s="202">
        <f t="shared" si="26"/>
        <v>30016.778563707263</v>
      </c>
      <c r="L38" s="202">
        <f t="shared" si="26"/>
        <v>30016.778563707263</v>
      </c>
      <c r="M38" s="202">
        <f t="shared" si="26"/>
        <v>30016.778563707263</v>
      </c>
      <c r="N38" s="202">
        <f t="shared" si="26"/>
        <v>30016.778563707263</v>
      </c>
      <c r="O38" s="202">
        <f t="shared" si="26"/>
        <v>30016.778563707263</v>
      </c>
      <c r="P38" s="202">
        <f t="shared" si="26"/>
        <v>30016.778563707263</v>
      </c>
      <c r="Q38" s="202">
        <f t="shared" si="26"/>
        <v>30807.940803079982</v>
      </c>
      <c r="R38" s="202">
        <f t="shared" si="26"/>
        <v>31599.103042452698</v>
      </c>
      <c r="S38" s="202">
        <f t="shared" si="26"/>
        <v>32390.265281825414</v>
      </c>
      <c r="T38" s="202">
        <f t="shared" si="26"/>
        <v>33181.427521198137</v>
      </c>
      <c r="U38" s="202">
        <f t="shared" si="26"/>
        <v>33972.589760570852</v>
      </c>
      <c r="V38" s="202">
        <f t="shared" si="26"/>
        <v>34763.751999943568</v>
      </c>
      <c r="W38" s="202">
        <f t="shared" si="26"/>
        <v>35554.914239316284</v>
      </c>
      <c r="X38" s="202">
        <f t="shared" si="26"/>
        <v>36346.076478688999</v>
      </c>
      <c r="Y38" s="202">
        <f t="shared" si="26"/>
        <v>37137.238718061715</v>
      </c>
      <c r="Z38" s="202">
        <f t="shared" si="26"/>
        <v>37928.400957434438</v>
      </c>
      <c r="AA38" s="202">
        <f t="shared" si="26"/>
        <v>38719.563196807147</v>
      </c>
      <c r="AB38" s="202">
        <f t="shared" si="26"/>
        <v>39510.72543617987</v>
      </c>
      <c r="AC38" s="202">
        <f t="shared" si="26"/>
        <v>40301.887675552585</v>
      </c>
      <c r="AD38" s="202">
        <f t="shared" si="26"/>
        <v>41093.049914925301</v>
      </c>
      <c r="AE38" s="202">
        <f t="shared" si="26"/>
        <v>41884.212154298017</v>
      </c>
      <c r="AF38" s="202">
        <f t="shared" si="26"/>
        <v>42675.37439367074</v>
      </c>
      <c r="AG38" s="202">
        <f t="shared" si="26"/>
        <v>43466.536633043463</v>
      </c>
      <c r="AH38" s="202">
        <f t="shared" si="26"/>
        <v>44257.698872416171</v>
      </c>
      <c r="AI38" s="202">
        <f t="shared" si="26"/>
        <v>45048.861111788894</v>
      </c>
      <c r="AJ38" s="202">
        <f t="shared" si="26"/>
        <v>45840.023351161602</v>
      </c>
      <c r="AK38" s="202">
        <f t="shared" si="26"/>
        <v>46612.24099871354</v>
      </c>
      <c r="AL38" s="202">
        <f t="shared" ref="AL38:BQ38" si="27">SUM(AL25:AL37)</f>
        <v>47384.45864626547</v>
      </c>
      <c r="AM38" s="202">
        <f t="shared" si="27"/>
        <v>48156.676293817407</v>
      </c>
      <c r="AN38" s="202">
        <f t="shared" si="27"/>
        <v>48928.893941369337</v>
      </c>
      <c r="AO38" s="202">
        <f t="shared" si="27"/>
        <v>49701.111588921274</v>
      </c>
      <c r="AP38" s="202">
        <f t="shared" si="27"/>
        <v>50473.329236473204</v>
      </c>
      <c r="AQ38" s="202">
        <f t="shared" si="27"/>
        <v>51245.546884025141</v>
      </c>
      <c r="AR38" s="202">
        <f t="shared" si="27"/>
        <v>52017.764531577071</v>
      </c>
      <c r="AS38" s="202">
        <f t="shared" si="27"/>
        <v>52789.982179129001</v>
      </c>
      <c r="AT38" s="202">
        <f t="shared" si="27"/>
        <v>53562.199826680946</v>
      </c>
      <c r="AU38" s="202">
        <f t="shared" si="27"/>
        <v>54334.417474232876</v>
      </c>
      <c r="AV38" s="202">
        <f t="shared" si="27"/>
        <v>55106.635121784806</v>
      </c>
      <c r="AW38" s="202">
        <f t="shared" si="27"/>
        <v>55878.852769336736</v>
      </c>
      <c r="AX38" s="202">
        <f t="shared" si="27"/>
        <v>56651.070416888666</v>
      </c>
      <c r="AY38" s="202">
        <f t="shared" si="27"/>
        <v>57423.288064440603</v>
      </c>
      <c r="AZ38" s="202">
        <f t="shared" si="27"/>
        <v>58195.505711992533</v>
      </c>
      <c r="BA38" s="202">
        <f t="shared" si="27"/>
        <v>58967.723359544478</v>
      </c>
      <c r="BB38" s="202">
        <f t="shared" si="27"/>
        <v>59739.9410070964</v>
      </c>
      <c r="BC38" s="202">
        <f t="shared" si="27"/>
        <v>60512.158654648338</v>
      </c>
      <c r="BD38" s="202">
        <f t="shared" si="27"/>
        <v>61284.376302200268</v>
      </c>
      <c r="BE38" s="202">
        <f t="shared" si="27"/>
        <v>62892.862360126775</v>
      </c>
      <c r="BF38" s="202">
        <f t="shared" si="27"/>
        <v>64501.348418053305</v>
      </c>
      <c r="BG38" s="202">
        <f t="shared" si="27"/>
        <v>66109.83447597982</v>
      </c>
      <c r="BH38" s="202">
        <f t="shared" si="27"/>
        <v>67718.320533906328</v>
      </c>
      <c r="BI38" s="202">
        <f t="shared" si="27"/>
        <v>69326.806591832836</v>
      </c>
      <c r="BJ38" s="202">
        <f t="shared" si="27"/>
        <v>70935.292649759373</v>
      </c>
      <c r="BK38" s="202">
        <f t="shared" si="27"/>
        <v>72543.77870768588</v>
      </c>
      <c r="BL38" s="202">
        <f t="shared" si="27"/>
        <v>74152.264765612388</v>
      </c>
      <c r="BM38" s="202">
        <f t="shared" si="27"/>
        <v>75760.75082353891</v>
      </c>
      <c r="BN38" s="202">
        <f t="shared" si="27"/>
        <v>77369.236881465418</v>
      </c>
      <c r="BO38" s="202">
        <f t="shared" si="27"/>
        <v>78977.722939391941</v>
      </c>
      <c r="BP38" s="202">
        <f t="shared" si="27"/>
        <v>80586.208997318463</v>
      </c>
      <c r="BQ38" s="202">
        <f t="shared" si="27"/>
        <v>82194.695055244956</v>
      </c>
      <c r="BR38" s="202">
        <f t="shared" ref="BR38:CW38" si="28">SUM(BR25:BR37)</f>
        <v>83803.181113171479</v>
      </c>
      <c r="BS38" s="202">
        <f t="shared" si="28"/>
        <v>85411.667171098001</v>
      </c>
      <c r="BT38" s="202">
        <f t="shared" si="28"/>
        <v>87020.153229024509</v>
      </c>
      <c r="BU38" s="202">
        <f t="shared" si="28"/>
        <v>88628.639286951031</v>
      </c>
      <c r="BV38" s="202">
        <f t="shared" si="28"/>
        <v>90237.125344877539</v>
      </c>
      <c r="BW38" s="202">
        <f t="shared" si="28"/>
        <v>91845.611402804061</v>
      </c>
      <c r="BX38" s="202">
        <f t="shared" si="28"/>
        <v>93454.097460730569</v>
      </c>
      <c r="BY38" s="202">
        <f t="shared" si="28"/>
        <v>93454.097460730569</v>
      </c>
      <c r="BZ38" s="202">
        <f t="shared" si="28"/>
        <v>93454.097460730569</v>
      </c>
      <c r="CA38" s="202">
        <f t="shared" si="28"/>
        <v>93454.097460730569</v>
      </c>
      <c r="CB38" s="202">
        <f t="shared" si="28"/>
        <v>93454.097460730569</v>
      </c>
      <c r="CC38" s="202">
        <f t="shared" si="28"/>
        <v>93454.097460730569</v>
      </c>
      <c r="CD38" s="202">
        <f t="shared" si="28"/>
        <v>93454.097460730569</v>
      </c>
      <c r="CE38" s="202">
        <f t="shared" si="28"/>
        <v>93454.097460730569</v>
      </c>
      <c r="CF38" s="202">
        <f t="shared" si="28"/>
        <v>93454.097460730569</v>
      </c>
      <c r="CG38" s="202">
        <f t="shared" si="28"/>
        <v>93454.097460730569</v>
      </c>
      <c r="CH38" s="202">
        <f t="shared" si="28"/>
        <v>93454.097460730569</v>
      </c>
      <c r="CI38" s="202">
        <f t="shared" si="28"/>
        <v>93454.097460730569</v>
      </c>
      <c r="CJ38" s="202">
        <f t="shared" si="28"/>
        <v>93454.097460730569</v>
      </c>
      <c r="CK38" s="202">
        <f t="shared" si="28"/>
        <v>93454.097460730569</v>
      </c>
      <c r="CL38" s="202">
        <f t="shared" si="28"/>
        <v>93454.097460730569</v>
      </c>
      <c r="CM38" s="202">
        <f t="shared" si="28"/>
        <v>93454.097460730569</v>
      </c>
      <c r="CN38" s="202">
        <f t="shared" si="28"/>
        <v>93454.097460730569</v>
      </c>
      <c r="CO38" s="202">
        <f t="shared" si="28"/>
        <v>93454.097460730569</v>
      </c>
      <c r="CP38" s="202">
        <f t="shared" si="28"/>
        <v>93454.097460730569</v>
      </c>
      <c r="CQ38" s="202">
        <f t="shared" si="28"/>
        <v>93454.097460730569</v>
      </c>
      <c r="CR38" s="202">
        <f t="shared" si="28"/>
        <v>93454.097460730569</v>
      </c>
      <c r="CS38" s="202">
        <f t="shared" si="28"/>
        <v>93454.097460730569</v>
      </c>
      <c r="CT38" s="202">
        <f t="shared" si="28"/>
        <v>93454.097460730569</v>
      </c>
      <c r="CU38" s="202">
        <f t="shared" si="28"/>
        <v>93454.097460730569</v>
      </c>
      <c r="CV38" s="202">
        <f t="shared" si="28"/>
        <v>93454.097460730569</v>
      </c>
      <c r="CW38" s="202">
        <f t="shared" si="28"/>
        <v>93454.097460730569</v>
      </c>
      <c r="CX38" s="202">
        <f>SUM(CX25:CX37)</f>
        <v>93454.097460730569</v>
      </c>
      <c r="CY38" s="202">
        <f>SUM(CY25:CY37)</f>
        <v>93454.097460730569</v>
      </c>
      <c r="CZ38" s="202">
        <f>SUM(CZ25:CZ37)</f>
        <v>93454.097460730569</v>
      </c>
      <c r="DA38" s="202">
        <f>SUM(DA25:DA37)</f>
        <v>93454.097460730569</v>
      </c>
    </row>
    <row r="39" spans="1:105">
      <c r="A39" s="199" t="str">
        <f>Income!A89</f>
        <v>Food Poverty line</v>
      </c>
      <c r="B39" s="201">
        <f>Income!B89</f>
        <v>19201.523793976001</v>
      </c>
      <c r="C39" s="201">
        <f>Income!C89</f>
        <v>19201.523793976001</v>
      </c>
      <c r="D39" s="201">
        <f>Income!D89</f>
        <v>19201.523793975997</v>
      </c>
      <c r="E39" s="201">
        <f>Income!E89</f>
        <v>19201.523793976001</v>
      </c>
      <c r="F39" s="202">
        <f t="shared" ref="F39:U39" si="29">IF(F$2&lt;=($B$2+$C$2+$D$2),IF(F$2&lt;=($B$2+$C$2),IF(F$2&lt;=$B$2,$B39,$C39),$D39),$E39)</f>
        <v>19201.523793976001</v>
      </c>
      <c r="G39" s="202">
        <f t="shared" si="29"/>
        <v>19201.523793976001</v>
      </c>
      <c r="H39" s="202">
        <f t="shared" si="29"/>
        <v>19201.523793976001</v>
      </c>
      <c r="I39" s="202">
        <f t="shared" si="29"/>
        <v>19201.523793976001</v>
      </c>
      <c r="J39" s="202">
        <f t="shared" si="29"/>
        <v>19201.523793976001</v>
      </c>
      <c r="K39" s="202">
        <f t="shared" si="29"/>
        <v>19201.523793976001</v>
      </c>
      <c r="L39" s="202">
        <f t="shared" si="29"/>
        <v>19201.523793976001</v>
      </c>
      <c r="M39" s="202">
        <f t="shared" si="29"/>
        <v>19201.523793976001</v>
      </c>
      <c r="N39" s="202">
        <f t="shared" si="29"/>
        <v>19201.523793976001</v>
      </c>
      <c r="O39" s="202">
        <f t="shared" si="29"/>
        <v>19201.523793976001</v>
      </c>
      <c r="P39" s="202">
        <f t="shared" si="29"/>
        <v>19201.523793976001</v>
      </c>
      <c r="Q39" s="202">
        <f t="shared" si="29"/>
        <v>19201.523793976001</v>
      </c>
      <c r="R39" s="202">
        <f t="shared" si="29"/>
        <v>19201.523793976001</v>
      </c>
      <c r="S39" s="202">
        <f t="shared" si="29"/>
        <v>19201.523793976001</v>
      </c>
      <c r="T39" s="202">
        <f t="shared" si="29"/>
        <v>19201.523793976001</v>
      </c>
      <c r="U39" s="202">
        <f t="shared" si="29"/>
        <v>19201.523793976001</v>
      </c>
      <c r="V39" s="202">
        <f t="shared" ref="V39:AK40" si="30">IF(V$2&lt;=($B$2+$C$2+$D$2),IF(V$2&lt;=($B$2+$C$2),IF(V$2&lt;=$B$2,$B39,$C39),$D39),$E39)</f>
        <v>19201.523793976001</v>
      </c>
      <c r="W39" s="202">
        <f t="shared" si="30"/>
        <v>19201.523793976001</v>
      </c>
      <c r="X39" s="202">
        <f t="shared" si="30"/>
        <v>19201.523793976001</v>
      </c>
      <c r="Y39" s="202">
        <f t="shared" si="30"/>
        <v>19201.523793976001</v>
      </c>
      <c r="Z39" s="202">
        <f t="shared" si="30"/>
        <v>19201.523793976001</v>
      </c>
      <c r="AA39" s="202">
        <f t="shared" si="30"/>
        <v>19201.523793976001</v>
      </c>
      <c r="AB39" s="202">
        <f t="shared" si="30"/>
        <v>19201.523793976001</v>
      </c>
      <c r="AC39" s="202">
        <f t="shared" si="30"/>
        <v>19201.523793976001</v>
      </c>
      <c r="AD39" s="202">
        <f t="shared" si="30"/>
        <v>19201.523793976001</v>
      </c>
      <c r="AE39" s="202">
        <f t="shared" si="30"/>
        <v>19201.523793976001</v>
      </c>
      <c r="AF39" s="202">
        <f t="shared" si="30"/>
        <v>19201.523793976001</v>
      </c>
      <c r="AG39" s="202">
        <f t="shared" si="30"/>
        <v>19201.523793976001</v>
      </c>
      <c r="AH39" s="202">
        <f t="shared" si="30"/>
        <v>19201.523793976001</v>
      </c>
      <c r="AI39" s="202">
        <f t="shared" si="30"/>
        <v>19201.523793976001</v>
      </c>
      <c r="AJ39" s="202">
        <f t="shared" si="30"/>
        <v>19201.523793976001</v>
      </c>
      <c r="AK39" s="202">
        <f t="shared" si="30"/>
        <v>19201.523793976001</v>
      </c>
      <c r="AL39" s="202">
        <f t="shared" ref="AL39:BA40" si="31">IF(AL$2&lt;=($B$2+$C$2+$D$2),IF(AL$2&lt;=($B$2+$C$2),IF(AL$2&lt;=$B$2,$B39,$C39),$D39),$E39)</f>
        <v>19201.523793976001</v>
      </c>
      <c r="AM39" s="202">
        <f t="shared" si="31"/>
        <v>19201.523793976001</v>
      </c>
      <c r="AN39" s="202">
        <f t="shared" si="31"/>
        <v>19201.523793976001</v>
      </c>
      <c r="AO39" s="202">
        <f t="shared" si="31"/>
        <v>19201.523793976001</v>
      </c>
      <c r="AP39" s="202">
        <f t="shared" si="31"/>
        <v>19201.523793976001</v>
      </c>
      <c r="AQ39" s="202">
        <f t="shared" si="31"/>
        <v>19201.523793976001</v>
      </c>
      <c r="AR39" s="202">
        <f t="shared" si="31"/>
        <v>19201.523793976001</v>
      </c>
      <c r="AS39" s="202">
        <f t="shared" si="31"/>
        <v>19201.523793976001</v>
      </c>
      <c r="AT39" s="202">
        <f t="shared" si="31"/>
        <v>19201.523793975997</v>
      </c>
      <c r="AU39" s="202">
        <f t="shared" si="31"/>
        <v>19201.523793975997</v>
      </c>
      <c r="AV39" s="202">
        <f t="shared" si="31"/>
        <v>19201.523793975997</v>
      </c>
      <c r="AW39" s="202">
        <f t="shared" si="31"/>
        <v>19201.523793975997</v>
      </c>
      <c r="AX39" s="202">
        <f t="shared" si="31"/>
        <v>19201.523793975997</v>
      </c>
      <c r="AY39" s="202">
        <f t="shared" si="31"/>
        <v>19201.523793975997</v>
      </c>
      <c r="AZ39" s="202">
        <f t="shared" si="31"/>
        <v>19201.523793975997</v>
      </c>
      <c r="BA39" s="202">
        <f t="shared" si="31"/>
        <v>19201.523793975997</v>
      </c>
      <c r="BB39" s="202">
        <f t="shared" ref="BB39:CD40" si="32">IF(BB$2&lt;=($B$2+$C$2+$D$2),IF(BB$2&lt;=($B$2+$C$2),IF(BB$2&lt;=$B$2,$B39,$C39),$D39),$E39)</f>
        <v>19201.523793975997</v>
      </c>
      <c r="BC39" s="202">
        <f t="shared" si="32"/>
        <v>19201.523793975997</v>
      </c>
      <c r="BD39" s="202">
        <f t="shared" si="32"/>
        <v>19201.523793975997</v>
      </c>
      <c r="BE39" s="202">
        <f t="shared" si="32"/>
        <v>19201.523793975997</v>
      </c>
      <c r="BF39" s="202">
        <f t="shared" si="32"/>
        <v>19201.523793975997</v>
      </c>
      <c r="BG39" s="202">
        <f t="shared" si="32"/>
        <v>19201.523793975997</v>
      </c>
      <c r="BH39" s="202">
        <f t="shared" si="32"/>
        <v>19201.523793975997</v>
      </c>
      <c r="BI39" s="202">
        <f t="shared" si="32"/>
        <v>19201.523793975997</v>
      </c>
      <c r="BJ39" s="202">
        <f t="shared" si="32"/>
        <v>19201.523793975997</v>
      </c>
      <c r="BK39" s="202">
        <f t="shared" si="32"/>
        <v>19201.523793975997</v>
      </c>
      <c r="BL39" s="202">
        <f t="shared" si="32"/>
        <v>19201.523793975997</v>
      </c>
      <c r="BM39" s="202">
        <f t="shared" si="32"/>
        <v>19201.523793975997</v>
      </c>
      <c r="BN39" s="202">
        <f t="shared" si="32"/>
        <v>19201.523793976001</v>
      </c>
      <c r="BO39" s="202">
        <f t="shared" si="32"/>
        <v>19201.523793976001</v>
      </c>
      <c r="BP39" s="202">
        <f t="shared" si="32"/>
        <v>19201.523793976001</v>
      </c>
      <c r="BQ39" s="202">
        <f t="shared" si="32"/>
        <v>19201.523793976001</v>
      </c>
      <c r="BR39" s="202">
        <f t="shared" si="32"/>
        <v>19201.523793976001</v>
      </c>
      <c r="BS39" s="202">
        <f t="shared" si="32"/>
        <v>19201.523793976001</v>
      </c>
      <c r="BT39" s="202">
        <f t="shared" si="32"/>
        <v>19201.523793976001</v>
      </c>
      <c r="BU39" s="202">
        <f t="shared" si="32"/>
        <v>19201.523793976001</v>
      </c>
      <c r="BV39" s="202">
        <f t="shared" si="32"/>
        <v>19201.523793976001</v>
      </c>
      <c r="BW39" s="202">
        <f t="shared" si="32"/>
        <v>19201.523793976001</v>
      </c>
      <c r="BX39" s="202">
        <f t="shared" si="32"/>
        <v>19201.523793976001</v>
      </c>
      <c r="BY39" s="202">
        <f t="shared" si="32"/>
        <v>19201.523793976001</v>
      </c>
      <c r="BZ39" s="202">
        <f t="shared" si="32"/>
        <v>19201.523793976001</v>
      </c>
      <c r="CA39" s="202">
        <f t="shared" si="32"/>
        <v>19201.523793976001</v>
      </c>
      <c r="CB39" s="202">
        <f t="shared" si="32"/>
        <v>19201.523793976001</v>
      </c>
      <c r="CC39" s="202">
        <f t="shared" si="32"/>
        <v>19201.523793976001</v>
      </c>
      <c r="CD39" s="202">
        <f t="shared" si="32"/>
        <v>19201.523793976001</v>
      </c>
      <c r="CE39" s="202">
        <f t="shared" ref="CE39:CR40" si="33">IF(CE$2&lt;=($B$2+$C$2+$D$2),IF(CE$2&lt;=($B$2+$C$2),IF(CE$2&lt;=$B$2,$B39,$C39),$D39),$E39)</f>
        <v>19201.523793976001</v>
      </c>
      <c r="CF39" s="202">
        <f t="shared" si="33"/>
        <v>19201.523793976001</v>
      </c>
      <c r="CG39" s="202">
        <f t="shared" si="33"/>
        <v>19201.523793976001</v>
      </c>
      <c r="CH39" s="202">
        <f t="shared" si="33"/>
        <v>19201.523793976001</v>
      </c>
      <c r="CI39" s="202">
        <f t="shared" si="33"/>
        <v>19201.523793976001</v>
      </c>
      <c r="CJ39" s="202">
        <f t="shared" si="33"/>
        <v>19201.523793976001</v>
      </c>
      <c r="CK39" s="202">
        <f t="shared" si="33"/>
        <v>19201.523793976001</v>
      </c>
      <c r="CL39" s="202">
        <f t="shared" si="33"/>
        <v>19201.523793976001</v>
      </c>
      <c r="CM39" s="202">
        <f t="shared" si="33"/>
        <v>19201.523793976001</v>
      </c>
      <c r="CN39" s="202">
        <f t="shared" si="33"/>
        <v>19201.523793976001</v>
      </c>
      <c r="CO39" s="202">
        <f t="shared" si="33"/>
        <v>19201.523793976001</v>
      </c>
      <c r="CP39" s="202">
        <f t="shared" si="33"/>
        <v>19201.523793976001</v>
      </c>
      <c r="CQ39" s="202">
        <f t="shared" si="33"/>
        <v>19201.523793976001</v>
      </c>
      <c r="CR39" s="202">
        <f t="shared" si="33"/>
        <v>19201.523793976001</v>
      </c>
      <c r="CS39" s="202">
        <f t="shared" ref="CS39:DA40" si="34">IF(CS$2&lt;=($B$2+$C$2+$D$2),IF(CS$2&lt;=($B$2+$C$2),IF(CS$2&lt;=$B$2,$B39,$C39),$D39),$E39)</f>
        <v>19201.523793976001</v>
      </c>
      <c r="CT39" s="202">
        <f t="shared" si="34"/>
        <v>19201.523793976001</v>
      </c>
      <c r="CU39" s="202">
        <f t="shared" si="34"/>
        <v>19201.523793976001</v>
      </c>
      <c r="CV39" s="202">
        <f t="shared" si="34"/>
        <v>19201.523793976001</v>
      </c>
      <c r="CW39" s="202">
        <f t="shared" si="34"/>
        <v>19201.523793976001</v>
      </c>
      <c r="CX39" s="202">
        <f t="shared" si="34"/>
        <v>19201.523793976001</v>
      </c>
      <c r="CY39" s="202">
        <f t="shared" si="34"/>
        <v>19201.523793976001</v>
      </c>
      <c r="CZ39" s="202">
        <f t="shared" si="34"/>
        <v>19201.523793976001</v>
      </c>
      <c r="DA39" s="202">
        <f t="shared" si="34"/>
        <v>19201.523793976001</v>
      </c>
    </row>
    <row r="40" spans="1:105">
      <c r="A40" s="199" t="str">
        <f>Income!A90</f>
        <v>Lower Bound Poverty line</v>
      </c>
      <c r="B40" s="201">
        <f>Income!B90</f>
        <v>28392.937127309335</v>
      </c>
      <c r="C40" s="201">
        <f>Income!C90</f>
        <v>28392.937127309335</v>
      </c>
      <c r="D40" s="201">
        <f>Income!D90</f>
        <v>28392.937127309335</v>
      </c>
      <c r="E40" s="201">
        <f>Income!E90</f>
        <v>28392.937127309335</v>
      </c>
      <c r="F40" s="202">
        <f t="shared" ref="F40:U40" si="35">IF(F$2&lt;=($B$2+$C$2+$D$2),IF(F$2&lt;=($B$2+$C$2),IF(F$2&lt;=$B$2,$B40,$C40),$D40),$E40)</f>
        <v>28392.937127309335</v>
      </c>
      <c r="G40" s="202">
        <f t="shared" si="35"/>
        <v>28392.937127309335</v>
      </c>
      <c r="H40" s="202">
        <f t="shared" si="35"/>
        <v>28392.937127309335</v>
      </c>
      <c r="I40" s="202">
        <f t="shared" si="35"/>
        <v>28392.937127309335</v>
      </c>
      <c r="J40" s="202">
        <f t="shared" si="35"/>
        <v>28392.937127309335</v>
      </c>
      <c r="K40" s="202">
        <f t="shared" si="35"/>
        <v>28392.937127309335</v>
      </c>
      <c r="L40" s="202">
        <f t="shared" si="35"/>
        <v>28392.937127309335</v>
      </c>
      <c r="M40" s="202">
        <f t="shared" si="35"/>
        <v>28392.937127309335</v>
      </c>
      <c r="N40" s="202">
        <f t="shared" si="35"/>
        <v>28392.937127309335</v>
      </c>
      <c r="O40" s="202">
        <f t="shared" si="35"/>
        <v>28392.937127309335</v>
      </c>
      <c r="P40" s="202">
        <f t="shared" si="35"/>
        <v>28392.937127309335</v>
      </c>
      <c r="Q40" s="202">
        <f t="shared" si="35"/>
        <v>28392.937127309335</v>
      </c>
      <c r="R40" s="202">
        <f t="shared" si="35"/>
        <v>28392.937127309335</v>
      </c>
      <c r="S40" s="202">
        <f t="shared" si="35"/>
        <v>28392.937127309335</v>
      </c>
      <c r="T40" s="202">
        <f t="shared" si="35"/>
        <v>28392.937127309335</v>
      </c>
      <c r="U40" s="202">
        <f t="shared" si="35"/>
        <v>28392.937127309335</v>
      </c>
      <c r="V40" s="202">
        <f t="shared" si="30"/>
        <v>28392.937127309335</v>
      </c>
      <c r="W40" s="202">
        <f t="shared" si="30"/>
        <v>28392.937127309335</v>
      </c>
      <c r="X40" s="202">
        <f t="shared" si="30"/>
        <v>28392.937127309335</v>
      </c>
      <c r="Y40" s="202">
        <f t="shared" si="30"/>
        <v>28392.937127309335</v>
      </c>
      <c r="Z40" s="202">
        <f t="shared" si="30"/>
        <v>28392.937127309335</v>
      </c>
      <c r="AA40" s="202">
        <f t="shared" si="30"/>
        <v>28392.937127309335</v>
      </c>
      <c r="AB40" s="202">
        <f t="shared" si="30"/>
        <v>28392.937127309335</v>
      </c>
      <c r="AC40" s="202">
        <f t="shared" si="30"/>
        <v>28392.937127309335</v>
      </c>
      <c r="AD40" s="202">
        <f t="shared" si="30"/>
        <v>28392.937127309335</v>
      </c>
      <c r="AE40" s="202">
        <f t="shared" si="30"/>
        <v>28392.937127309335</v>
      </c>
      <c r="AF40" s="202">
        <f t="shared" si="30"/>
        <v>28392.937127309335</v>
      </c>
      <c r="AG40" s="202">
        <f t="shared" si="30"/>
        <v>28392.937127309335</v>
      </c>
      <c r="AH40" s="202">
        <f t="shared" si="30"/>
        <v>28392.937127309335</v>
      </c>
      <c r="AI40" s="202">
        <f t="shared" si="30"/>
        <v>28392.937127309335</v>
      </c>
      <c r="AJ40" s="202">
        <f t="shared" si="30"/>
        <v>28392.937127309335</v>
      </c>
      <c r="AK40" s="202">
        <f t="shared" si="30"/>
        <v>28392.937127309335</v>
      </c>
      <c r="AL40" s="202">
        <f t="shared" si="31"/>
        <v>28392.937127309335</v>
      </c>
      <c r="AM40" s="202">
        <f t="shared" si="31"/>
        <v>28392.937127309335</v>
      </c>
      <c r="AN40" s="202">
        <f t="shared" si="31"/>
        <v>28392.937127309335</v>
      </c>
      <c r="AO40" s="202">
        <f t="shared" si="31"/>
        <v>28392.937127309335</v>
      </c>
      <c r="AP40" s="202">
        <f t="shared" si="31"/>
        <v>28392.937127309335</v>
      </c>
      <c r="AQ40" s="202">
        <f t="shared" si="31"/>
        <v>28392.937127309335</v>
      </c>
      <c r="AR40" s="202">
        <f t="shared" si="31"/>
        <v>28392.937127309335</v>
      </c>
      <c r="AS40" s="202">
        <f t="shared" si="31"/>
        <v>28392.937127309335</v>
      </c>
      <c r="AT40" s="202">
        <f t="shared" si="31"/>
        <v>28392.937127309335</v>
      </c>
      <c r="AU40" s="202">
        <f t="shared" si="31"/>
        <v>28392.937127309335</v>
      </c>
      <c r="AV40" s="202">
        <f t="shared" si="31"/>
        <v>28392.937127309335</v>
      </c>
      <c r="AW40" s="202">
        <f t="shared" si="31"/>
        <v>28392.937127309335</v>
      </c>
      <c r="AX40" s="202">
        <f t="shared" si="31"/>
        <v>28392.937127309335</v>
      </c>
      <c r="AY40" s="202">
        <f t="shared" si="31"/>
        <v>28392.937127309335</v>
      </c>
      <c r="AZ40" s="202">
        <f t="shared" si="31"/>
        <v>28392.937127309335</v>
      </c>
      <c r="BA40" s="202">
        <f t="shared" si="31"/>
        <v>28392.937127309335</v>
      </c>
      <c r="BB40" s="202">
        <f t="shared" si="32"/>
        <v>28392.937127309335</v>
      </c>
      <c r="BC40" s="202">
        <f t="shared" si="32"/>
        <v>28392.937127309335</v>
      </c>
      <c r="BD40" s="202">
        <f t="shared" si="32"/>
        <v>28392.937127309335</v>
      </c>
      <c r="BE40" s="202">
        <f t="shared" si="32"/>
        <v>28392.937127309335</v>
      </c>
      <c r="BF40" s="202">
        <f t="shared" si="32"/>
        <v>28392.937127309335</v>
      </c>
      <c r="BG40" s="202">
        <f t="shared" si="32"/>
        <v>28392.937127309335</v>
      </c>
      <c r="BH40" s="202">
        <f t="shared" si="32"/>
        <v>28392.937127309335</v>
      </c>
      <c r="BI40" s="202">
        <f t="shared" si="32"/>
        <v>28392.937127309335</v>
      </c>
      <c r="BJ40" s="202">
        <f t="shared" si="32"/>
        <v>28392.937127309335</v>
      </c>
      <c r="BK40" s="202">
        <f t="shared" si="32"/>
        <v>28392.937127309335</v>
      </c>
      <c r="BL40" s="202">
        <f t="shared" si="32"/>
        <v>28392.937127309335</v>
      </c>
      <c r="BM40" s="202">
        <f t="shared" si="32"/>
        <v>28392.937127309335</v>
      </c>
      <c r="BN40" s="202">
        <f t="shared" si="32"/>
        <v>28392.937127309335</v>
      </c>
      <c r="BO40" s="202">
        <f t="shared" si="32"/>
        <v>28392.937127309335</v>
      </c>
      <c r="BP40" s="202">
        <f t="shared" si="32"/>
        <v>28392.937127309335</v>
      </c>
      <c r="BQ40" s="202">
        <f t="shared" si="32"/>
        <v>28392.937127309335</v>
      </c>
      <c r="BR40" s="202">
        <f t="shared" si="32"/>
        <v>28392.937127309335</v>
      </c>
      <c r="BS40" s="202">
        <f t="shared" si="32"/>
        <v>28392.937127309335</v>
      </c>
      <c r="BT40" s="202">
        <f t="shared" si="32"/>
        <v>28392.937127309335</v>
      </c>
      <c r="BU40" s="202">
        <f t="shared" si="32"/>
        <v>28392.937127309335</v>
      </c>
      <c r="BV40" s="202">
        <f t="shared" si="32"/>
        <v>28392.937127309335</v>
      </c>
      <c r="BW40" s="202">
        <f t="shared" si="32"/>
        <v>28392.937127309335</v>
      </c>
      <c r="BX40" s="202">
        <f t="shared" si="32"/>
        <v>28392.937127309335</v>
      </c>
      <c r="BY40" s="202">
        <f t="shared" si="32"/>
        <v>28392.937127309335</v>
      </c>
      <c r="BZ40" s="202">
        <f t="shared" si="32"/>
        <v>28392.937127309335</v>
      </c>
      <c r="CA40" s="202">
        <f t="shared" si="32"/>
        <v>28392.937127309335</v>
      </c>
      <c r="CB40" s="202">
        <f t="shared" si="32"/>
        <v>28392.937127309335</v>
      </c>
      <c r="CC40" s="202">
        <f t="shared" si="32"/>
        <v>28392.937127309335</v>
      </c>
      <c r="CD40" s="202">
        <f t="shared" si="32"/>
        <v>28392.937127309335</v>
      </c>
      <c r="CE40" s="202">
        <f t="shared" si="33"/>
        <v>28392.937127309335</v>
      </c>
      <c r="CF40" s="202">
        <f t="shared" si="33"/>
        <v>28392.937127309335</v>
      </c>
      <c r="CG40" s="202">
        <f t="shared" si="33"/>
        <v>28392.937127309335</v>
      </c>
      <c r="CH40" s="202">
        <f t="shared" si="33"/>
        <v>28392.937127309335</v>
      </c>
      <c r="CI40" s="202">
        <f t="shared" si="33"/>
        <v>28392.937127309335</v>
      </c>
      <c r="CJ40" s="202">
        <f t="shared" si="33"/>
        <v>28392.937127309335</v>
      </c>
      <c r="CK40" s="202">
        <f t="shared" si="33"/>
        <v>28392.937127309335</v>
      </c>
      <c r="CL40" s="202">
        <f t="shared" si="33"/>
        <v>28392.937127309335</v>
      </c>
      <c r="CM40" s="202">
        <f t="shared" si="33"/>
        <v>28392.937127309335</v>
      </c>
      <c r="CN40" s="202">
        <f t="shared" si="33"/>
        <v>28392.937127309335</v>
      </c>
      <c r="CO40" s="202">
        <f t="shared" si="33"/>
        <v>28392.937127309335</v>
      </c>
      <c r="CP40" s="202">
        <f t="shared" si="33"/>
        <v>28392.937127309335</v>
      </c>
      <c r="CQ40" s="202">
        <f t="shared" si="33"/>
        <v>28392.937127309335</v>
      </c>
      <c r="CR40" s="202">
        <f t="shared" si="33"/>
        <v>28392.937127309335</v>
      </c>
      <c r="CS40" s="202">
        <f t="shared" si="34"/>
        <v>28392.937127309335</v>
      </c>
      <c r="CT40" s="202">
        <f t="shared" si="34"/>
        <v>28392.937127309335</v>
      </c>
      <c r="CU40" s="202">
        <f t="shared" si="34"/>
        <v>28392.937127309335</v>
      </c>
      <c r="CV40" s="202">
        <f t="shared" si="34"/>
        <v>28392.937127309335</v>
      </c>
      <c r="CW40" s="202">
        <f t="shared" si="34"/>
        <v>28392.937127309335</v>
      </c>
      <c r="CX40" s="202">
        <f t="shared" si="34"/>
        <v>28392.937127309335</v>
      </c>
      <c r="CY40" s="202">
        <f t="shared" si="34"/>
        <v>28392.937127309335</v>
      </c>
      <c r="CZ40" s="202">
        <f t="shared" si="34"/>
        <v>28392.937127309335</v>
      </c>
      <c r="DA40" s="202">
        <f t="shared" si="34"/>
        <v>28392.937127309335</v>
      </c>
    </row>
    <row r="42" spans="1:105">
      <c r="A42" s="199" t="str">
        <f>Income!A72</f>
        <v>Own crops Consumed</v>
      </c>
      <c r="F42" s="208">
        <f t="shared" ref="F42:AK42" si="36">IF(F$22&lt;=$E$24,IF(F$22&lt;=$D$24,IF(F$22&lt;=$C$24,IF(F$22&lt;=$B$24,$B108,($C25-$B25)/($C$24-$B$24)),($D25-$C25)/($D$24-$C$24)),($E25-$D25)/($E$24-$D$24)),$F108)</f>
        <v>0</v>
      </c>
      <c r="G42" s="208">
        <f t="shared" si="36"/>
        <v>0</v>
      </c>
      <c r="H42" s="208">
        <f t="shared" si="36"/>
        <v>0</v>
      </c>
      <c r="I42" s="208">
        <f t="shared" si="36"/>
        <v>0</v>
      </c>
      <c r="J42" s="208">
        <f t="shared" si="36"/>
        <v>0</v>
      </c>
      <c r="K42" s="208">
        <f t="shared" si="36"/>
        <v>0</v>
      </c>
      <c r="L42" s="208">
        <f t="shared" si="36"/>
        <v>0</v>
      </c>
      <c r="M42" s="208">
        <f t="shared" si="36"/>
        <v>0</v>
      </c>
      <c r="N42" s="208">
        <f t="shared" si="36"/>
        <v>0</v>
      </c>
      <c r="O42" s="208">
        <f t="shared" si="36"/>
        <v>0</v>
      </c>
      <c r="P42" s="208">
        <f t="shared" si="36"/>
        <v>0</v>
      </c>
      <c r="Q42" s="208">
        <f t="shared" si="36"/>
        <v>0</v>
      </c>
      <c r="R42" s="208">
        <f t="shared" si="36"/>
        <v>0</v>
      </c>
      <c r="S42" s="208">
        <f t="shared" si="36"/>
        <v>0</v>
      </c>
      <c r="T42" s="208">
        <f t="shared" si="36"/>
        <v>0</v>
      </c>
      <c r="U42" s="208">
        <f t="shared" si="36"/>
        <v>0</v>
      </c>
      <c r="V42" s="208">
        <f t="shared" si="36"/>
        <v>0</v>
      </c>
      <c r="W42" s="208">
        <f t="shared" si="36"/>
        <v>0</v>
      </c>
      <c r="X42" s="208">
        <f t="shared" si="36"/>
        <v>0</v>
      </c>
      <c r="Y42" s="208">
        <f t="shared" si="36"/>
        <v>0</v>
      </c>
      <c r="Z42" s="208">
        <f t="shared" si="36"/>
        <v>0</v>
      </c>
      <c r="AA42" s="208">
        <f t="shared" si="36"/>
        <v>0</v>
      </c>
      <c r="AB42" s="208">
        <f t="shared" si="36"/>
        <v>0</v>
      </c>
      <c r="AC42" s="208">
        <f t="shared" si="36"/>
        <v>0</v>
      </c>
      <c r="AD42" s="208">
        <f t="shared" si="36"/>
        <v>0</v>
      </c>
      <c r="AE42" s="208">
        <f t="shared" si="36"/>
        <v>0</v>
      </c>
      <c r="AF42" s="208">
        <f t="shared" si="36"/>
        <v>0</v>
      </c>
      <c r="AG42" s="208">
        <f t="shared" si="36"/>
        <v>0</v>
      </c>
      <c r="AH42" s="208">
        <f t="shared" si="36"/>
        <v>0</v>
      </c>
      <c r="AI42" s="208">
        <f t="shared" si="36"/>
        <v>0</v>
      </c>
      <c r="AJ42" s="208">
        <f t="shared" si="36"/>
        <v>0</v>
      </c>
      <c r="AK42" s="208">
        <f t="shared" si="36"/>
        <v>0</v>
      </c>
      <c r="AL42" s="208">
        <f t="shared" ref="AL42:BQ42" si="37">IF(AL$22&lt;=$E$24,IF(AL$22&lt;=$D$24,IF(AL$22&lt;=$C$24,IF(AL$22&lt;=$B$24,$B108,($C25-$B25)/($C$24-$B$24)),($D25-$C25)/($D$24-$C$24)),($E25-$D25)/($E$24-$D$24)),$F108)</f>
        <v>0</v>
      </c>
      <c r="AM42" s="208">
        <f t="shared" si="37"/>
        <v>0</v>
      </c>
      <c r="AN42" s="208">
        <f t="shared" si="37"/>
        <v>0</v>
      </c>
      <c r="AO42" s="208">
        <f t="shared" si="37"/>
        <v>0</v>
      </c>
      <c r="AP42" s="208">
        <f t="shared" si="37"/>
        <v>0</v>
      </c>
      <c r="AQ42" s="208">
        <f t="shared" si="37"/>
        <v>0</v>
      </c>
      <c r="AR42" s="208">
        <f t="shared" si="37"/>
        <v>0</v>
      </c>
      <c r="AS42" s="208">
        <f t="shared" si="37"/>
        <v>0</v>
      </c>
      <c r="AT42" s="208">
        <f t="shared" si="37"/>
        <v>0</v>
      </c>
      <c r="AU42" s="208">
        <f t="shared" si="37"/>
        <v>0</v>
      </c>
      <c r="AV42" s="208">
        <f t="shared" si="37"/>
        <v>0</v>
      </c>
      <c r="AW42" s="208">
        <f t="shared" si="37"/>
        <v>0</v>
      </c>
      <c r="AX42" s="208">
        <f t="shared" si="37"/>
        <v>0</v>
      </c>
      <c r="AY42" s="208">
        <f t="shared" si="37"/>
        <v>0</v>
      </c>
      <c r="AZ42" s="208">
        <f t="shared" si="37"/>
        <v>0</v>
      </c>
      <c r="BA42" s="208">
        <f t="shared" si="37"/>
        <v>0</v>
      </c>
      <c r="BB42" s="208">
        <f t="shared" si="37"/>
        <v>0</v>
      </c>
      <c r="BC42" s="208">
        <f t="shared" si="37"/>
        <v>0</v>
      </c>
      <c r="BD42" s="208">
        <f t="shared" si="37"/>
        <v>0</v>
      </c>
      <c r="BE42" s="208">
        <f t="shared" si="37"/>
        <v>0</v>
      </c>
      <c r="BF42" s="208">
        <f t="shared" si="37"/>
        <v>0</v>
      </c>
      <c r="BG42" s="208">
        <f t="shared" si="37"/>
        <v>0</v>
      </c>
      <c r="BH42" s="208">
        <f t="shared" si="37"/>
        <v>0</v>
      </c>
      <c r="BI42" s="208">
        <f t="shared" si="37"/>
        <v>0</v>
      </c>
      <c r="BJ42" s="208">
        <f t="shared" si="37"/>
        <v>0</v>
      </c>
      <c r="BK42" s="208">
        <f t="shared" si="37"/>
        <v>0</v>
      </c>
      <c r="BL42" s="208">
        <f t="shared" si="37"/>
        <v>0</v>
      </c>
      <c r="BM42" s="208">
        <f t="shared" si="37"/>
        <v>0</v>
      </c>
      <c r="BN42" s="208">
        <f t="shared" si="37"/>
        <v>0</v>
      </c>
      <c r="BO42" s="208">
        <f t="shared" si="37"/>
        <v>0</v>
      </c>
      <c r="BP42" s="208">
        <f t="shared" si="37"/>
        <v>0</v>
      </c>
      <c r="BQ42" s="208">
        <f t="shared" si="37"/>
        <v>0</v>
      </c>
      <c r="BR42" s="208">
        <f t="shared" ref="BR42:DA42" si="38">IF(BR$22&lt;=$E$24,IF(BR$22&lt;=$D$24,IF(BR$22&lt;=$C$24,IF(BR$22&lt;=$B$24,$B108,($C25-$B25)/($C$24-$B$24)),($D25-$C25)/($D$24-$C$24)),($E25-$D25)/($E$24-$D$24)),$F108)</f>
        <v>0</v>
      </c>
      <c r="BS42" s="208">
        <f t="shared" si="38"/>
        <v>0</v>
      </c>
      <c r="BT42" s="208">
        <f t="shared" si="38"/>
        <v>0</v>
      </c>
      <c r="BU42" s="208">
        <f t="shared" si="38"/>
        <v>0</v>
      </c>
      <c r="BV42" s="208">
        <f t="shared" si="38"/>
        <v>0</v>
      </c>
      <c r="BW42" s="208">
        <f t="shared" si="38"/>
        <v>0</v>
      </c>
      <c r="BX42" s="208">
        <f t="shared" si="38"/>
        <v>0</v>
      </c>
      <c r="BY42" s="208">
        <f t="shared" si="38"/>
        <v>33.734000000000037</v>
      </c>
      <c r="BZ42" s="208">
        <f t="shared" si="38"/>
        <v>33.734000000000037</v>
      </c>
      <c r="CA42" s="208">
        <f t="shared" si="38"/>
        <v>33.734000000000037</v>
      </c>
      <c r="CB42" s="208">
        <f t="shared" si="38"/>
        <v>33.734000000000037</v>
      </c>
      <c r="CC42" s="208">
        <f t="shared" si="38"/>
        <v>33.734000000000037</v>
      </c>
      <c r="CD42" s="208">
        <f t="shared" si="38"/>
        <v>33.734000000000037</v>
      </c>
      <c r="CE42" s="208">
        <f t="shared" si="38"/>
        <v>33.734000000000037</v>
      </c>
      <c r="CF42" s="208">
        <f t="shared" si="38"/>
        <v>33.734000000000037</v>
      </c>
      <c r="CG42" s="208">
        <f t="shared" si="38"/>
        <v>33.734000000000037</v>
      </c>
      <c r="CH42" s="208">
        <f t="shared" si="38"/>
        <v>33.734000000000037</v>
      </c>
      <c r="CI42" s="208">
        <f t="shared" si="38"/>
        <v>33.734000000000037</v>
      </c>
      <c r="CJ42" s="208">
        <f t="shared" si="38"/>
        <v>33.734000000000037</v>
      </c>
      <c r="CK42" s="208">
        <f t="shared" si="38"/>
        <v>33.734000000000037</v>
      </c>
      <c r="CL42" s="208">
        <f t="shared" si="38"/>
        <v>33.734000000000037</v>
      </c>
      <c r="CM42" s="208">
        <f t="shared" si="38"/>
        <v>33.734000000000037</v>
      </c>
      <c r="CN42" s="208">
        <f t="shared" si="38"/>
        <v>33.734000000000037</v>
      </c>
      <c r="CO42" s="208">
        <f t="shared" si="38"/>
        <v>33.734000000000037</v>
      </c>
      <c r="CP42" s="208">
        <f t="shared" si="38"/>
        <v>33.734000000000037</v>
      </c>
      <c r="CQ42" s="208">
        <f t="shared" si="38"/>
        <v>33.734000000000037</v>
      </c>
      <c r="CR42" s="208">
        <f t="shared" si="38"/>
        <v>33.734000000000037</v>
      </c>
      <c r="CS42" s="208">
        <f t="shared" si="38"/>
        <v>33.734000000000037</v>
      </c>
      <c r="CT42" s="208">
        <f t="shared" si="38"/>
        <v>33.734000000000037</v>
      </c>
      <c r="CU42" s="208">
        <f t="shared" si="38"/>
        <v>33.734000000000037</v>
      </c>
      <c r="CV42" s="208">
        <f t="shared" si="38"/>
        <v>33.734000000000037</v>
      </c>
      <c r="CW42" s="208">
        <f t="shared" si="38"/>
        <v>33.734000000000037</v>
      </c>
      <c r="CX42" s="208">
        <f t="shared" si="38"/>
        <v>33.734000000000037</v>
      </c>
      <c r="CY42" s="208">
        <f t="shared" si="38"/>
        <v>33.734000000000037</v>
      </c>
      <c r="CZ42" s="208">
        <f t="shared" si="38"/>
        <v>33.734000000000037</v>
      </c>
      <c r="DA42" s="208">
        <f t="shared" si="38"/>
        <v>33.734000000000037</v>
      </c>
    </row>
    <row r="43" spans="1:105">
      <c r="A43" s="199" t="str">
        <f>Income!A73</f>
        <v>Own crops sold</v>
      </c>
      <c r="F43" s="208">
        <f t="shared" ref="F43:AK43" si="39">IF(F$22&lt;=$E$24,IF(F$22&lt;=$D$24,IF(F$22&lt;=$C$24,IF(F$22&lt;=$B$24,$B109,($C26-$B26)/($C$24-$B$24)),($D26-$C26)/($D$24-$C$24)),($E26-$D26)/($E$24-$D$24)),$F109)</f>
        <v>340.26</v>
      </c>
      <c r="G43" s="208">
        <f t="shared" si="39"/>
        <v>340.26</v>
      </c>
      <c r="H43" s="208">
        <f t="shared" si="39"/>
        <v>340.26</v>
      </c>
      <c r="I43" s="208">
        <f t="shared" si="39"/>
        <v>340.26</v>
      </c>
      <c r="J43" s="208">
        <f t="shared" si="39"/>
        <v>340.26</v>
      </c>
      <c r="K43" s="208">
        <f t="shared" si="39"/>
        <v>340.26</v>
      </c>
      <c r="L43" s="208">
        <f>IF(L$22&lt;=$E$24,IF(L$22&lt;=$D$24,IF(L$22&lt;=$C$24,IF(L$22&lt;=$B$24,$B109,($C26-$B26)/($C$24-$B$24)),($D26-$C26)/($D$24-$C$24)),($E26-$D26)/($E$24-$D$24)),$F109)</f>
        <v>340.26</v>
      </c>
      <c r="M43" s="208">
        <f t="shared" si="39"/>
        <v>340.26</v>
      </c>
      <c r="N43" s="208">
        <f t="shared" si="39"/>
        <v>340.26</v>
      </c>
      <c r="O43" s="208">
        <f t="shared" si="39"/>
        <v>340.26</v>
      </c>
      <c r="P43" s="208">
        <f t="shared" si="39"/>
        <v>340.26</v>
      </c>
      <c r="Q43" s="208">
        <f t="shared" si="39"/>
        <v>0</v>
      </c>
      <c r="R43" s="208">
        <f t="shared" si="39"/>
        <v>0</v>
      </c>
      <c r="S43" s="208">
        <f t="shared" si="39"/>
        <v>0</v>
      </c>
      <c r="T43" s="208">
        <f t="shared" si="39"/>
        <v>0</v>
      </c>
      <c r="U43" s="208">
        <f t="shared" si="39"/>
        <v>0</v>
      </c>
      <c r="V43" s="208">
        <f t="shared" si="39"/>
        <v>0</v>
      </c>
      <c r="W43" s="208">
        <f t="shared" si="39"/>
        <v>0</v>
      </c>
      <c r="X43" s="208">
        <f t="shared" si="39"/>
        <v>0</v>
      </c>
      <c r="Y43" s="208">
        <f t="shared" si="39"/>
        <v>0</v>
      </c>
      <c r="Z43" s="208">
        <f t="shared" si="39"/>
        <v>0</v>
      </c>
      <c r="AA43" s="208">
        <f t="shared" si="39"/>
        <v>0</v>
      </c>
      <c r="AB43" s="208">
        <f t="shared" si="39"/>
        <v>0</v>
      </c>
      <c r="AC43" s="208">
        <f t="shared" si="39"/>
        <v>0</v>
      </c>
      <c r="AD43" s="208">
        <f t="shared" si="39"/>
        <v>0</v>
      </c>
      <c r="AE43" s="208">
        <f t="shared" si="39"/>
        <v>0</v>
      </c>
      <c r="AF43" s="208">
        <f t="shared" si="39"/>
        <v>0</v>
      </c>
      <c r="AG43" s="208">
        <f t="shared" si="39"/>
        <v>0</v>
      </c>
      <c r="AH43" s="208">
        <f t="shared" si="39"/>
        <v>0</v>
      </c>
      <c r="AI43" s="208">
        <f t="shared" si="39"/>
        <v>0</v>
      </c>
      <c r="AJ43" s="208">
        <f t="shared" si="39"/>
        <v>0</v>
      </c>
      <c r="AK43" s="208">
        <f t="shared" si="39"/>
        <v>0</v>
      </c>
      <c r="AL43" s="208">
        <f t="shared" ref="AL43:BQ43" si="40">IF(AL$22&lt;=$E$24,IF(AL$22&lt;=$D$24,IF(AL$22&lt;=$C$24,IF(AL$22&lt;=$B$24,$B109,($C26-$B26)/($C$24-$B$24)),($D26-$C26)/($D$24-$C$24)),($E26-$D26)/($E$24-$D$24)),$F109)</f>
        <v>0</v>
      </c>
      <c r="AM43" s="208">
        <f t="shared" si="40"/>
        <v>0</v>
      </c>
      <c r="AN43" s="208">
        <f t="shared" si="40"/>
        <v>0</v>
      </c>
      <c r="AO43" s="208">
        <f t="shared" si="40"/>
        <v>0</v>
      </c>
      <c r="AP43" s="208">
        <f t="shared" si="40"/>
        <v>0</v>
      </c>
      <c r="AQ43" s="208">
        <f t="shared" si="40"/>
        <v>0</v>
      </c>
      <c r="AR43" s="208">
        <f t="shared" si="40"/>
        <v>0</v>
      </c>
      <c r="AS43" s="208">
        <f t="shared" si="40"/>
        <v>0</v>
      </c>
      <c r="AT43" s="208">
        <f t="shared" si="40"/>
        <v>0</v>
      </c>
      <c r="AU43" s="208">
        <f t="shared" si="40"/>
        <v>0</v>
      </c>
      <c r="AV43" s="208">
        <f t="shared" si="40"/>
        <v>0</v>
      </c>
      <c r="AW43" s="208">
        <f t="shared" si="40"/>
        <v>0</v>
      </c>
      <c r="AX43" s="208">
        <f t="shared" si="40"/>
        <v>0</v>
      </c>
      <c r="AY43" s="208">
        <f t="shared" si="40"/>
        <v>0</v>
      </c>
      <c r="AZ43" s="208">
        <f t="shared" si="40"/>
        <v>0</v>
      </c>
      <c r="BA43" s="208">
        <f t="shared" si="40"/>
        <v>0</v>
      </c>
      <c r="BB43" s="208">
        <f t="shared" si="40"/>
        <v>0</v>
      </c>
      <c r="BC43" s="208">
        <f t="shared" si="40"/>
        <v>0</v>
      </c>
      <c r="BD43" s="208">
        <f t="shared" si="40"/>
        <v>0</v>
      </c>
      <c r="BE43" s="208">
        <f t="shared" si="40"/>
        <v>0</v>
      </c>
      <c r="BF43" s="208">
        <f t="shared" si="40"/>
        <v>0</v>
      </c>
      <c r="BG43" s="208">
        <f t="shared" si="40"/>
        <v>0</v>
      </c>
      <c r="BH43" s="208">
        <f t="shared" si="40"/>
        <v>0</v>
      </c>
      <c r="BI43" s="208">
        <f t="shared" si="40"/>
        <v>0</v>
      </c>
      <c r="BJ43" s="208">
        <f t="shared" si="40"/>
        <v>0</v>
      </c>
      <c r="BK43" s="208">
        <f t="shared" si="40"/>
        <v>0</v>
      </c>
      <c r="BL43" s="208">
        <f t="shared" si="40"/>
        <v>0</v>
      </c>
      <c r="BM43" s="208">
        <f t="shared" si="40"/>
        <v>0</v>
      </c>
      <c r="BN43" s="208">
        <f t="shared" si="40"/>
        <v>0</v>
      </c>
      <c r="BO43" s="208">
        <f t="shared" si="40"/>
        <v>0</v>
      </c>
      <c r="BP43" s="208">
        <f t="shared" si="40"/>
        <v>0</v>
      </c>
      <c r="BQ43" s="208">
        <f t="shared" si="40"/>
        <v>0</v>
      </c>
      <c r="BR43" s="208">
        <f t="shared" ref="BR43:DA43" si="41">IF(BR$22&lt;=$E$24,IF(BR$22&lt;=$D$24,IF(BR$22&lt;=$C$24,IF(BR$22&lt;=$B$24,$B109,($C26-$B26)/($C$24-$B$24)),($D26-$C26)/($D$24-$C$24)),($E26-$D26)/($E$24-$D$24)),$F109)</f>
        <v>0</v>
      </c>
      <c r="BS43" s="208">
        <f t="shared" si="41"/>
        <v>0</v>
      </c>
      <c r="BT43" s="208">
        <f t="shared" si="41"/>
        <v>0</v>
      </c>
      <c r="BU43" s="208">
        <f t="shared" si="41"/>
        <v>0</v>
      </c>
      <c r="BV43" s="208">
        <f t="shared" si="41"/>
        <v>0</v>
      </c>
      <c r="BW43" s="208">
        <f t="shared" si="41"/>
        <v>0</v>
      </c>
      <c r="BX43" s="208">
        <f t="shared" si="41"/>
        <v>0</v>
      </c>
      <c r="BY43" s="208">
        <f t="shared" si="41"/>
        <v>288.09999999999991</v>
      </c>
      <c r="BZ43" s="208">
        <f t="shared" si="41"/>
        <v>288.09999999999991</v>
      </c>
      <c r="CA43" s="208">
        <f t="shared" si="41"/>
        <v>288.09999999999991</v>
      </c>
      <c r="CB43" s="208">
        <f t="shared" si="41"/>
        <v>288.09999999999991</v>
      </c>
      <c r="CC43" s="208">
        <f t="shared" si="41"/>
        <v>288.09999999999991</v>
      </c>
      <c r="CD43" s="208">
        <f t="shared" si="41"/>
        <v>288.09999999999991</v>
      </c>
      <c r="CE43" s="208">
        <f t="shared" si="41"/>
        <v>288.09999999999991</v>
      </c>
      <c r="CF43" s="208">
        <f t="shared" si="41"/>
        <v>288.09999999999991</v>
      </c>
      <c r="CG43" s="208">
        <f t="shared" si="41"/>
        <v>288.09999999999991</v>
      </c>
      <c r="CH43" s="208">
        <f t="shared" si="41"/>
        <v>288.09999999999991</v>
      </c>
      <c r="CI43" s="208">
        <f t="shared" si="41"/>
        <v>288.09999999999991</v>
      </c>
      <c r="CJ43" s="208">
        <f t="shared" si="41"/>
        <v>288.09999999999991</v>
      </c>
      <c r="CK43" s="208">
        <f t="shared" si="41"/>
        <v>288.09999999999991</v>
      </c>
      <c r="CL43" s="208">
        <f t="shared" si="41"/>
        <v>288.09999999999991</v>
      </c>
      <c r="CM43" s="208">
        <f t="shared" si="41"/>
        <v>288.09999999999991</v>
      </c>
      <c r="CN43" s="208">
        <f t="shared" si="41"/>
        <v>288.09999999999991</v>
      </c>
      <c r="CO43" s="208">
        <f t="shared" si="41"/>
        <v>288.09999999999991</v>
      </c>
      <c r="CP43" s="208">
        <f t="shared" si="41"/>
        <v>288.09999999999991</v>
      </c>
      <c r="CQ43" s="208">
        <f t="shared" si="41"/>
        <v>288.09999999999991</v>
      </c>
      <c r="CR43" s="208">
        <f t="shared" si="41"/>
        <v>288.09999999999991</v>
      </c>
      <c r="CS43" s="208">
        <f t="shared" si="41"/>
        <v>288.09999999999991</v>
      </c>
      <c r="CT43" s="208">
        <f t="shared" si="41"/>
        <v>288.09999999999991</v>
      </c>
      <c r="CU43" s="208">
        <f t="shared" si="41"/>
        <v>288.09999999999991</v>
      </c>
      <c r="CV43" s="208">
        <f t="shared" si="41"/>
        <v>288.09999999999991</v>
      </c>
      <c r="CW43" s="208">
        <f t="shared" si="41"/>
        <v>288.09999999999991</v>
      </c>
      <c r="CX43" s="208">
        <f t="shared" si="41"/>
        <v>288.09999999999991</v>
      </c>
      <c r="CY43" s="208">
        <f t="shared" si="41"/>
        <v>288.09999999999991</v>
      </c>
      <c r="CZ43" s="208">
        <f t="shared" si="41"/>
        <v>288.09999999999991</v>
      </c>
      <c r="DA43" s="208">
        <f t="shared" si="41"/>
        <v>288.09999999999991</v>
      </c>
    </row>
    <row r="44" spans="1:105">
      <c r="A44" s="199" t="str">
        <f>Income!A74</f>
        <v>Animal products consumed</v>
      </c>
      <c r="F44" s="208">
        <f t="shared" ref="F44:AK44" si="42">IF(F$22&lt;=$E$24,IF(F$22&lt;=$D$24,IF(F$22&lt;=$C$24,IF(F$22&lt;=$B$24,$B110,($C27-$B27)/($C$24-$B$24)),($D27-$C27)/($D$24-$C$24)),($E27-$D27)/($E$24-$D$24)),$F110)</f>
        <v>0</v>
      </c>
      <c r="G44" s="208">
        <f t="shared" si="42"/>
        <v>0</v>
      </c>
      <c r="H44" s="208">
        <f t="shared" si="42"/>
        <v>0</v>
      </c>
      <c r="I44" s="208">
        <f t="shared" si="42"/>
        <v>0</v>
      </c>
      <c r="J44" s="208">
        <f t="shared" si="42"/>
        <v>0</v>
      </c>
      <c r="K44" s="208">
        <f t="shared" si="42"/>
        <v>0</v>
      </c>
      <c r="L44" s="208">
        <f t="shared" si="42"/>
        <v>0</v>
      </c>
      <c r="M44" s="208">
        <f t="shared" si="42"/>
        <v>0</v>
      </c>
      <c r="N44" s="208">
        <f t="shared" si="42"/>
        <v>0</v>
      </c>
      <c r="O44" s="208">
        <f t="shared" si="42"/>
        <v>0</v>
      </c>
      <c r="P44" s="208">
        <f t="shared" si="42"/>
        <v>0</v>
      </c>
      <c r="Q44" s="208">
        <f t="shared" si="42"/>
        <v>0</v>
      </c>
      <c r="R44" s="208">
        <f t="shared" si="42"/>
        <v>0</v>
      </c>
      <c r="S44" s="208">
        <f t="shared" si="42"/>
        <v>0</v>
      </c>
      <c r="T44" s="208">
        <f t="shared" si="42"/>
        <v>0</v>
      </c>
      <c r="U44" s="208">
        <f t="shared" si="42"/>
        <v>0</v>
      </c>
      <c r="V44" s="208">
        <f t="shared" si="42"/>
        <v>0</v>
      </c>
      <c r="W44" s="208">
        <f t="shared" si="42"/>
        <v>0</v>
      </c>
      <c r="X44" s="208">
        <f t="shared" si="42"/>
        <v>0</v>
      </c>
      <c r="Y44" s="208">
        <f t="shared" si="42"/>
        <v>0</v>
      </c>
      <c r="Z44" s="208">
        <f t="shared" si="42"/>
        <v>0</v>
      </c>
      <c r="AA44" s="208">
        <f t="shared" si="42"/>
        <v>0</v>
      </c>
      <c r="AB44" s="208">
        <f t="shared" si="42"/>
        <v>0</v>
      </c>
      <c r="AC44" s="208">
        <f t="shared" si="42"/>
        <v>0</v>
      </c>
      <c r="AD44" s="208">
        <f t="shared" si="42"/>
        <v>0</v>
      </c>
      <c r="AE44" s="208">
        <f t="shared" si="42"/>
        <v>0</v>
      </c>
      <c r="AF44" s="208">
        <f t="shared" si="42"/>
        <v>0</v>
      </c>
      <c r="AG44" s="208">
        <f t="shared" si="42"/>
        <v>0</v>
      </c>
      <c r="AH44" s="208">
        <f t="shared" si="42"/>
        <v>0</v>
      </c>
      <c r="AI44" s="208">
        <f t="shared" si="42"/>
        <v>0</v>
      </c>
      <c r="AJ44" s="208">
        <f t="shared" si="42"/>
        <v>0</v>
      </c>
      <c r="AK44" s="208">
        <f t="shared" si="42"/>
        <v>0</v>
      </c>
      <c r="AL44" s="208">
        <f t="shared" ref="AL44:BQ44" si="43">IF(AL$22&lt;=$E$24,IF(AL$22&lt;=$D$24,IF(AL$22&lt;=$C$24,IF(AL$22&lt;=$B$24,$B110,($C27-$B27)/($C$24-$B$24)),($D27-$C27)/($D$24-$C$24)),($E27-$D27)/($E$24-$D$24)),$F110)</f>
        <v>0</v>
      </c>
      <c r="AM44" s="208">
        <f t="shared" si="43"/>
        <v>0</v>
      </c>
      <c r="AN44" s="208">
        <f t="shared" si="43"/>
        <v>0</v>
      </c>
      <c r="AO44" s="208">
        <f t="shared" si="43"/>
        <v>0</v>
      </c>
      <c r="AP44" s="208">
        <f t="shared" si="43"/>
        <v>0</v>
      </c>
      <c r="AQ44" s="208">
        <f t="shared" si="43"/>
        <v>0</v>
      </c>
      <c r="AR44" s="208">
        <f t="shared" si="43"/>
        <v>0</v>
      </c>
      <c r="AS44" s="208">
        <f t="shared" si="43"/>
        <v>0</v>
      </c>
      <c r="AT44" s="208">
        <f t="shared" si="43"/>
        <v>0</v>
      </c>
      <c r="AU44" s="208">
        <f t="shared" si="43"/>
        <v>0</v>
      </c>
      <c r="AV44" s="208">
        <f t="shared" si="43"/>
        <v>0</v>
      </c>
      <c r="AW44" s="208">
        <f t="shared" si="43"/>
        <v>0</v>
      </c>
      <c r="AX44" s="208">
        <f t="shared" si="43"/>
        <v>0</v>
      </c>
      <c r="AY44" s="208">
        <f t="shared" si="43"/>
        <v>0</v>
      </c>
      <c r="AZ44" s="208">
        <f t="shared" si="43"/>
        <v>0</v>
      </c>
      <c r="BA44" s="208">
        <f t="shared" si="43"/>
        <v>0</v>
      </c>
      <c r="BB44" s="208">
        <f t="shared" si="43"/>
        <v>0</v>
      </c>
      <c r="BC44" s="208">
        <f t="shared" si="43"/>
        <v>0</v>
      </c>
      <c r="BD44" s="208">
        <f t="shared" si="43"/>
        <v>0</v>
      </c>
      <c r="BE44" s="208">
        <f t="shared" si="43"/>
        <v>0</v>
      </c>
      <c r="BF44" s="208">
        <f t="shared" si="43"/>
        <v>0</v>
      </c>
      <c r="BG44" s="208">
        <f t="shared" si="43"/>
        <v>0</v>
      </c>
      <c r="BH44" s="208">
        <f t="shared" si="43"/>
        <v>0</v>
      </c>
      <c r="BI44" s="208">
        <f t="shared" si="43"/>
        <v>0</v>
      </c>
      <c r="BJ44" s="208">
        <f t="shared" si="43"/>
        <v>0</v>
      </c>
      <c r="BK44" s="208">
        <f t="shared" si="43"/>
        <v>0</v>
      </c>
      <c r="BL44" s="208">
        <f t="shared" si="43"/>
        <v>0</v>
      </c>
      <c r="BM44" s="208">
        <f t="shared" si="43"/>
        <v>0</v>
      </c>
      <c r="BN44" s="208">
        <f t="shared" si="43"/>
        <v>0</v>
      </c>
      <c r="BO44" s="208">
        <f t="shared" si="43"/>
        <v>0</v>
      </c>
      <c r="BP44" s="208">
        <f t="shared" si="43"/>
        <v>0</v>
      </c>
      <c r="BQ44" s="208">
        <f t="shared" si="43"/>
        <v>0</v>
      </c>
      <c r="BR44" s="208">
        <f t="shared" ref="BR44:DA44" si="44">IF(BR$22&lt;=$E$24,IF(BR$22&lt;=$D$24,IF(BR$22&lt;=$C$24,IF(BR$22&lt;=$B$24,$B110,($C27-$B27)/($C$24-$B$24)),($D27-$C27)/($D$24-$C$24)),($E27-$D27)/($E$24-$D$24)),$F110)</f>
        <v>0</v>
      </c>
      <c r="BS44" s="208">
        <f t="shared" si="44"/>
        <v>0</v>
      </c>
      <c r="BT44" s="208">
        <f t="shared" si="44"/>
        <v>0</v>
      </c>
      <c r="BU44" s="208">
        <f t="shared" si="44"/>
        <v>0</v>
      </c>
      <c r="BV44" s="208">
        <f t="shared" si="44"/>
        <v>0</v>
      </c>
      <c r="BW44" s="208">
        <f t="shared" si="44"/>
        <v>0</v>
      </c>
      <c r="BX44" s="208">
        <f t="shared" si="44"/>
        <v>0</v>
      </c>
      <c r="BY44" s="208">
        <f t="shared" si="44"/>
        <v>11.675000000000001</v>
      </c>
      <c r="BZ44" s="208">
        <f t="shared" si="44"/>
        <v>11.675000000000001</v>
      </c>
      <c r="CA44" s="208">
        <f t="shared" si="44"/>
        <v>11.675000000000001</v>
      </c>
      <c r="CB44" s="208">
        <f t="shared" si="44"/>
        <v>11.675000000000001</v>
      </c>
      <c r="CC44" s="208">
        <f t="shared" si="44"/>
        <v>11.675000000000001</v>
      </c>
      <c r="CD44" s="208">
        <f t="shared" si="44"/>
        <v>11.675000000000001</v>
      </c>
      <c r="CE44" s="208">
        <f t="shared" si="44"/>
        <v>11.675000000000001</v>
      </c>
      <c r="CF44" s="208">
        <f t="shared" si="44"/>
        <v>11.675000000000001</v>
      </c>
      <c r="CG44" s="208">
        <f t="shared" si="44"/>
        <v>11.675000000000001</v>
      </c>
      <c r="CH44" s="208">
        <f t="shared" si="44"/>
        <v>11.675000000000001</v>
      </c>
      <c r="CI44" s="208">
        <f t="shared" si="44"/>
        <v>11.675000000000001</v>
      </c>
      <c r="CJ44" s="208">
        <f t="shared" si="44"/>
        <v>11.675000000000001</v>
      </c>
      <c r="CK44" s="208">
        <f t="shared" si="44"/>
        <v>11.675000000000001</v>
      </c>
      <c r="CL44" s="208">
        <f t="shared" si="44"/>
        <v>11.675000000000001</v>
      </c>
      <c r="CM44" s="208">
        <f t="shared" si="44"/>
        <v>11.675000000000001</v>
      </c>
      <c r="CN44" s="208">
        <f t="shared" si="44"/>
        <v>11.675000000000001</v>
      </c>
      <c r="CO44" s="208">
        <f t="shared" si="44"/>
        <v>11.675000000000001</v>
      </c>
      <c r="CP44" s="208">
        <f t="shared" si="44"/>
        <v>11.675000000000001</v>
      </c>
      <c r="CQ44" s="208">
        <f t="shared" si="44"/>
        <v>11.675000000000001</v>
      </c>
      <c r="CR44" s="208">
        <f t="shared" si="44"/>
        <v>11.675000000000001</v>
      </c>
      <c r="CS44" s="208">
        <f t="shared" si="44"/>
        <v>11.675000000000001</v>
      </c>
      <c r="CT44" s="208">
        <f t="shared" si="44"/>
        <v>11.675000000000001</v>
      </c>
      <c r="CU44" s="208">
        <f t="shared" si="44"/>
        <v>11.675000000000001</v>
      </c>
      <c r="CV44" s="208">
        <f t="shared" si="44"/>
        <v>11.675000000000001</v>
      </c>
      <c r="CW44" s="208">
        <f t="shared" si="44"/>
        <v>11.675000000000001</v>
      </c>
      <c r="CX44" s="208">
        <f t="shared" si="44"/>
        <v>11.675000000000001</v>
      </c>
      <c r="CY44" s="208">
        <f t="shared" si="44"/>
        <v>11.675000000000001</v>
      </c>
      <c r="CZ44" s="208">
        <f t="shared" si="44"/>
        <v>11.675000000000001</v>
      </c>
      <c r="DA44" s="208">
        <f t="shared" si="44"/>
        <v>11.675000000000001</v>
      </c>
    </row>
    <row r="45" spans="1:105">
      <c r="A45" s="199" t="str">
        <f>Income!A75</f>
        <v>Animal products sold</v>
      </c>
      <c r="F45" s="208">
        <f t="shared" ref="F45:AK45" si="45">IF(F$22&lt;=$E$24,IF(F$22&lt;=$D$24,IF(F$22&lt;=$C$24,IF(F$22&lt;=$B$24,$B111,($C28-$B28)/($C$24-$B$24)),($D28-$C28)/($D$24-$C$24)),($E28-$D28)/($E$24-$D$24)),$F111)</f>
        <v>0</v>
      </c>
      <c r="G45" s="208">
        <f t="shared" si="45"/>
        <v>0</v>
      </c>
      <c r="H45" s="208">
        <f t="shared" si="45"/>
        <v>0</v>
      </c>
      <c r="I45" s="208">
        <f t="shared" si="45"/>
        <v>0</v>
      </c>
      <c r="J45" s="208">
        <f t="shared" si="45"/>
        <v>0</v>
      </c>
      <c r="K45" s="208">
        <f t="shared" si="45"/>
        <v>0</v>
      </c>
      <c r="L45" s="208">
        <f t="shared" si="45"/>
        <v>0</v>
      </c>
      <c r="M45" s="208">
        <f t="shared" si="45"/>
        <v>0</v>
      </c>
      <c r="N45" s="208">
        <f t="shared" si="45"/>
        <v>0</v>
      </c>
      <c r="O45" s="208">
        <f t="shared" si="45"/>
        <v>0</v>
      </c>
      <c r="P45" s="208">
        <f t="shared" si="45"/>
        <v>0</v>
      </c>
      <c r="Q45" s="208">
        <f t="shared" si="45"/>
        <v>0</v>
      </c>
      <c r="R45" s="208">
        <f t="shared" si="45"/>
        <v>0</v>
      </c>
      <c r="S45" s="208">
        <f t="shared" si="45"/>
        <v>0</v>
      </c>
      <c r="T45" s="208">
        <f t="shared" si="45"/>
        <v>0</v>
      </c>
      <c r="U45" s="208">
        <f t="shared" si="45"/>
        <v>0</v>
      </c>
      <c r="V45" s="208">
        <f t="shared" si="45"/>
        <v>0</v>
      </c>
      <c r="W45" s="208">
        <f t="shared" si="45"/>
        <v>0</v>
      </c>
      <c r="X45" s="208">
        <f t="shared" si="45"/>
        <v>0</v>
      </c>
      <c r="Y45" s="208">
        <f t="shared" si="45"/>
        <v>0</v>
      </c>
      <c r="Z45" s="208">
        <f t="shared" si="45"/>
        <v>0</v>
      </c>
      <c r="AA45" s="208">
        <f t="shared" si="45"/>
        <v>0</v>
      </c>
      <c r="AB45" s="208">
        <f t="shared" si="45"/>
        <v>0</v>
      </c>
      <c r="AC45" s="208">
        <f t="shared" si="45"/>
        <v>0</v>
      </c>
      <c r="AD45" s="208">
        <f t="shared" si="45"/>
        <v>0</v>
      </c>
      <c r="AE45" s="208">
        <f t="shared" si="45"/>
        <v>0</v>
      </c>
      <c r="AF45" s="208">
        <f t="shared" si="45"/>
        <v>0</v>
      </c>
      <c r="AG45" s="208">
        <f t="shared" si="45"/>
        <v>0</v>
      </c>
      <c r="AH45" s="208">
        <f t="shared" si="45"/>
        <v>0</v>
      </c>
      <c r="AI45" s="208">
        <f t="shared" si="45"/>
        <v>0</v>
      </c>
      <c r="AJ45" s="208">
        <f t="shared" si="45"/>
        <v>0</v>
      </c>
      <c r="AK45" s="208">
        <f t="shared" si="45"/>
        <v>0</v>
      </c>
      <c r="AL45" s="208">
        <f t="shared" ref="AL45:BQ45" si="46">IF(AL$22&lt;=$E$24,IF(AL$22&lt;=$D$24,IF(AL$22&lt;=$C$24,IF(AL$22&lt;=$B$24,$B111,($C28-$B28)/($C$24-$B$24)),($D28-$C28)/($D$24-$C$24)),($E28-$D28)/($E$24-$D$24)),$F111)</f>
        <v>0</v>
      </c>
      <c r="AM45" s="208">
        <f t="shared" si="46"/>
        <v>0</v>
      </c>
      <c r="AN45" s="208">
        <f t="shared" si="46"/>
        <v>0</v>
      </c>
      <c r="AO45" s="208">
        <f t="shared" si="46"/>
        <v>0</v>
      </c>
      <c r="AP45" s="208">
        <f t="shared" si="46"/>
        <v>0</v>
      </c>
      <c r="AQ45" s="208">
        <f t="shared" si="46"/>
        <v>0</v>
      </c>
      <c r="AR45" s="208">
        <f t="shared" si="46"/>
        <v>0</v>
      </c>
      <c r="AS45" s="208">
        <f t="shared" si="46"/>
        <v>0</v>
      </c>
      <c r="AT45" s="208">
        <f t="shared" si="46"/>
        <v>0</v>
      </c>
      <c r="AU45" s="208">
        <f t="shared" si="46"/>
        <v>0</v>
      </c>
      <c r="AV45" s="208">
        <f t="shared" si="46"/>
        <v>0</v>
      </c>
      <c r="AW45" s="208">
        <f t="shared" si="46"/>
        <v>0</v>
      </c>
      <c r="AX45" s="208">
        <f t="shared" si="46"/>
        <v>0</v>
      </c>
      <c r="AY45" s="208">
        <f t="shared" si="46"/>
        <v>0</v>
      </c>
      <c r="AZ45" s="208">
        <f t="shared" si="46"/>
        <v>0</v>
      </c>
      <c r="BA45" s="208">
        <f t="shared" si="46"/>
        <v>0</v>
      </c>
      <c r="BB45" s="208">
        <f t="shared" si="46"/>
        <v>0</v>
      </c>
      <c r="BC45" s="208">
        <f t="shared" si="46"/>
        <v>0</v>
      </c>
      <c r="BD45" s="208">
        <f t="shared" si="46"/>
        <v>0</v>
      </c>
      <c r="BE45" s="208">
        <f t="shared" si="46"/>
        <v>0</v>
      </c>
      <c r="BF45" s="208">
        <f t="shared" si="46"/>
        <v>0</v>
      </c>
      <c r="BG45" s="208">
        <f t="shared" si="46"/>
        <v>0</v>
      </c>
      <c r="BH45" s="208">
        <f t="shared" si="46"/>
        <v>0</v>
      </c>
      <c r="BI45" s="208">
        <f t="shared" si="46"/>
        <v>0</v>
      </c>
      <c r="BJ45" s="208">
        <f t="shared" si="46"/>
        <v>0</v>
      </c>
      <c r="BK45" s="208">
        <f t="shared" si="46"/>
        <v>0</v>
      </c>
      <c r="BL45" s="208">
        <f t="shared" si="46"/>
        <v>0</v>
      </c>
      <c r="BM45" s="208">
        <f t="shared" si="46"/>
        <v>0</v>
      </c>
      <c r="BN45" s="208">
        <f t="shared" si="46"/>
        <v>0</v>
      </c>
      <c r="BO45" s="208">
        <f t="shared" si="46"/>
        <v>0</v>
      </c>
      <c r="BP45" s="208">
        <f t="shared" si="46"/>
        <v>0</v>
      </c>
      <c r="BQ45" s="208">
        <f t="shared" si="46"/>
        <v>0</v>
      </c>
      <c r="BR45" s="208">
        <f t="shared" ref="BR45:DA45" si="47">IF(BR$22&lt;=$E$24,IF(BR$22&lt;=$D$24,IF(BR$22&lt;=$C$24,IF(BR$22&lt;=$B$24,$B111,($C28-$B28)/($C$24-$B$24)),($D28-$C28)/($D$24-$C$24)),($E28-$D28)/($E$24-$D$24)),$F111)</f>
        <v>0</v>
      </c>
      <c r="BS45" s="208">
        <f t="shared" si="47"/>
        <v>0</v>
      </c>
      <c r="BT45" s="208">
        <f t="shared" si="47"/>
        <v>0</v>
      </c>
      <c r="BU45" s="208">
        <f t="shared" si="47"/>
        <v>0</v>
      </c>
      <c r="BV45" s="208">
        <f t="shared" si="47"/>
        <v>0</v>
      </c>
      <c r="BW45" s="208">
        <f t="shared" si="47"/>
        <v>0</v>
      </c>
      <c r="BX45" s="208">
        <f t="shared" si="47"/>
        <v>0</v>
      </c>
      <c r="BY45" s="208">
        <f t="shared" si="47"/>
        <v>0</v>
      </c>
      <c r="BZ45" s="208">
        <f t="shared" si="47"/>
        <v>0</v>
      </c>
      <c r="CA45" s="208">
        <f t="shared" si="47"/>
        <v>0</v>
      </c>
      <c r="CB45" s="208">
        <f t="shared" si="47"/>
        <v>0</v>
      </c>
      <c r="CC45" s="208">
        <f t="shared" si="47"/>
        <v>0</v>
      </c>
      <c r="CD45" s="208">
        <f t="shared" si="47"/>
        <v>0</v>
      </c>
      <c r="CE45" s="208">
        <f t="shared" si="47"/>
        <v>0</v>
      </c>
      <c r="CF45" s="208">
        <f t="shared" si="47"/>
        <v>0</v>
      </c>
      <c r="CG45" s="208">
        <f t="shared" si="47"/>
        <v>0</v>
      </c>
      <c r="CH45" s="208">
        <f t="shared" si="47"/>
        <v>0</v>
      </c>
      <c r="CI45" s="208">
        <f t="shared" si="47"/>
        <v>0</v>
      </c>
      <c r="CJ45" s="208">
        <f t="shared" si="47"/>
        <v>0</v>
      </c>
      <c r="CK45" s="208">
        <f t="shared" si="47"/>
        <v>0</v>
      </c>
      <c r="CL45" s="208">
        <f t="shared" si="47"/>
        <v>0</v>
      </c>
      <c r="CM45" s="208">
        <f t="shared" si="47"/>
        <v>0</v>
      </c>
      <c r="CN45" s="208">
        <f t="shared" si="47"/>
        <v>0</v>
      </c>
      <c r="CO45" s="208">
        <f t="shared" si="47"/>
        <v>0</v>
      </c>
      <c r="CP45" s="208">
        <f t="shared" si="47"/>
        <v>0</v>
      </c>
      <c r="CQ45" s="208">
        <f t="shared" si="47"/>
        <v>0</v>
      </c>
      <c r="CR45" s="208">
        <f t="shared" si="47"/>
        <v>0</v>
      </c>
      <c r="CS45" s="208">
        <f t="shared" si="47"/>
        <v>0</v>
      </c>
      <c r="CT45" s="208">
        <f t="shared" si="47"/>
        <v>0</v>
      </c>
      <c r="CU45" s="208">
        <f t="shared" si="47"/>
        <v>0</v>
      </c>
      <c r="CV45" s="208">
        <f t="shared" si="47"/>
        <v>0</v>
      </c>
      <c r="CW45" s="208">
        <f t="shared" si="47"/>
        <v>0</v>
      </c>
      <c r="CX45" s="208">
        <f t="shared" si="47"/>
        <v>0</v>
      </c>
      <c r="CY45" s="208">
        <f t="shared" si="47"/>
        <v>0</v>
      </c>
      <c r="CZ45" s="208">
        <f t="shared" si="47"/>
        <v>0</v>
      </c>
      <c r="DA45" s="208">
        <f t="shared" si="47"/>
        <v>0</v>
      </c>
    </row>
    <row r="46" spans="1:105">
      <c r="A46" s="199" t="str">
        <f>Income!A76</f>
        <v>Animals sold</v>
      </c>
      <c r="F46" s="208">
        <f t="shared" ref="F46:AK46" si="48">IF(F$22&lt;=$E$24,IF(F$22&lt;=$D$24,IF(F$22&lt;=$C$24,IF(F$22&lt;=$B$24,$B112,($C29-$B29)/($C$24-$B$24)),($D29-$C29)/($D$24-$C$24)),($E29-$D29)/($E$24-$D$24)),$F112)</f>
        <v>0</v>
      </c>
      <c r="G46" s="208">
        <f t="shared" si="48"/>
        <v>0</v>
      </c>
      <c r="H46" s="208">
        <f t="shared" si="48"/>
        <v>0</v>
      </c>
      <c r="I46" s="208">
        <f t="shared" si="48"/>
        <v>0</v>
      </c>
      <c r="J46" s="208">
        <f t="shared" si="48"/>
        <v>0</v>
      </c>
      <c r="K46" s="208">
        <f t="shared" si="48"/>
        <v>0</v>
      </c>
      <c r="L46" s="208">
        <f t="shared" si="48"/>
        <v>0</v>
      </c>
      <c r="M46" s="208">
        <f t="shared" si="48"/>
        <v>0</v>
      </c>
      <c r="N46" s="208">
        <f t="shared" si="48"/>
        <v>0</v>
      </c>
      <c r="O46" s="208">
        <f t="shared" si="48"/>
        <v>0</v>
      </c>
      <c r="P46" s="208">
        <f t="shared" si="48"/>
        <v>0</v>
      </c>
      <c r="Q46" s="208">
        <f t="shared" si="48"/>
        <v>0</v>
      </c>
      <c r="R46" s="208">
        <f t="shared" si="48"/>
        <v>0</v>
      </c>
      <c r="S46" s="208">
        <f t="shared" si="48"/>
        <v>0</v>
      </c>
      <c r="T46" s="208">
        <f t="shared" si="48"/>
        <v>0</v>
      </c>
      <c r="U46" s="208">
        <f t="shared" si="48"/>
        <v>0</v>
      </c>
      <c r="V46" s="208">
        <f t="shared" si="48"/>
        <v>0</v>
      </c>
      <c r="W46" s="208">
        <f t="shared" si="48"/>
        <v>0</v>
      </c>
      <c r="X46" s="208">
        <f t="shared" si="48"/>
        <v>0</v>
      </c>
      <c r="Y46" s="208">
        <f t="shared" si="48"/>
        <v>0</v>
      </c>
      <c r="Z46" s="208">
        <f t="shared" si="48"/>
        <v>0</v>
      </c>
      <c r="AA46" s="208">
        <f t="shared" si="48"/>
        <v>0</v>
      </c>
      <c r="AB46" s="208">
        <f t="shared" si="48"/>
        <v>0</v>
      </c>
      <c r="AC46" s="208">
        <f t="shared" si="48"/>
        <v>0</v>
      </c>
      <c r="AD46" s="208">
        <f t="shared" si="48"/>
        <v>0</v>
      </c>
      <c r="AE46" s="208">
        <f t="shared" si="48"/>
        <v>0</v>
      </c>
      <c r="AF46" s="208">
        <f t="shared" si="48"/>
        <v>0</v>
      </c>
      <c r="AG46" s="208">
        <f t="shared" si="48"/>
        <v>0</v>
      </c>
      <c r="AH46" s="208">
        <f t="shared" si="48"/>
        <v>0</v>
      </c>
      <c r="AI46" s="208">
        <f t="shared" si="48"/>
        <v>0</v>
      </c>
      <c r="AJ46" s="208">
        <f t="shared" si="48"/>
        <v>0</v>
      </c>
      <c r="AK46" s="208">
        <f t="shared" si="48"/>
        <v>0</v>
      </c>
      <c r="AL46" s="208">
        <f t="shared" ref="AL46:BQ46" si="49">IF(AL$22&lt;=$E$24,IF(AL$22&lt;=$D$24,IF(AL$22&lt;=$C$24,IF(AL$22&lt;=$B$24,$B112,($C29-$B29)/($C$24-$B$24)),($D29-$C29)/($D$24-$C$24)),($E29-$D29)/($E$24-$D$24)),$F112)</f>
        <v>0</v>
      </c>
      <c r="AM46" s="208">
        <f t="shared" si="49"/>
        <v>0</v>
      </c>
      <c r="AN46" s="208">
        <f t="shared" si="49"/>
        <v>0</v>
      </c>
      <c r="AO46" s="208">
        <f t="shared" si="49"/>
        <v>0</v>
      </c>
      <c r="AP46" s="208">
        <f t="shared" si="49"/>
        <v>0</v>
      </c>
      <c r="AQ46" s="208">
        <f t="shared" si="49"/>
        <v>0</v>
      </c>
      <c r="AR46" s="208">
        <f t="shared" si="49"/>
        <v>0</v>
      </c>
      <c r="AS46" s="208">
        <f t="shared" si="49"/>
        <v>0</v>
      </c>
      <c r="AT46" s="208">
        <f t="shared" si="49"/>
        <v>0</v>
      </c>
      <c r="AU46" s="208">
        <f t="shared" si="49"/>
        <v>0</v>
      </c>
      <c r="AV46" s="208">
        <f t="shared" si="49"/>
        <v>0</v>
      </c>
      <c r="AW46" s="208">
        <f t="shared" si="49"/>
        <v>0</v>
      </c>
      <c r="AX46" s="208">
        <f t="shared" si="49"/>
        <v>0</v>
      </c>
      <c r="AY46" s="208">
        <f t="shared" si="49"/>
        <v>0</v>
      </c>
      <c r="AZ46" s="208">
        <f t="shared" si="49"/>
        <v>0</v>
      </c>
      <c r="BA46" s="208">
        <f t="shared" si="49"/>
        <v>0</v>
      </c>
      <c r="BB46" s="208">
        <f t="shared" si="49"/>
        <v>0</v>
      </c>
      <c r="BC46" s="208">
        <f t="shared" si="49"/>
        <v>0</v>
      </c>
      <c r="BD46" s="208">
        <f t="shared" si="49"/>
        <v>0</v>
      </c>
      <c r="BE46" s="208">
        <f t="shared" si="49"/>
        <v>0</v>
      </c>
      <c r="BF46" s="208">
        <f t="shared" si="49"/>
        <v>0</v>
      </c>
      <c r="BG46" s="208">
        <f t="shared" si="49"/>
        <v>0</v>
      </c>
      <c r="BH46" s="208">
        <f t="shared" si="49"/>
        <v>0</v>
      </c>
      <c r="BI46" s="208">
        <f t="shared" si="49"/>
        <v>0</v>
      </c>
      <c r="BJ46" s="208">
        <f t="shared" si="49"/>
        <v>0</v>
      </c>
      <c r="BK46" s="208">
        <f t="shared" si="49"/>
        <v>0</v>
      </c>
      <c r="BL46" s="208">
        <f t="shared" si="49"/>
        <v>0</v>
      </c>
      <c r="BM46" s="208">
        <f t="shared" si="49"/>
        <v>0</v>
      </c>
      <c r="BN46" s="208">
        <f t="shared" si="49"/>
        <v>0</v>
      </c>
      <c r="BO46" s="208">
        <f t="shared" si="49"/>
        <v>0</v>
      </c>
      <c r="BP46" s="208">
        <f t="shared" si="49"/>
        <v>0</v>
      </c>
      <c r="BQ46" s="208">
        <f t="shared" si="49"/>
        <v>0</v>
      </c>
      <c r="BR46" s="208">
        <f t="shared" ref="BR46:DA46" si="50">IF(BR$22&lt;=$E$24,IF(BR$22&lt;=$D$24,IF(BR$22&lt;=$C$24,IF(BR$22&lt;=$B$24,$B112,($C29-$B29)/($C$24-$B$24)),($D29-$C29)/($D$24-$C$24)),($E29-$D29)/($E$24-$D$24)),$F112)</f>
        <v>0</v>
      </c>
      <c r="BS46" s="208">
        <f t="shared" si="50"/>
        <v>0</v>
      </c>
      <c r="BT46" s="208">
        <f t="shared" si="50"/>
        <v>0</v>
      </c>
      <c r="BU46" s="208">
        <f t="shared" si="50"/>
        <v>0</v>
      </c>
      <c r="BV46" s="208">
        <f t="shared" si="50"/>
        <v>0</v>
      </c>
      <c r="BW46" s="208">
        <f t="shared" si="50"/>
        <v>0</v>
      </c>
      <c r="BX46" s="208">
        <f t="shared" si="50"/>
        <v>0</v>
      </c>
      <c r="BY46" s="208">
        <f t="shared" si="50"/>
        <v>0</v>
      </c>
      <c r="BZ46" s="208">
        <f t="shared" si="50"/>
        <v>0</v>
      </c>
      <c r="CA46" s="208">
        <f t="shared" si="50"/>
        <v>0</v>
      </c>
      <c r="CB46" s="208">
        <f t="shared" si="50"/>
        <v>0</v>
      </c>
      <c r="CC46" s="208">
        <f t="shared" si="50"/>
        <v>0</v>
      </c>
      <c r="CD46" s="208">
        <f t="shared" si="50"/>
        <v>0</v>
      </c>
      <c r="CE46" s="208">
        <f t="shared" si="50"/>
        <v>0</v>
      </c>
      <c r="CF46" s="208">
        <f t="shared" si="50"/>
        <v>0</v>
      </c>
      <c r="CG46" s="208">
        <f t="shared" si="50"/>
        <v>0</v>
      </c>
      <c r="CH46" s="208">
        <f t="shared" si="50"/>
        <v>0</v>
      </c>
      <c r="CI46" s="208">
        <f t="shared" si="50"/>
        <v>0</v>
      </c>
      <c r="CJ46" s="208">
        <f t="shared" si="50"/>
        <v>0</v>
      </c>
      <c r="CK46" s="208">
        <f t="shared" si="50"/>
        <v>0</v>
      </c>
      <c r="CL46" s="208">
        <f t="shared" si="50"/>
        <v>0</v>
      </c>
      <c r="CM46" s="208">
        <f t="shared" si="50"/>
        <v>0</v>
      </c>
      <c r="CN46" s="208">
        <f t="shared" si="50"/>
        <v>0</v>
      </c>
      <c r="CO46" s="208">
        <f t="shared" si="50"/>
        <v>0</v>
      </c>
      <c r="CP46" s="208">
        <f t="shared" si="50"/>
        <v>0</v>
      </c>
      <c r="CQ46" s="208">
        <f t="shared" si="50"/>
        <v>0</v>
      </c>
      <c r="CR46" s="208">
        <f t="shared" si="50"/>
        <v>0</v>
      </c>
      <c r="CS46" s="208">
        <f t="shared" si="50"/>
        <v>0</v>
      </c>
      <c r="CT46" s="208">
        <f t="shared" si="50"/>
        <v>0</v>
      </c>
      <c r="CU46" s="208">
        <f t="shared" si="50"/>
        <v>0</v>
      </c>
      <c r="CV46" s="208">
        <f t="shared" si="50"/>
        <v>0</v>
      </c>
      <c r="CW46" s="208">
        <f t="shared" si="50"/>
        <v>0</v>
      </c>
      <c r="CX46" s="208">
        <f t="shared" si="50"/>
        <v>0</v>
      </c>
      <c r="CY46" s="208">
        <f t="shared" si="50"/>
        <v>0</v>
      </c>
      <c r="CZ46" s="208">
        <f t="shared" si="50"/>
        <v>0</v>
      </c>
      <c r="DA46" s="208">
        <f t="shared" si="50"/>
        <v>0</v>
      </c>
    </row>
    <row r="47" spans="1:105">
      <c r="A47" s="199" t="str">
        <f>Income!A77</f>
        <v>Wild foods consumed and sold</v>
      </c>
      <c r="F47" s="208">
        <f t="shared" ref="F47:AK47" si="51">IF(F$22&lt;=$E$24,IF(F$22&lt;=$D$24,IF(F$22&lt;=$C$24,IF(F$22&lt;=$B$24,$B113,($C30-$B30)/($C$24-$B$24)),($D30-$C30)/($D$24-$C$24)),($E30-$D30)/($E$24-$D$24)),$F113)</f>
        <v>0</v>
      </c>
      <c r="G47" s="208">
        <f t="shared" si="51"/>
        <v>0</v>
      </c>
      <c r="H47" s="208">
        <f t="shared" si="51"/>
        <v>0</v>
      </c>
      <c r="I47" s="208">
        <f t="shared" si="51"/>
        <v>0</v>
      </c>
      <c r="J47" s="208">
        <f t="shared" si="51"/>
        <v>0</v>
      </c>
      <c r="K47" s="208">
        <f t="shared" si="51"/>
        <v>0</v>
      </c>
      <c r="L47" s="208">
        <f t="shared" si="51"/>
        <v>0</v>
      </c>
      <c r="M47" s="208">
        <f t="shared" si="51"/>
        <v>0</v>
      </c>
      <c r="N47" s="208">
        <f t="shared" si="51"/>
        <v>0</v>
      </c>
      <c r="O47" s="208">
        <f t="shared" si="51"/>
        <v>0</v>
      </c>
      <c r="P47" s="208">
        <f t="shared" si="51"/>
        <v>0</v>
      </c>
      <c r="Q47" s="208">
        <f t="shared" si="51"/>
        <v>0</v>
      </c>
      <c r="R47" s="208">
        <f t="shared" si="51"/>
        <v>0</v>
      </c>
      <c r="S47" s="208">
        <f t="shared" si="51"/>
        <v>0</v>
      </c>
      <c r="T47" s="208">
        <f t="shared" si="51"/>
        <v>0</v>
      </c>
      <c r="U47" s="208">
        <f t="shared" si="51"/>
        <v>0</v>
      </c>
      <c r="V47" s="208">
        <f t="shared" si="51"/>
        <v>0</v>
      </c>
      <c r="W47" s="208">
        <f t="shared" si="51"/>
        <v>0</v>
      </c>
      <c r="X47" s="208">
        <f t="shared" si="51"/>
        <v>0</v>
      </c>
      <c r="Y47" s="208">
        <f t="shared" si="51"/>
        <v>0</v>
      </c>
      <c r="Z47" s="208">
        <f t="shared" si="51"/>
        <v>0</v>
      </c>
      <c r="AA47" s="208">
        <f t="shared" si="51"/>
        <v>0</v>
      </c>
      <c r="AB47" s="208">
        <f t="shared" si="51"/>
        <v>0</v>
      </c>
      <c r="AC47" s="208">
        <f t="shared" si="51"/>
        <v>0</v>
      </c>
      <c r="AD47" s="208">
        <f t="shared" si="51"/>
        <v>0</v>
      </c>
      <c r="AE47" s="208">
        <f t="shared" si="51"/>
        <v>0</v>
      </c>
      <c r="AF47" s="208">
        <f t="shared" si="51"/>
        <v>0</v>
      </c>
      <c r="AG47" s="208">
        <f t="shared" si="51"/>
        <v>0</v>
      </c>
      <c r="AH47" s="208">
        <f t="shared" si="51"/>
        <v>0</v>
      </c>
      <c r="AI47" s="208">
        <f t="shared" si="51"/>
        <v>0</v>
      </c>
      <c r="AJ47" s="208">
        <f t="shared" si="51"/>
        <v>0</v>
      </c>
      <c r="AK47" s="208">
        <f t="shared" si="51"/>
        <v>0</v>
      </c>
      <c r="AL47" s="208">
        <f t="shared" ref="AL47:BQ47" si="52">IF(AL$22&lt;=$E$24,IF(AL$22&lt;=$D$24,IF(AL$22&lt;=$C$24,IF(AL$22&lt;=$B$24,$B113,($C30-$B30)/($C$24-$B$24)),($D30-$C30)/($D$24-$C$24)),($E30-$D30)/($E$24-$D$24)),$F113)</f>
        <v>0</v>
      </c>
      <c r="AM47" s="208">
        <f t="shared" si="52"/>
        <v>0</v>
      </c>
      <c r="AN47" s="208">
        <f t="shared" si="52"/>
        <v>0</v>
      </c>
      <c r="AO47" s="208">
        <f t="shared" si="52"/>
        <v>0</v>
      </c>
      <c r="AP47" s="208">
        <f t="shared" si="52"/>
        <v>0</v>
      </c>
      <c r="AQ47" s="208">
        <f t="shared" si="52"/>
        <v>0</v>
      </c>
      <c r="AR47" s="208">
        <f t="shared" si="52"/>
        <v>0</v>
      </c>
      <c r="AS47" s="208">
        <f t="shared" si="52"/>
        <v>0</v>
      </c>
      <c r="AT47" s="208">
        <f t="shared" si="52"/>
        <v>0</v>
      </c>
      <c r="AU47" s="208">
        <f t="shared" si="52"/>
        <v>0</v>
      </c>
      <c r="AV47" s="208">
        <f t="shared" si="52"/>
        <v>0</v>
      </c>
      <c r="AW47" s="208">
        <f t="shared" si="52"/>
        <v>0</v>
      </c>
      <c r="AX47" s="208">
        <f t="shared" si="52"/>
        <v>0</v>
      </c>
      <c r="AY47" s="208">
        <f t="shared" si="52"/>
        <v>0</v>
      </c>
      <c r="AZ47" s="208">
        <f t="shared" si="52"/>
        <v>0</v>
      </c>
      <c r="BA47" s="208">
        <f t="shared" si="52"/>
        <v>0</v>
      </c>
      <c r="BB47" s="208">
        <f t="shared" si="52"/>
        <v>0</v>
      </c>
      <c r="BC47" s="208">
        <f t="shared" si="52"/>
        <v>0</v>
      </c>
      <c r="BD47" s="208">
        <f t="shared" si="52"/>
        <v>0</v>
      </c>
      <c r="BE47" s="208">
        <f t="shared" si="52"/>
        <v>0</v>
      </c>
      <c r="BF47" s="208">
        <f t="shared" si="52"/>
        <v>0</v>
      </c>
      <c r="BG47" s="208">
        <f t="shared" si="52"/>
        <v>0</v>
      </c>
      <c r="BH47" s="208">
        <f t="shared" si="52"/>
        <v>0</v>
      </c>
      <c r="BI47" s="208">
        <f t="shared" si="52"/>
        <v>0</v>
      </c>
      <c r="BJ47" s="208">
        <f t="shared" si="52"/>
        <v>0</v>
      </c>
      <c r="BK47" s="208">
        <f t="shared" si="52"/>
        <v>0</v>
      </c>
      <c r="BL47" s="208">
        <f t="shared" si="52"/>
        <v>0</v>
      </c>
      <c r="BM47" s="208">
        <f t="shared" si="52"/>
        <v>0</v>
      </c>
      <c r="BN47" s="208">
        <f t="shared" si="52"/>
        <v>0</v>
      </c>
      <c r="BO47" s="208">
        <f t="shared" si="52"/>
        <v>0</v>
      </c>
      <c r="BP47" s="208">
        <f t="shared" si="52"/>
        <v>0</v>
      </c>
      <c r="BQ47" s="208">
        <f t="shared" si="52"/>
        <v>0</v>
      </c>
      <c r="BR47" s="208">
        <f t="shared" ref="BR47:DA47" si="53">IF(BR$22&lt;=$E$24,IF(BR$22&lt;=$D$24,IF(BR$22&lt;=$C$24,IF(BR$22&lt;=$B$24,$B113,($C30-$B30)/($C$24-$B$24)),($D30-$C30)/($D$24-$C$24)),($E30-$D30)/($E$24-$D$24)),$F113)</f>
        <v>0</v>
      </c>
      <c r="BS47" s="208">
        <f t="shared" si="53"/>
        <v>0</v>
      </c>
      <c r="BT47" s="208">
        <f t="shared" si="53"/>
        <v>0</v>
      </c>
      <c r="BU47" s="208">
        <f t="shared" si="53"/>
        <v>0</v>
      </c>
      <c r="BV47" s="208">
        <f t="shared" si="53"/>
        <v>0</v>
      </c>
      <c r="BW47" s="208">
        <f t="shared" si="53"/>
        <v>0</v>
      </c>
      <c r="BX47" s="208">
        <f t="shared" si="53"/>
        <v>0</v>
      </c>
      <c r="BY47" s="208">
        <f t="shared" si="53"/>
        <v>-34.569999999999993</v>
      </c>
      <c r="BZ47" s="208">
        <f t="shared" si="53"/>
        <v>-34.569999999999993</v>
      </c>
      <c r="CA47" s="208">
        <f t="shared" si="53"/>
        <v>-34.569999999999993</v>
      </c>
      <c r="CB47" s="208">
        <f t="shared" si="53"/>
        <v>-34.569999999999993</v>
      </c>
      <c r="CC47" s="208">
        <f t="shared" si="53"/>
        <v>-34.569999999999993</v>
      </c>
      <c r="CD47" s="208">
        <f t="shared" si="53"/>
        <v>-34.569999999999993</v>
      </c>
      <c r="CE47" s="208">
        <f t="shared" si="53"/>
        <v>-34.569999999999993</v>
      </c>
      <c r="CF47" s="208">
        <f t="shared" si="53"/>
        <v>-34.569999999999993</v>
      </c>
      <c r="CG47" s="208">
        <f t="shared" si="53"/>
        <v>-34.569999999999993</v>
      </c>
      <c r="CH47" s="208">
        <f t="shared" si="53"/>
        <v>-34.569999999999993</v>
      </c>
      <c r="CI47" s="208">
        <f t="shared" si="53"/>
        <v>-34.569999999999993</v>
      </c>
      <c r="CJ47" s="208">
        <f t="shared" si="53"/>
        <v>-34.569999999999993</v>
      </c>
      <c r="CK47" s="208">
        <f t="shared" si="53"/>
        <v>-34.569999999999993</v>
      </c>
      <c r="CL47" s="208">
        <f t="shared" si="53"/>
        <v>-34.569999999999993</v>
      </c>
      <c r="CM47" s="208">
        <f t="shared" si="53"/>
        <v>-34.569999999999993</v>
      </c>
      <c r="CN47" s="208">
        <f t="shared" si="53"/>
        <v>-34.569999999999993</v>
      </c>
      <c r="CO47" s="208">
        <f t="shared" si="53"/>
        <v>-34.569999999999993</v>
      </c>
      <c r="CP47" s="208">
        <f t="shared" si="53"/>
        <v>-34.569999999999993</v>
      </c>
      <c r="CQ47" s="208">
        <f t="shared" si="53"/>
        <v>-34.569999999999993</v>
      </c>
      <c r="CR47" s="208">
        <f t="shared" si="53"/>
        <v>-34.569999999999993</v>
      </c>
      <c r="CS47" s="208">
        <f t="shared" si="53"/>
        <v>-34.569999999999993</v>
      </c>
      <c r="CT47" s="208">
        <f t="shared" si="53"/>
        <v>-34.569999999999993</v>
      </c>
      <c r="CU47" s="208">
        <f t="shared" si="53"/>
        <v>-34.569999999999993</v>
      </c>
      <c r="CV47" s="208">
        <f t="shared" si="53"/>
        <v>-34.569999999999993</v>
      </c>
      <c r="CW47" s="208">
        <f t="shared" si="53"/>
        <v>-34.569999999999993</v>
      </c>
      <c r="CX47" s="208">
        <f t="shared" si="53"/>
        <v>-34.569999999999993</v>
      </c>
      <c r="CY47" s="208">
        <f t="shared" si="53"/>
        <v>-34.569999999999993</v>
      </c>
      <c r="CZ47" s="208">
        <f t="shared" si="53"/>
        <v>-34.569999999999993</v>
      </c>
      <c r="DA47" s="208">
        <f t="shared" si="53"/>
        <v>-34.569999999999993</v>
      </c>
    </row>
    <row r="48" spans="1:105">
      <c r="A48" s="199" t="str">
        <f>Income!A78</f>
        <v>Labour - casual</v>
      </c>
      <c r="F48" s="208">
        <f t="shared" ref="F48:AK48" si="54">IF(F$22&lt;=$E$24,IF(F$22&lt;=$D$24,IF(F$22&lt;=$C$24,IF(F$22&lt;=$B$24,$B114,($C31-$B31)/($C$24-$B$24)),($D31-$C31)/($D$24-$C$24)),($E31-$D31)/($E$24-$D$24)),$F114)</f>
        <v>0</v>
      </c>
      <c r="G48" s="208">
        <f t="shared" si="54"/>
        <v>0</v>
      </c>
      <c r="H48" s="208">
        <f t="shared" si="54"/>
        <v>0</v>
      </c>
      <c r="I48" s="208">
        <f t="shared" si="54"/>
        <v>0</v>
      </c>
      <c r="J48" s="208">
        <f t="shared" si="54"/>
        <v>0</v>
      </c>
      <c r="K48" s="208">
        <f t="shared" si="54"/>
        <v>0</v>
      </c>
      <c r="L48" s="208">
        <f t="shared" si="54"/>
        <v>0</v>
      </c>
      <c r="M48" s="208">
        <f t="shared" si="54"/>
        <v>0</v>
      </c>
      <c r="N48" s="208">
        <f t="shared" si="54"/>
        <v>0</v>
      </c>
      <c r="O48" s="208">
        <f t="shared" si="54"/>
        <v>0</v>
      </c>
      <c r="P48" s="208">
        <f t="shared" si="54"/>
        <v>0</v>
      </c>
      <c r="Q48" s="208">
        <f t="shared" si="54"/>
        <v>405.05341559675026</v>
      </c>
      <c r="R48" s="208">
        <f t="shared" si="54"/>
        <v>405.05341559675026</v>
      </c>
      <c r="S48" s="208">
        <f t="shared" si="54"/>
        <v>405.05341559675026</v>
      </c>
      <c r="T48" s="208">
        <f t="shared" si="54"/>
        <v>405.05341559675026</v>
      </c>
      <c r="U48" s="208">
        <f t="shared" si="54"/>
        <v>405.05341559675026</v>
      </c>
      <c r="V48" s="208">
        <f t="shared" si="54"/>
        <v>405.05341559675026</v>
      </c>
      <c r="W48" s="208">
        <f t="shared" si="54"/>
        <v>405.05341559675026</v>
      </c>
      <c r="X48" s="208">
        <f t="shared" si="54"/>
        <v>405.05341559675026</v>
      </c>
      <c r="Y48" s="208">
        <f t="shared" si="54"/>
        <v>405.05341559675026</v>
      </c>
      <c r="Z48" s="208">
        <f t="shared" si="54"/>
        <v>405.05341559675026</v>
      </c>
      <c r="AA48" s="208">
        <f t="shared" si="54"/>
        <v>405.05341559675026</v>
      </c>
      <c r="AB48" s="208">
        <f t="shared" si="54"/>
        <v>405.05341559675026</v>
      </c>
      <c r="AC48" s="208">
        <f t="shared" si="54"/>
        <v>405.05341559675026</v>
      </c>
      <c r="AD48" s="208">
        <f t="shared" si="54"/>
        <v>405.05341559675026</v>
      </c>
      <c r="AE48" s="208">
        <f t="shared" si="54"/>
        <v>405.05341559675026</v>
      </c>
      <c r="AF48" s="208">
        <f t="shared" si="54"/>
        <v>405.05341559675026</v>
      </c>
      <c r="AG48" s="208">
        <f t="shared" si="54"/>
        <v>405.05341559675026</v>
      </c>
      <c r="AH48" s="208">
        <f t="shared" si="54"/>
        <v>405.05341559675026</v>
      </c>
      <c r="AI48" s="208">
        <f t="shared" si="54"/>
        <v>405.05341559675026</v>
      </c>
      <c r="AJ48" s="208">
        <f t="shared" si="54"/>
        <v>405.05341559675026</v>
      </c>
      <c r="AK48" s="208">
        <f t="shared" si="54"/>
        <v>334.6877888338401</v>
      </c>
      <c r="AL48" s="208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8">
        <f t="shared" si="55"/>
        <v>334.6877888338401</v>
      </c>
      <c r="AN48" s="208">
        <f t="shared" si="55"/>
        <v>334.6877888338401</v>
      </c>
      <c r="AO48" s="208">
        <f t="shared" si="55"/>
        <v>334.6877888338401</v>
      </c>
      <c r="AP48" s="208">
        <f t="shared" si="55"/>
        <v>334.6877888338401</v>
      </c>
      <c r="AQ48" s="208">
        <f t="shared" si="55"/>
        <v>334.6877888338401</v>
      </c>
      <c r="AR48" s="208">
        <f t="shared" si="55"/>
        <v>334.6877888338401</v>
      </c>
      <c r="AS48" s="208">
        <f t="shared" si="55"/>
        <v>334.6877888338401</v>
      </c>
      <c r="AT48" s="208">
        <f t="shared" si="55"/>
        <v>334.6877888338401</v>
      </c>
      <c r="AU48" s="208">
        <f t="shared" si="55"/>
        <v>334.6877888338401</v>
      </c>
      <c r="AV48" s="208">
        <f t="shared" si="55"/>
        <v>334.6877888338401</v>
      </c>
      <c r="AW48" s="208">
        <f t="shared" si="55"/>
        <v>334.6877888338401</v>
      </c>
      <c r="AX48" s="208">
        <f t="shared" si="55"/>
        <v>334.6877888338401</v>
      </c>
      <c r="AY48" s="208">
        <f t="shared" si="55"/>
        <v>334.6877888338401</v>
      </c>
      <c r="AZ48" s="208">
        <f t="shared" si="55"/>
        <v>334.6877888338401</v>
      </c>
      <c r="BA48" s="208">
        <f t="shared" si="55"/>
        <v>334.6877888338401</v>
      </c>
      <c r="BB48" s="208">
        <f t="shared" si="55"/>
        <v>334.6877888338401</v>
      </c>
      <c r="BC48" s="208">
        <f t="shared" si="55"/>
        <v>334.6877888338401</v>
      </c>
      <c r="BD48" s="208">
        <f t="shared" si="55"/>
        <v>334.6877888338401</v>
      </c>
      <c r="BE48" s="208">
        <f t="shared" si="55"/>
        <v>446.55109291846622</v>
      </c>
      <c r="BF48" s="208">
        <f t="shared" si="55"/>
        <v>446.55109291846622</v>
      </c>
      <c r="BG48" s="208">
        <f t="shared" si="55"/>
        <v>446.55109291846622</v>
      </c>
      <c r="BH48" s="208">
        <f t="shared" si="55"/>
        <v>446.55109291846622</v>
      </c>
      <c r="BI48" s="208">
        <f t="shared" si="55"/>
        <v>446.55109291846622</v>
      </c>
      <c r="BJ48" s="208">
        <f t="shared" si="55"/>
        <v>446.55109291846622</v>
      </c>
      <c r="BK48" s="208">
        <f t="shared" si="55"/>
        <v>446.55109291846622</v>
      </c>
      <c r="BL48" s="208">
        <f t="shared" si="55"/>
        <v>446.55109291846622</v>
      </c>
      <c r="BM48" s="208">
        <f t="shared" si="55"/>
        <v>446.55109291846622</v>
      </c>
      <c r="BN48" s="208">
        <f t="shared" si="55"/>
        <v>446.55109291846622</v>
      </c>
      <c r="BO48" s="208">
        <f t="shared" si="55"/>
        <v>446.55109291846622</v>
      </c>
      <c r="BP48" s="208">
        <f t="shared" si="55"/>
        <v>446.55109291846622</v>
      </c>
      <c r="BQ48" s="208">
        <f t="shared" si="55"/>
        <v>446.55109291846622</v>
      </c>
      <c r="BR48" s="208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8">
        <f t="shared" si="56"/>
        <v>446.55109291846622</v>
      </c>
      <c r="BT48" s="208">
        <f t="shared" si="56"/>
        <v>446.55109291846622</v>
      </c>
      <c r="BU48" s="208">
        <f t="shared" si="56"/>
        <v>446.55109291846622</v>
      </c>
      <c r="BV48" s="208">
        <f t="shared" si="56"/>
        <v>446.55109291846622</v>
      </c>
      <c r="BW48" s="208">
        <f t="shared" si="56"/>
        <v>446.55109291846622</v>
      </c>
      <c r="BX48" s="208">
        <f t="shared" si="56"/>
        <v>446.55109291846622</v>
      </c>
      <c r="BY48" s="208">
        <f t="shared" si="56"/>
        <v>0</v>
      </c>
      <c r="BZ48" s="208">
        <f t="shared" si="56"/>
        <v>0</v>
      </c>
      <c r="CA48" s="208">
        <f t="shared" si="56"/>
        <v>0</v>
      </c>
      <c r="CB48" s="208">
        <f t="shared" si="56"/>
        <v>0</v>
      </c>
      <c r="CC48" s="208">
        <f t="shared" si="56"/>
        <v>0</v>
      </c>
      <c r="CD48" s="208">
        <f t="shared" si="56"/>
        <v>0</v>
      </c>
      <c r="CE48" s="208">
        <f t="shared" si="56"/>
        <v>0</v>
      </c>
      <c r="CF48" s="208">
        <f t="shared" si="56"/>
        <v>0</v>
      </c>
      <c r="CG48" s="208">
        <f t="shared" si="56"/>
        <v>0</v>
      </c>
      <c r="CH48" s="208">
        <f t="shared" si="56"/>
        <v>0</v>
      </c>
      <c r="CI48" s="208">
        <f t="shared" si="56"/>
        <v>0</v>
      </c>
      <c r="CJ48" s="208">
        <f t="shared" si="56"/>
        <v>0</v>
      </c>
      <c r="CK48" s="208">
        <f t="shared" si="56"/>
        <v>0</v>
      </c>
      <c r="CL48" s="208">
        <f t="shared" si="56"/>
        <v>0</v>
      </c>
      <c r="CM48" s="208">
        <f t="shared" si="56"/>
        <v>0</v>
      </c>
      <c r="CN48" s="208">
        <f t="shared" si="56"/>
        <v>0</v>
      </c>
      <c r="CO48" s="208">
        <f t="shared" si="56"/>
        <v>0</v>
      </c>
      <c r="CP48" s="208">
        <f t="shared" si="56"/>
        <v>0</v>
      </c>
      <c r="CQ48" s="208">
        <f t="shared" si="56"/>
        <v>0</v>
      </c>
      <c r="CR48" s="208">
        <f t="shared" si="56"/>
        <v>0</v>
      </c>
      <c r="CS48" s="208">
        <f t="shared" si="56"/>
        <v>0</v>
      </c>
      <c r="CT48" s="208">
        <f t="shared" si="56"/>
        <v>0</v>
      </c>
      <c r="CU48" s="208">
        <f t="shared" si="56"/>
        <v>0</v>
      </c>
      <c r="CV48" s="208">
        <f t="shared" si="56"/>
        <v>0</v>
      </c>
      <c r="CW48" s="208">
        <f t="shared" si="56"/>
        <v>0</v>
      </c>
      <c r="CX48" s="208">
        <f t="shared" si="56"/>
        <v>0</v>
      </c>
      <c r="CY48" s="208">
        <f t="shared" si="56"/>
        <v>0</v>
      </c>
      <c r="CZ48" s="208">
        <f t="shared" si="56"/>
        <v>0</v>
      </c>
      <c r="DA48" s="208">
        <f t="shared" si="56"/>
        <v>0</v>
      </c>
    </row>
    <row r="49" spans="1:105">
      <c r="A49" s="199" t="str">
        <f>Income!A79</f>
        <v>Labour - formal emp</v>
      </c>
      <c r="F49" s="208">
        <f t="shared" ref="F49:AK49" si="57">IF(F$22&lt;=$E$24,IF(F$22&lt;=$D$24,IF(F$22&lt;=$C$24,IF(F$22&lt;=$B$24,$B115,($C32-$B32)/($C$24-$B$24)),($D32-$C32)/($D$24-$C$24)),($E32-$D32)/($E$24-$D$24)),$F115)</f>
        <v>0</v>
      </c>
      <c r="G49" s="208">
        <f t="shared" si="57"/>
        <v>0</v>
      </c>
      <c r="H49" s="208">
        <f t="shared" si="57"/>
        <v>0</v>
      </c>
      <c r="I49" s="208">
        <f t="shared" si="57"/>
        <v>0</v>
      </c>
      <c r="J49" s="208">
        <f t="shared" si="57"/>
        <v>0</v>
      </c>
      <c r="K49" s="208">
        <f t="shared" si="57"/>
        <v>0</v>
      </c>
      <c r="L49" s="208">
        <f t="shared" si="57"/>
        <v>0</v>
      </c>
      <c r="M49" s="208">
        <f t="shared" si="57"/>
        <v>0</v>
      </c>
      <c r="N49" s="208">
        <f t="shared" si="57"/>
        <v>0</v>
      </c>
      <c r="O49" s="208">
        <f t="shared" si="57"/>
        <v>0</v>
      </c>
      <c r="P49" s="208">
        <f t="shared" si="57"/>
        <v>0</v>
      </c>
      <c r="Q49" s="208">
        <f t="shared" si="57"/>
        <v>0</v>
      </c>
      <c r="R49" s="208">
        <f t="shared" si="57"/>
        <v>0</v>
      </c>
      <c r="S49" s="208">
        <f t="shared" si="57"/>
        <v>0</v>
      </c>
      <c r="T49" s="208">
        <f t="shared" si="57"/>
        <v>0</v>
      </c>
      <c r="U49" s="208">
        <f t="shared" si="57"/>
        <v>0</v>
      </c>
      <c r="V49" s="208">
        <f t="shared" si="57"/>
        <v>0</v>
      </c>
      <c r="W49" s="208">
        <f t="shared" si="57"/>
        <v>0</v>
      </c>
      <c r="X49" s="208">
        <f t="shared" si="57"/>
        <v>0</v>
      </c>
      <c r="Y49" s="208">
        <f t="shared" si="57"/>
        <v>0</v>
      </c>
      <c r="Z49" s="208">
        <f t="shared" si="57"/>
        <v>0</v>
      </c>
      <c r="AA49" s="208">
        <f t="shared" si="57"/>
        <v>0</v>
      </c>
      <c r="AB49" s="208">
        <f t="shared" si="57"/>
        <v>0</v>
      </c>
      <c r="AC49" s="208">
        <f t="shared" si="57"/>
        <v>0</v>
      </c>
      <c r="AD49" s="208">
        <f t="shared" si="57"/>
        <v>0</v>
      </c>
      <c r="AE49" s="208">
        <f t="shared" si="57"/>
        <v>0</v>
      </c>
      <c r="AF49" s="208">
        <f t="shared" si="57"/>
        <v>0</v>
      </c>
      <c r="AG49" s="208">
        <f t="shared" si="57"/>
        <v>0</v>
      </c>
      <c r="AH49" s="208">
        <f t="shared" si="57"/>
        <v>0</v>
      </c>
      <c r="AI49" s="208">
        <f t="shared" si="57"/>
        <v>0</v>
      </c>
      <c r="AJ49" s="208">
        <f t="shared" si="57"/>
        <v>0</v>
      </c>
      <c r="AK49" s="208">
        <f t="shared" si="57"/>
        <v>676.59256502797905</v>
      </c>
      <c r="AL49" s="208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8">
        <f t="shared" si="58"/>
        <v>676.59256502797905</v>
      </c>
      <c r="AN49" s="208">
        <f t="shared" si="58"/>
        <v>676.59256502797905</v>
      </c>
      <c r="AO49" s="208">
        <f t="shared" si="58"/>
        <v>676.59256502797905</v>
      </c>
      <c r="AP49" s="208">
        <f t="shared" si="58"/>
        <v>676.59256502797905</v>
      </c>
      <c r="AQ49" s="208">
        <f t="shared" si="58"/>
        <v>676.59256502797905</v>
      </c>
      <c r="AR49" s="208">
        <f t="shared" si="58"/>
        <v>676.59256502797905</v>
      </c>
      <c r="AS49" s="208">
        <f t="shared" si="58"/>
        <v>676.59256502797905</v>
      </c>
      <c r="AT49" s="208">
        <f t="shared" si="58"/>
        <v>676.59256502797905</v>
      </c>
      <c r="AU49" s="208">
        <f t="shared" si="58"/>
        <v>676.59256502797905</v>
      </c>
      <c r="AV49" s="208">
        <f t="shared" si="58"/>
        <v>676.59256502797905</v>
      </c>
      <c r="AW49" s="208">
        <f t="shared" si="58"/>
        <v>676.59256502797905</v>
      </c>
      <c r="AX49" s="208">
        <f t="shared" si="58"/>
        <v>676.59256502797905</v>
      </c>
      <c r="AY49" s="208">
        <f t="shared" si="58"/>
        <v>676.59256502797905</v>
      </c>
      <c r="AZ49" s="208">
        <f t="shared" si="58"/>
        <v>676.59256502797905</v>
      </c>
      <c r="BA49" s="208">
        <f t="shared" si="58"/>
        <v>676.59256502797905</v>
      </c>
      <c r="BB49" s="208">
        <f t="shared" si="58"/>
        <v>676.59256502797905</v>
      </c>
      <c r="BC49" s="208">
        <f t="shared" si="58"/>
        <v>676.59256502797905</v>
      </c>
      <c r="BD49" s="208">
        <f t="shared" si="58"/>
        <v>676.59256502797905</v>
      </c>
      <c r="BE49" s="208">
        <f t="shared" si="58"/>
        <v>1059.9950185438338</v>
      </c>
      <c r="BF49" s="208">
        <f t="shared" si="58"/>
        <v>1059.9950185438338</v>
      </c>
      <c r="BG49" s="208">
        <f t="shared" si="58"/>
        <v>1059.9950185438338</v>
      </c>
      <c r="BH49" s="208">
        <f t="shared" si="58"/>
        <v>1059.9950185438338</v>
      </c>
      <c r="BI49" s="208">
        <f t="shared" si="58"/>
        <v>1059.9950185438338</v>
      </c>
      <c r="BJ49" s="208">
        <f t="shared" si="58"/>
        <v>1059.9950185438338</v>
      </c>
      <c r="BK49" s="208">
        <f t="shared" si="58"/>
        <v>1059.9950185438338</v>
      </c>
      <c r="BL49" s="208">
        <f t="shared" si="58"/>
        <v>1059.9950185438338</v>
      </c>
      <c r="BM49" s="208">
        <f t="shared" si="58"/>
        <v>1059.9950185438338</v>
      </c>
      <c r="BN49" s="208">
        <f t="shared" si="58"/>
        <v>1059.9950185438338</v>
      </c>
      <c r="BO49" s="208">
        <f t="shared" si="58"/>
        <v>1059.9950185438338</v>
      </c>
      <c r="BP49" s="208">
        <f t="shared" si="58"/>
        <v>1059.9950185438338</v>
      </c>
      <c r="BQ49" s="208">
        <f t="shared" si="58"/>
        <v>1059.9950185438338</v>
      </c>
      <c r="BR49" s="208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8">
        <f t="shared" si="59"/>
        <v>1059.9950185438338</v>
      </c>
      <c r="BT49" s="208">
        <f t="shared" si="59"/>
        <v>1059.9950185438338</v>
      </c>
      <c r="BU49" s="208">
        <f t="shared" si="59"/>
        <v>1059.9950185438338</v>
      </c>
      <c r="BV49" s="208">
        <f t="shared" si="59"/>
        <v>1059.9950185438338</v>
      </c>
      <c r="BW49" s="208">
        <f t="shared" si="59"/>
        <v>1059.9950185438338</v>
      </c>
      <c r="BX49" s="208">
        <f t="shared" si="59"/>
        <v>1059.9950185438338</v>
      </c>
      <c r="BY49" s="208">
        <f t="shared" si="59"/>
        <v>4917.1000000000013</v>
      </c>
      <c r="BZ49" s="208">
        <f t="shared" si="59"/>
        <v>4917.1000000000013</v>
      </c>
      <c r="CA49" s="208">
        <f t="shared" si="59"/>
        <v>4917.1000000000013</v>
      </c>
      <c r="CB49" s="208">
        <f t="shared" si="59"/>
        <v>4917.1000000000013</v>
      </c>
      <c r="CC49" s="208">
        <f t="shared" si="59"/>
        <v>4917.1000000000013</v>
      </c>
      <c r="CD49" s="208">
        <f t="shared" si="59"/>
        <v>4917.1000000000013</v>
      </c>
      <c r="CE49" s="208">
        <f t="shared" si="59"/>
        <v>4917.1000000000013</v>
      </c>
      <c r="CF49" s="208">
        <f t="shared" si="59"/>
        <v>4917.1000000000013</v>
      </c>
      <c r="CG49" s="208">
        <f t="shared" si="59"/>
        <v>4917.1000000000013</v>
      </c>
      <c r="CH49" s="208">
        <f t="shared" si="59"/>
        <v>4917.1000000000013</v>
      </c>
      <c r="CI49" s="208">
        <f t="shared" si="59"/>
        <v>4917.1000000000013</v>
      </c>
      <c r="CJ49" s="208">
        <f t="shared" si="59"/>
        <v>4917.1000000000013</v>
      </c>
      <c r="CK49" s="208">
        <f t="shared" si="59"/>
        <v>4917.1000000000013</v>
      </c>
      <c r="CL49" s="208">
        <f t="shared" si="59"/>
        <v>4917.1000000000013</v>
      </c>
      <c r="CM49" s="208">
        <f t="shared" si="59"/>
        <v>4917.1000000000013</v>
      </c>
      <c r="CN49" s="208">
        <f t="shared" si="59"/>
        <v>4917.1000000000013</v>
      </c>
      <c r="CO49" s="208">
        <f t="shared" si="59"/>
        <v>4917.1000000000013</v>
      </c>
      <c r="CP49" s="208">
        <f t="shared" si="59"/>
        <v>4917.1000000000013</v>
      </c>
      <c r="CQ49" s="208">
        <f t="shared" si="59"/>
        <v>4917.1000000000013</v>
      </c>
      <c r="CR49" s="208">
        <f t="shared" si="59"/>
        <v>4917.1000000000013</v>
      </c>
      <c r="CS49" s="208">
        <f t="shared" si="59"/>
        <v>4917.1000000000013</v>
      </c>
      <c r="CT49" s="208">
        <f t="shared" si="59"/>
        <v>4917.1000000000013</v>
      </c>
      <c r="CU49" s="208">
        <f t="shared" si="59"/>
        <v>4917.1000000000013</v>
      </c>
      <c r="CV49" s="208">
        <f t="shared" si="59"/>
        <v>4917.1000000000013</v>
      </c>
      <c r="CW49" s="208">
        <f t="shared" si="59"/>
        <v>4917.1000000000013</v>
      </c>
      <c r="CX49" s="208">
        <f t="shared" si="59"/>
        <v>4917.1000000000013</v>
      </c>
      <c r="CY49" s="208">
        <f t="shared" si="59"/>
        <v>4917.1000000000013</v>
      </c>
      <c r="CZ49" s="208">
        <f t="shared" si="59"/>
        <v>4917.1000000000013</v>
      </c>
      <c r="DA49" s="208">
        <f t="shared" si="59"/>
        <v>4917.1000000000013</v>
      </c>
    </row>
    <row r="50" spans="1:105">
      <c r="A50" s="199" t="str">
        <f>Income!A81</f>
        <v>Self - employment</v>
      </c>
      <c r="F50" s="208">
        <f t="shared" ref="F50:AK50" si="60">IF(F$22&lt;=$E$24,IF(F$22&lt;=$D$24,IF(F$22&lt;=$C$24,IF(F$22&lt;=$B$24,$B116,($C33-$B33)/($C$24-$B$24)),($D33-$C33)/($D$24-$C$24)),($E33-$D33)/($E$24-$D$24)),$F116)</f>
        <v>0</v>
      </c>
      <c r="G50" s="208">
        <f t="shared" si="60"/>
        <v>0</v>
      </c>
      <c r="H50" s="208">
        <f t="shared" si="60"/>
        <v>0</v>
      </c>
      <c r="I50" s="208">
        <f t="shared" si="60"/>
        <v>0</v>
      </c>
      <c r="J50" s="208">
        <f t="shared" si="60"/>
        <v>0</v>
      </c>
      <c r="K50" s="208">
        <f t="shared" si="60"/>
        <v>0</v>
      </c>
      <c r="L50" s="208">
        <f t="shared" si="60"/>
        <v>0</v>
      </c>
      <c r="M50" s="208">
        <f t="shared" si="60"/>
        <v>0</v>
      </c>
      <c r="N50" s="208">
        <f t="shared" si="60"/>
        <v>0</v>
      </c>
      <c r="O50" s="208">
        <f t="shared" si="60"/>
        <v>0</v>
      </c>
      <c r="P50" s="208">
        <f t="shared" si="60"/>
        <v>0</v>
      </c>
      <c r="Q50" s="208">
        <f t="shared" si="60"/>
        <v>234.5520892096994</v>
      </c>
      <c r="R50" s="208">
        <f t="shared" si="60"/>
        <v>234.5520892096994</v>
      </c>
      <c r="S50" s="208">
        <f t="shared" si="60"/>
        <v>234.5520892096994</v>
      </c>
      <c r="T50" s="208">
        <f t="shared" si="60"/>
        <v>234.5520892096994</v>
      </c>
      <c r="U50" s="208">
        <f t="shared" si="60"/>
        <v>234.5520892096994</v>
      </c>
      <c r="V50" s="208">
        <f t="shared" si="60"/>
        <v>234.5520892096994</v>
      </c>
      <c r="W50" s="208">
        <f t="shared" si="60"/>
        <v>234.5520892096994</v>
      </c>
      <c r="X50" s="208">
        <f t="shared" si="60"/>
        <v>234.5520892096994</v>
      </c>
      <c r="Y50" s="208">
        <f t="shared" si="60"/>
        <v>234.5520892096994</v>
      </c>
      <c r="Z50" s="208">
        <f t="shared" si="60"/>
        <v>234.5520892096994</v>
      </c>
      <c r="AA50" s="208">
        <f t="shared" si="60"/>
        <v>234.5520892096994</v>
      </c>
      <c r="AB50" s="208">
        <f t="shared" si="60"/>
        <v>234.5520892096994</v>
      </c>
      <c r="AC50" s="208">
        <f t="shared" si="60"/>
        <v>234.5520892096994</v>
      </c>
      <c r="AD50" s="208">
        <f t="shared" si="60"/>
        <v>234.5520892096994</v>
      </c>
      <c r="AE50" s="208">
        <f t="shared" si="60"/>
        <v>234.5520892096994</v>
      </c>
      <c r="AF50" s="208">
        <f t="shared" si="60"/>
        <v>234.5520892096994</v>
      </c>
      <c r="AG50" s="208">
        <f t="shared" si="60"/>
        <v>234.5520892096994</v>
      </c>
      <c r="AH50" s="208">
        <f t="shared" si="60"/>
        <v>234.5520892096994</v>
      </c>
      <c r="AI50" s="208">
        <f t="shared" si="60"/>
        <v>234.5520892096994</v>
      </c>
      <c r="AJ50" s="208">
        <f t="shared" si="60"/>
        <v>234.5520892096994</v>
      </c>
      <c r="AK50" s="208">
        <f t="shared" si="60"/>
        <v>117.27604460484963</v>
      </c>
      <c r="AL50" s="208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8">
        <f t="shared" si="61"/>
        <v>117.27604460484963</v>
      </c>
      <c r="AN50" s="208">
        <f t="shared" si="61"/>
        <v>117.27604460484963</v>
      </c>
      <c r="AO50" s="208">
        <f t="shared" si="61"/>
        <v>117.27604460484963</v>
      </c>
      <c r="AP50" s="208">
        <f t="shared" si="61"/>
        <v>117.27604460484963</v>
      </c>
      <c r="AQ50" s="208">
        <f t="shared" si="61"/>
        <v>117.27604460484963</v>
      </c>
      <c r="AR50" s="208">
        <f t="shared" si="61"/>
        <v>117.27604460484963</v>
      </c>
      <c r="AS50" s="208">
        <f t="shared" si="61"/>
        <v>117.27604460484963</v>
      </c>
      <c r="AT50" s="208">
        <f t="shared" si="61"/>
        <v>117.27604460484963</v>
      </c>
      <c r="AU50" s="208">
        <f t="shared" si="61"/>
        <v>117.27604460484963</v>
      </c>
      <c r="AV50" s="208">
        <f t="shared" si="61"/>
        <v>117.27604460484963</v>
      </c>
      <c r="AW50" s="208">
        <f t="shared" si="61"/>
        <v>117.27604460484963</v>
      </c>
      <c r="AX50" s="208">
        <f t="shared" si="61"/>
        <v>117.27604460484963</v>
      </c>
      <c r="AY50" s="208">
        <f t="shared" si="61"/>
        <v>117.27604460484963</v>
      </c>
      <c r="AZ50" s="208">
        <f t="shared" si="61"/>
        <v>117.27604460484963</v>
      </c>
      <c r="BA50" s="208">
        <f t="shared" si="61"/>
        <v>117.27604460484963</v>
      </c>
      <c r="BB50" s="208">
        <f t="shared" si="61"/>
        <v>117.27604460484963</v>
      </c>
      <c r="BC50" s="208">
        <f t="shared" si="61"/>
        <v>117.27604460484963</v>
      </c>
      <c r="BD50" s="208">
        <f t="shared" si="61"/>
        <v>117.27604460484963</v>
      </c>
      <c r="BE50" s="208">
        <f t="shared" si="61"/>
        <v>186.73954794772234</v>
      </c>
      <c r="BF50" s="208">
        <f t="shared" si="61"/>
        <v>186.73954794772234</v>
      </c>
      <c r="BG50" s="208">
        <f t="shared" si="61"/>
        <v>186.73954794772234</v>
      </c>
      <c r="BH50" s="208">
        <f t="shared" si="61"/>
        <v>186.73954794772234</v>
      </c>
      <c r="BI50" s="208">
        <f t="shared" si="61"/>
        <v>186.73954794772234</v>
      </c>
      <c r="BJ50" s="208">
        <f t="shared" si="61"/>
        <v>186.73954794772234</v>
      </c>
      <c r="BK50" s="208">
        <f t="shared" si="61"/>
        <v>186.73954794772234</v>
      </c>
      <c r="BL50" s="208">
        <f t="shared" si="61"/>
        <v>186.73954794772234</v>
      </c>
      <c r="BM50" s="208">
        <f t="shared" si="61"/>
        <v>186.73954794772234</v>
      </c>
      <c r="BN50" s="208">
        <f t="shared" si="61"/>
        <v>186.73954794772234</v>
      </c>
      <c r="BO50" s="208">
        <f t="shared" si="61"/>
        <v>186.73954794772234</v>
      </c>
      <c r="BP50" s="208">
        <f t="shared" si="61"/>
        <v>186.73954794772234</v>
      </c>
      <c r="BQ50" s="208">
        <f t="shared" si="61"/>
        <v>186.73954794772234</v>
      </c>
      <c r="BR50" s="208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8">
        <f t="shared" si="62"/>
        <v>186.73954794772234</v>
      </c>
      <c r="BT50" s="208">
        <f t="shared" si="62"/>
        <v>186.73954794772234</v>
      </c>
      <c r="BU50" s="208">
        <f t="shared" si="62"/>
        <v>186.73954794772234</v>
      </c>
      <c r="BV50" s="208">
        <f t="shared" si="62"/>
        <v>186.73954794772234</v>
      </c>
      <c r="BW50" s="208">
        <f t="shared" si="62"/>
        <v>186.73954794772234</v>
      </c>
      <c r="BX50" s="208">
        <f t="shared" si="62"/>
        <v>186.73954794772234</v>
      </c>
      <c r="BY50" s="208">
        <f t="shared" si="62"/>
        <v>797.33399999999995</v>
      </c>
      <c r="BZ50" s="208">
        <f t="shared" si="62"/>
        <v>797.33399999999995</v>
      </c>
      <c r="CA50" s="208">
        <f t="shared" si="62"/>
        <v>797.33399999999995</v>
      </c>
      <c r="CB50" s="208">
        <f t="shared" si="62"/>
        <v>797.33399999999995</v>
      </c>
      <c r="CC50" s="208">
        <f t="shared" si="62"/>
        <v>797.33399999999995</v>
      </c>
      <c r="CD50" s="208">
        <f t="shared" si="62"/>
        <v>797.33399999999995</v>
      </c>
      <c r="CE50" s="208">
        <f t="shared" si="62"/>
        <v>797.33399999999995</v>
      </c>
      <c r="CF50" s="208">
        <f t="shared" si="62"/>
        <v>797.33399999999995</v>
      </c>
      <c r="CG50" s="208">
        <f t="shared" si="62"/>
        <v>797.33399999999995</v>
      </c>
      <c r="CH50" s="208">
        <f t="shared" si="62"/>
        <v>797.33399999999995</v>
      </c>
      <c r="CI50" s="208">
        <f t="shared" si="62"/>
        <v>797.33399999999995</v>
      </c>
      <c r="CJ50" s="208">
        <f t="shared" si="62"/>
        <v>797.33399999999995</v>
      </c>
      <c r="CK50" s="208">
        <f t="shared" si="62"/>
        <v>797.33399999999995</v>
      </c>
      <c r="CL50" s="208">
        <f t="shared" si="62"/>
        <v>797.33399999999995</v>
      </c>
      <c r="CM50" s="208">
        <f t="shared" si="62"/>
        <v>797.33399999999995</v>
      </c>
      <c r="CN50" s="208">
        <f t="shared" si="62"/>
        <v>797.33399999999995</v>
      </c>
      <c r="CO50" s="208">
        <f t="shared" si="62"/>
        <v>797.33399999999995</v>
      </c>
      <c r="CP50" s="208">
        <f t="shared" si="62"/>
        <v>797.33399999999995</v>
      </c>
      <c r="CQ50" s="208">
        <f t="shared" si="62"/>
        <v>797.33399999999995</v>
      </c>
      <c r="CR50" s="208">
        <f t="shared" si="62"/>
        <v>797.33399999999995</v>
      </c>
      <c r="CS50" s="208">
        <f t="shared" si="62"/>
        <v>797.33399999999995</v>
      </c>
      <c r="CT50" s="208">
        <f t="shared" si="62"/>
        <v>797.33399999999995</v>
      </c>
      <c r="CU50" s="208">
        <f t="shared" si="62"/>
        <v>797.33399999999995</v>
      </c>
      <c r="CV50" s="208">
        <f t="shared" si="62"/>
        <v>797.33399999999995</v>
      </c>
      <c r="CW50" s="208">
        <f t="shared" si="62"/>
        <v>797.33399999999995</v>
      </c>
      <c r="CX50" s="208">
        <f t="shared" si="62"/>
        <v>797.33399999999995</v>
      </c>
      <c r="CY50" s="208">
        <f t="shared" si="62"/>
        <v>797.33399999999995</v>
      </c>
      <c r="CZ50" s="208">
        <f t="shared" si="62"/>
        <v>797.33399999999995</v>
      </c>
      <c r="DA50" s="208">
        <f t="shared" si="62"/>
        <v>797.33399999999995</v>
      </c>
    </row>
    <row r="51" spans="1:105">
      <c r="A51" s="199" t="str">
        <f>Income!A82</f>
        <v>Small business/petty trading</v>
      </c>
      <c r="F51" s="208">
        <f t="shared" ref="F51:AK51" si="63">IF(F$22&lt;=$E$24,IF(F$22&lt;=$D$24,IF(F$22&lt;=$C$24,IF(F$22&lt;=$B$24,$B117,($C34-$B34)/($C$24-$B$24)),($D34-$C34)/($D$24-$C$24)),($E34-$D34)/($E$24-$D$24)),$F117)</f>
        <v>0</v>
      </c>
      <c r="G51" s="208">
        <f t="shared" si="63"/>
        <v>0</v>
      </c>
      <c r="H51" s="208">
        <f t="shared" si="63"/>
        <v>0</v>
      </c>
      <c r="I51" s="208">
        <f t="shared" si="63"/>
        <v>0</v>
      </c>
      <c r="J51" s="208">
        <f t="shared" si="63"/>
        <v>0</v>
      </c>
      <c r="K51" s="208">
        <f t="shared" si="63"/>
        <v>0</v>
      </c>
      <c r="L51" s="208">
        <f t="shared" si="63"/>
        <v>0</v>
      </c>
      <c r="M51" s="208">
        <f t="shared" si="63"/>
        <v>0</v>
      </c>
      <c r="N51" s="208">
        <f t="shared" si="63"/>
        <v>0</v>
      </c>
      <c r="O51" s="208">
        <f t="shared" si="63"/>
        <v>0</v>
      </c>
      <c r="P51" s="208">
        <f t="shared" si="63"/>
        <v>0</v>
      </c>
      <c r="Q51" s="208">
        <f t="shared" si="63"/>
        <v>211.99900370876679</v>
      </c>
      <c r="R51" s="208">
        <f t="shared" si="63"/>
        <v>211.99900370876679</v>
      </c>
      <c r="S51" s="208">
        <f t="shared" si="63"/>
        <v>211.99900370876679</v>
      </c>
      <c r="T51" s="208">
        <f t="shared" si="63"/>
        <v>211.99900370876679</v>
      </c>
      <c r="U51" s="208">
        <f t="shared" si="63"/>
        <v>211.99900370876679</v>
      </c>
      <c r="V51" s="208">
        <f t="shared" si="63"/>
        <v>211.99900370876679</v>
      </c>
      <c r="W51" s="208">
        <f t="shared" si="63"/>
        <v>211.99900370876679</v>
      </c>
      <c r="X51" s="208">
        <f t="shared" si="63"/>
        <v>211.99900370876679</v>
      </c>
      <c r="Y51" s="208">
        <f t="shared" si="63"/>
        <v>211.99900370876679</v>
      </c>
      <c r="Z51" s="208">
        <f t="shared" si="63"/>
        <v>211.99900370876679</v>
      </c>
      <c r="AA51" s="208">
        <f t="shared" si="63"/>
        <v>211.99900370876679</v>
      </c>
      <c r="AB51" s="208">
        <f t="shared" si="63"/>
        <v>211.99900370876679</v>
      </c>
      <c r="AC51" s="208">
        <f t="shared" si="63"/>
        <v>211.99900370876679</v>
      </c>
      <c r="AD51" s="208">
        <f t="shared" si="63"/>
        <v>211.99900370876679</v>
      </c>
      <c r="AE51" s="208">
        <f t="shared" si="63"/>
        <v>211.99900370876679</v>
      </c>
      <c r="AF51" s="208">
        <f t="shared" si="63"/>
        <v>211.99900370876679</v>
      </c>
      <c r="AG51" s="208">
        <f t="shared" si="63"/>
        <v>211.99900370876679</v>
      </c>
      <c r="AH51" s="208">
        <f t="shared" si="63"/>
        <v>211.99900370876679</v>
      </c>
      <c r="AI51" s="208">
        <f t="shared" si="63"/>
        <v>211.99900370876679</v>
      </c>
      <c r="AJ51" s="208">
        <f t="shared" si="63"/>
        <v>211.99900370876679</v>
      </c>
      <c r="AK51" s="208">
        <f t="shared" si="63"/>
        <v>139.82913010578233</v>
      </c>
      <c r="AL51" s="208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8">
        <f t="shared" si="64"/>
        <v>139.82913010578233</v>
      </c>
      <c r="AN51" s="208">
        <f t="shared" si="64"/>
        <v>139.82913010578233</v>
      </c>
      <c r="AO51" s="208">
        <f t="shared" si="64"/>
        <v>139.82913010578233</v>
      </c>
      <c r="AP51" s="208">
        <f t="shared" si="64"/>
        <v>139.82913010578233</v>
      </c>
      <c r="AQ51" s="208">
        <f t="shared" si="64"/>
        <v>139.82913010578233</v>
      </c>
      <c r="AR51" s="208">
        <f t="shared" si="64"/>
        <v>139.82913010578233</v>
      </c>
      <c r="AS51" s="208">
        <f t="shared" si="64"/>
        <v>139.82913010578233</v>
      </c>
      <c r="AT51" s="208">
        <f t="shared" si="64"/>
        <v>139.82913010578233</v>
      </c>
      <c r="AU51" s="208">
        <f t="shared" si="64"/>
        <v>139.82913010578233</v>
      </c>
      <c r="AV51" s="208">
        <f t="shared" si="64"/>
        <v>139.82913010578233</v>
      </c>
      <c r="AW51" s="208">
        <f t="shared" si="64"/>
        <v>139.82913010578233</v>
      </c>
      <c r="AX51" s="208">
        <f t="shared" si="64"/>
        <v>139.82913010578233</v>
      </c>
      <c r="AY51" s="208">
        <f t="shared" si="64"/>
        <v>139.82913010578233</v>
      </c>
      <c r="AZ51" s="208">
        <f t="shared" si="64"/>
        <v>139.82913010578233</v>
      </c>
      <c r="BA51" s="208">
        <f t="shared" si="64"/>
        <v>139.82913010578233</v>
      </c>
      <c r="BB51" s="208">
        <f t="shared" si="64"/>
        <v>139.82913010578233</v>
      </c>
      <c r="BC51" s="208">
        <f t="shared" si="64"/>
        <v>139.82913010578233</v>
      </c>
      <c r="BD51" s="208">
        <f t="shared" si="64"/>
        <v>139.82913010578233</v>
      </c>
      <c r="BE51" s="208">
        <f t="shared" si="64"/>
        <v>94.722959103917077</v>
      </c>
      <c r="BF51" s="208">
        <f t="shared" si="64"/>
        <v>94.722959103917077</v>
      </c>
      <c r="BG51" s="208">
        <f t="shared" si="64"/>
        <v>94.722959103917077</v>
      </c>
      <c r="BH51" s="208">
        <f t="shared" si="64"/>
        <v>94.722959103917077</v>
      </c>
      <c r="BI51" s="208">
        <f t="shared" si="64"/>
        <v>94.722959103917077</v>
      </c>
      <c r="BJ51" s="208">
        <f t="shared" si="64"/>
        <v>94.722959103917077</v>
      </c>
      <c r="BK51" s="208">
        <f t="shared" si="64"/>
        <v>94.722959103917077</v>
      </c>
      <c r="BL51" s="208">
        <f t="shared" si="64"/>
        <v>94.722959103917077</v>
      </c>
      <c r="BM51" s="208">
        <f t="shared" si="64"/>
        <v>94.722959103917077</v>
      </c>
      <c r="BN51" s="208">
        <f t="shared" si="64"/>
        <v>94.722959103917077</v>
      </c>
      <c r="BO51" s="208">
        <f t="shared" si="64"/>
        <v>94.722959103917077</v>
      </c>
      <c r="BP51" s="208">
        <f t="shared" si="64"/>
        <v>94.722959103917077</v>
      </c>
      <c r="BQ51" s="208">
        <f t="shared" si="64"/>
        <v>94.722959103917077</v>
      </c>
      <c r="BR51" s="208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8">
        <f t="shared" si="65"/>
        <v>94.722959103917077</v>
      </c>
      <c r="BT51" s="208">
        <f t="shared" si="65"/>
        <v>94.722959103917077</v>
      </c>
      <c r="BU51" s="208">
        <f t="shared" si="65"/>
        <v>94.722959103917077</v>
      </c>
      <c r="BV51" s="208">
        <f t="shared" si="65"/>
        <v>94.722959103917077</v>
      </c>
      <c r="BW51" s="208">
        <f t="shared" si="65"/>
        <v>94.722959103917077</v>
      </c>
      <c r="BX51" s="208">
        <f t="shared" si="65"/>
        <v>94.722959103917077</v>
      </c>
      <c r="BY51" s="208">
        <f t="shared" si="65"/>
        <v>2776.26</v>
      </c>
      <c r="BZ51" s="208">
        <f t="shared" si="65"/>
        <v>2776.26</v>
      </c>
      <c r="CA51" s="208">
        <f t="shared" si="65"/>
        <v>2776.26</v>
      </c>
      <c r="CB51" s="208">
        <f t="shared" si="65"/>
        <v>2776.26</v>
      </c>
      <c r="CC51" s="208">
        <f t="shared" si="65"/>
        <v>2776.26</v>
      </c>
      <c r="CD51" s="208">
        <f t="shared" si="65"/>
        <v>2776.26</v>
      </c>
      <c r="CE51" s="208">
        <f t="shared" si="65"/>
        <v>2776.26</v>
      </c>
      <c r="CF51" s="208">
        <f t="shared" si="65"/>
        <v>2776.26</v>
      </c>
      <c r="CG51" s="208">
        <f t="shared" si="65"/>
        <v>2776.26</v>
      </c>
      <c r="CH51" s="208">
        <f t="shared" si="65"/>
        <v>2776.26</v>
      </c>
      <c r="CI51" s="208">
        <f t="shared" si="65"/>
        <v>2776.26</v>
      </c>
      <c r="CJ51" s="208">
        <f t="shared" si="65"/>
        <v>2776.26</v>
      </c>
      <c r="CK51" s="208">
        <f t="shared" si="65"/>
        <v>2776.26</v>
      </c>
      <c r="CL51" s="208">
        <f t="shared" si="65"/>
        <v>2776.26</v>
      </c>
      <c r="CM51" s="208">
        <f t="shared" si="65"/>
        <v>2776.26</v>
      </c>
      <c r="CN51" s="208">
        <f t="shared" si="65"/>
        <v>2776.26</v>
      </c>
      <c r="CO51" s="208">
        <f t="shared" si="65"/>
        <v>2776.26</v>
      </c>
      <c r="CP51" s="208">
        <f t="shared" si="65"/>
        <v>2776.26</v>
      </c>
      <c r="CQ51" s="208">
        <f t="shared" si="65"/>
        <v>2776.26</v>
      </c>
      <c r="CR51" s="208">
        <f t="shared" si="65"/>
        <v>2776.26</v>
      </c>
      <c r="CS51" s="208">
        <f t="shared" si="65"/>
        <v>2776.26</v>
      </c>
      <c r="CT51" s="208">
        <f t="shared" si="65"/>
        <v>2776.26</v>
      </c>
      <c r="CU51" s="208">
        <f t="shared" si="65"/>
        <v>2776.26</v>
      </c>
      <c r="CV51" s="208">
        <f t="shared" si="65"/>
        <v>2776.26</v>
      </c>
      <c r="CW51" s="208">
        <f t="shared" si="65"/>
        <v>2776.26</v>
      </c>
      <c r="CX51" s="208">
        <f t="shared" si="65"/>
        <v>2776.26</v>
      </c>
      <c r="CY51" s="208">
        <f t="shared" si="65"/>
        <v>2776.26</v>
      </c>
      <c r="CZ51" s="208">
        <f t="shared" si="65"/>
        <v>2776.26</v>
      </c>
      <c r="DA51" s="208">
        <f t="shared" si="65"/>
        <v>2776.26</v>
      </c>
    </row>
    <row r="52" spans="1:105">
      <c r="A52" s="199" t="str">
        <f>Income!A83</f>
        <v>Food transfer - official</v>
      </c>
      <c r="F52" s="208">
        <f t="shared" ref="F52:AK52" si="66">IF(F$22&lt;=$E$24,IF(F$22&lt;=$D$24,IF(F$22&lt;=$C$24,IF(F$22&lt;=$B$24,$B118,($C35-$B35)/($C$24-$B$24)),($D35-$C35)/($D$24-$C$24)),($E35-$D35)/($E$24-$D$24)),$F118)</f>
        <v>0</v>
      </c>
      <c r="G52" s="208">
        <f t="shared" si="66"/>
        <v>0</v>
      </c>
      <c r="H52" s="208">
        <f t="shared" si="66"/>
        <v>0</v>
      </c>
      <c r="I52" s="208">
        <f t="shared" si="66"/>
        <v>0</v>
      </c>
      <c r="J52" s="208">
        <f t="shared" si="66"/>
        <v>0</v>
      </c>
      <c r="K52" s="208">
        <f t="shared" si="66"/>
        <v>0</v>
      </c>
      <c r="L52" s="208">
        <f t="shared" si="66"/>
        <v>0</v>
      </c>
      <c r="M52" s="208">
        <f t="shared" si="66"/>
        <v>0</v>
      </c>
      <c r="N52" s="208">
        <f t="shared" si="66"/>
        <v>0</v>
      </c>
      <c r="O52" s="208">
        <f t="shared" si="66"/>
        <v>0</v>
      </c>
      <c r="P52" s="208">
        <f t="shared" si="66"/>
        <v>0</v>
      </c>
      <c r="Q52" s="208">
        <f t="shared" si="66"/>
        <v>0</v>
      </c>
      <c r="R52" s="208">
        <f t="shared" si="66"/>
        <v>0</v>
      </c>
      <c r="S52" s="208">
        <f t="shared" si="66"/>
        <v>0</v>
      </c>
      <c r="T52" s="208">
        <f t="shared" si="66"/>
        <v>0</v>
      </c>
      <c r="U52" s="208">
        <f t="shared" si="66"/>
        <v>0</v>
      </c>
      <c r="V52" s="208">
        <f t="shared" si="66"/>
        <v>0</v>
      </c>
      <c r="W52" s="208">
        <f t="shared" si="66"/>
        <v>0</v>
      </c>
      <c r="X52" s="208">
        <f t="shared" si="66"/>
        <v>0</v>
      </c>
      <c r="Y52" s="208">
        <f t="shared" si="66"/>
        <v>0</v>
      </c>
      <c r="Z52" s="208">
        <f t="shared" si="66"/>
        <v>0</v>
      </c>
      <c r="AA52" s="208">
        <f t="shared" si="66"/>
        <v>0</v>
      </c>
      <c r="AB52" s="208">
        <f t="shared" si="66"/>
        <v>0</v>
      </c>
      <c r="AC52" s="208">
        <f t="shared" si="66"/>
        <v>0</v>
      </c>
      <c r="AD52" s="208">
        <f t="shared" si="66"/>
        <v>0</v>
      </c>
      <c r="AE52" s="208">
        <f t="shared" si="66"/>
        <v>0</v>
      </c>
      <c r="AF52" s="208">
        <f t="shared" si="66"/>
        <v>0</v>
      </c>
      <c r="AG52" s="208">
        <f t="shared" si="66"/>
        <v>0</v>
      </c>
      <c r="AH52" s="208">
        <f t="shared" si="66"/>
        <v>0</v>
      </c>
      <c r="AI52" s="208">
        <f t="shared" si="66"/>
        <v>0</v>
      </c>
      <c r="AJ52" s="208">
        <f t="shared" si="66"/>
        <v>0</v>
      </c>
      <c r="AK52" s="208">
        <f t="shared" si="66"/>
        <v>-1.1368683772161604E-14</v>
      </c>
      <c r="AL52" s="208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8">
        <f t="shared" si="67"/>
        <v>-1.1368683772161604E-14</v>
      </c>
      <c r="AN52" s="208">
        <f t="shared" si="67"/>
        <v>-1.1368683772161604E-14</v>
      </c>
      <c r="AO52" s="208">
        <f t="shared" si="67"/>
        <v>-1.1368683772161604E-14</v>
      </c>
      <c r="AP52" s="208">
        <f t="shared" si="67"/>
        <v>-1.1368683772161604E-14</v>
      </c>
      <c r="AQ52" s="208">
        <f t="shared" si="67"/>
        <v>-1.1368683772161604E-14</v>
      </c>
      <c r="AR52" s="208">
        <f t="shared" si="67"/>
        <v>-1.1368683772161604E-14</v>
      </c>
      <c r="AS52" s="208">
        <f t="shared" si="67"/>
        <v>-1.1368683772161604E-14</v>
      </c>
      <c r="AT52" s="208">
        <f t="shared" si="67"/>
        <v>-1.1368683772161604E-14</v>
      </c>
      <c r="AU52" s="208">
        <f t="shared" si="67"/>
        <v>-1.1368683772161604E-14</v>
      </c>
      <c r="AV52" s="208">
        <f t="shared" si="67"/>
        <v>-1.1368683772161604E-14</v>
      </c>
      <c r="AW52" s="208">
        <f t="shared" si="67"/>
        <v>-1.1368683772161604E-14</v>
      </c>
      <c r="AX52" s="208">
        <f t="shared" si="67"/>
        <v>-1.1368683772161604E-14</v>
      </c>
      <c r="AY52" s="208">
        <f t="shared" si="67"/>
        <v>-1.1368683772161604E-14</v>
      </c>
      <c r="AZ52" s="208">
        <f t="shared" si="67"/>
        <v>-1.1368683772161604E-14</v>
      </c>
      <c r="BA52" s="208">
        <f t="shared" si="67"/>
        <v>-1.1368683772161604E-14</v>
      </c>
      <c r="BB52" s="208">
        <f t="shared" si="67"/>
        <v>-1.1368683772161604E-14</v>
      </c>
      <c r="BC52" s="208">
        <f t="shared" si="67"/>
        <v>-1.1368683772161604E-14</v>
      </c>
      <c r="BD52" s="208">
        <f t="shared" si="67"/>
        <v>-1.1368683772161604E-14</v>
      </c>
      <c r="BE52" s="208">
        <f t="shared" si="67"/>
        <v>1.1368683772161604E-14</v>
      </c>
      <c r="BF52" s="208">
        <f t="shared" si="67"/>
        <v>1.1368683772161604E-14</v>
      </c>
      <c r="BG52" s="208">
        <f t="shared" si="67"/>
        <v>1.1368683772161604E-14</v>
      </c>
      <c r="BH52" s="208">
        <f t="shared" si="67"/>
        <v>1.1368683772161604E-14</v>
      </c>
      <c r="BI52" s="208">
        <f t="shared" si="67"/>
        <v>1.1368683772161604E-14</v>
      </c>
      <c r="BJ52" s="208">
        <f t="shared" si="67"/>
        <v>1.1368683772161604E-14</v>
      </c>
      <c r="BK52" s="208">
        <f t="shared" si="67"/>
        <v>1.1368683772161604E-14</v>
      </c>
      <c r="BL52" s="208">
        <f t="shared" si="67"/>
        <v>1.1368683772161604E-14</v>
      </c>
      <c r="BM52" s="208">
        <f t="shared" si="67"/>
        <v>1.1368683772161604E-14</v>
      </c>
      <c r="BN52" s="208">
        <f t="shared" si="67"/>
        <v>1.1368683772161604E-14</v>
      </c>
      <c r="BO52" s="208">
        <f t="shared" si="67"/>
        <v>1.1368683772161604E-14</v>
      </c>
      <c r="BP52" s="208">
        <f t="shared" si="67"/>
        <v>1.1368683772161604E-14</v>
      </c>
      <c r="BQ52" s="208">
        <f t="shared" si="67"/>
        <v>1.1368683772161604E-14</v>
      </c>
      <c r="BR52" s="208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8">
        <f t="shared" si="68"/>
        <v>1.1368683772161604E-14</v>
      </c>
      <c r="BT52" s="208">
        <f t="shared" si="68"/>
        <v>1.1368683772161604E-14</v>
      </c>
      <c r="BU52" s="208">
        <f t="shared" si="68"/>
        <v>1.1368683772161604E-14</v>
      </c>
      <c r="BV52" s="208">
        <f t="shared" si="68"/>
        <v>1.1368683772161604E-14</v>
      </c>
      <c r="BW52" s="208">
        <f t="shared" si="68"/>
        <v>1.1368683772161604E-14</v>
      </c>
      <c r="BX52" s="208">
        <f t="shared" si="68"/>
        <v>1.1368683772161604E-14</v>
      </c>
      <c r="BY52" s="208">
        <f t="shared" si="68"/>
        <v>-31.528000000000034</v>
      </c>
      <c r="BZ52" s="208">
        <f t="shared" si="68"/>
        <v>-31.528000000000034</v>
      </c>
      <c r="CA52" s="208">
        <f t="shared" si="68"/>
        <v>-31.528000000000034</v>
      </c>
      <c r="CB52" s="208">
        <f t="shared" si="68"/>
        <v>-31.528000000000034</v>
      </c>
      <c r="CC52" s="208">
        <f t="shared" si="68"/>
        <v>-31.528000000000034</v>
      </c>
      <c r="CD52" s="208">
        <f t="shared" si="68"/>
        <v>-31.528000000000034</v>
      </c>
      <c r="CE52" s="208">
        <f t="shared" si="68"/>
        <v>-31.528000000000034</v>
      </c>
      <c r="CF52" s="208">
        <f t="shared" si="68"/>
        <v>-31.528000000000034</v>
      </c>
      <c r="CG52" s="208">
        <f t="shared" si="68"/>
        <v>-31.528000000000034</v>
      </c>
      <c r="CH52" s="208">
        <f t="shared" si="68"/>
        <v>-31.528000000000034</v>
      </c>
      <c r="CI52" s="208">
        <f t="shared" si="68"/>
        <v>-31.528000000000034</v>
      </c>
      <c r="CJ52" s="208">
        <f t="shared" si="68"/>
        <v>-31.528000000000034</v>
      </c>
      <c r="CK52" s="208">
        <f t="shared" si="68"/>
        <v>-31.528000000000034</v>
      </c>
      <c r="CL52" s="208">
        <f t="shared" si="68"/>
        <v>-31.528000000000034</v>
      </c>
      <c r="CM52" s="208">
        <f t="shared" si="68"/>
        <v>-31.528000000000034</v>
      </c>
      <c r="CN52" s="208">
        <f t="shared" si="68"/>
        <v>-31.528000000000034</v>
      </c>
      <c r="CO52" s="208">
        <f t="shared" si="68"/>
        <v>-31.528000000000034</v>
      </c>
      <c r="CP52" s="208">
        <f t="shared" si="68"/>
        <v>-31.528000000000034</v>
      </c>
      <c r="CQ52" s="208">
        <f t="shared" si="68"/>
        <v>-31.528000000000034</v>
      </c>
      <c r="CR52" s="208">
        <f t="shared" si="68"/>
        <v>-31.528000000000034</v>
      </c>
      <c r="CS52" s="208">
        <f t="shared" si="68"/>
        <v>-31.528000000000034</v>
      </c>
      <c r="CT52" s="208">
        <f t="shared" si="68"/>
        <v>-31.528000000000034</v>
      </c>
      <c r="CU52" s="208">
        <f t="shared" si="68"/>
        <v>-31.528000000000034</v>
      </c>
      <c r="CV52" s="208">
        <f t="shared" si="68"/>
        <v>-31.528000000000034</v>
      </c>
      <c r="CW52" s="208">
        <f t="shared" si="68"/>
        <v>-31.528000000000034</v>
      </c>
      <c r="CX52" s="208">
        <f t="shared" si="68"/>
        <v>-31.528000000000034</v>
      </c>
      <c r="CY52" s="208">
        <f t="shared" si="68"/>
        <v>-31.528000000000034</v>
      </c>
      <c r="CZ52" s="208">
        <f t="shared" si="68"/>
        <v>-31.528000000000034</v>
      </c>
      <c r="DA52" s="208">
        <f t="shared" si="68"/>
        <v>-31.528000000000034</v>
      </c>
    </row>
    <row r="53" spans="1:105">
      <c r="A53" s="199" t="str">
        <f>Income!A85</f>
        <v>Cash transfer - official</v>
      </c>
      <c r="F53" s="208">
        <f t="shared" ref="F53:AK53" si="69">IF(F$22&lt;=$E$24,IF(F$22&lt;=$D$24,IF(F$22&lt;=$C$24,IF(F$22&lt;=$B$24,$B119,($C36-$B36)/($C$24-$B$24)),($D36-$C36)/($D$24-$C$24)),($E36-$D36)/($E$24-$D$24)),$F119)</f>
        <v>0</v>
      </c>
      <c r="G53" s="208">
        <f t="shared" si="69"/>
        <v>0</v>
      </c>
      <c r="H53" s="208">
        <f t="shared" si="69"/>
        <v>0</v>
      </c>
      <c r="I53" s="208">
        <f t="shared" si="69"/>
        <v>0</v>
      </c>
      <c r="J53" s="208">
        <f t="shared" si="69"/>
        <v>0</v>
      </c>
      <c r="K53" s="208">
        <f t="shared" si="69"/>
        <v>0</v>
      </c>
      <c r="L53" s="208">
        <f t="shared" si="69"/>
        <v>0</v>
      </c>
      <c r="M53" s="208">
        <f t="shared" si="69"/>
        <v>0</v>
      </c>
      <c r="N53" s="208">
        <f t="shared" si="69"/>
        <v>0</v>
      </c>
      <c r="O53" s="208">
        <f t="shared" si="69"/>
        <v>0</v>
      </c>
      <c r="P53" s="208">
        <f t="shared" si="69"/>
        <v>0</v>
      </c>
      <c r="Q53" s="208">
        <f t="shared" si="69"/>
        <v>0</v>
      </c>
      <c r="R53" s="208">
        <f t="shared" si="69"/>
        <v>0</v>
      </c>
      <c r="S53" s="208">
        <f t="shared" si="69"/>
        <v>0</v>
      </c>
      <c r="T53" s="208">
        <f t="shared" si="69"/>
        <v>0</v>
      </c>
      <c r="U53" s="208">
        <f t="shared" si="69"/>
        <v>0</v>
      </c>
      <c r="V53" s="208">
        <f t="shared" si="69"/>
        <v>0</v>
      </c>
      <c r="W53" s="208">
        <f t="shared" si="69"/>
        <v>0</v>
      </c>
      <c r="X53" s="208">
        <f t="shared" si="69"/>
        <v>0</v>
      </c>
      <c r="Y53" s="208">
        <f t="shared" si="69"/>
        <v>0</v>
      </c>
      <c r="Z53" s="208">
        <f t="shared" si="69"/>
        <v>0</v>
      </c>
      <c r="AA53" s="208">
        <f t="shared" si="69"/>
        <v>0</v>
      </c>
      <c r="AB53" s="208">
        <f t="shared" si="69"/>
        <v>0</v>
      </c>
      <c r="AC53" s="208">
        <f t="shared" si="69"/>
        <v>0</v>
      </c>
      <c r="AD53" s="208">
        <f t="shared" si="69"/>
        <v>0</v>
      </c>
      <c r="AE53" s="208">
        <f t="shared" si="69"/>
        <v>0</v>
      </c>
      <c r="AF53" s="208">
        <f t="shared" si="69"/>
        <v>0</v>
      </c>
      <c r="AG53" s="208">
        <f t="shared" si="69"/>
        <v>0</v>
      </c>
      <c r="AH53" s="208">
        <f t="shared" si="69"/>
        <v>0</v>
      </c>
      <c r="AI53" s="208">
        <f t="shared" si="69"/>
        <v>0</v>
      </c>
      <c r="AJ53" s="208">
        <f t="shared" si="69"/>
        <v>0</v>
      </c>
      <c r="AK53" s="208">
        <f t="shared" si="69"/>
        <v>-541.27405202238333</v>
      </c>
      <c r="AL53" s="208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8">
        <f t="shared" si="70"/>
        <v>-541.27405202238333</v>
      </c>
      <c r="AN53" s="208">
        <f t="shared" si="70"/>
        <v>-541.27405202238333</v>
      </c>
      <c r="AO53" s="208">
        <f t="shared" si="70"/>
        <v>-541.27405202238333</v>
      </c>
      <c r="AP53" s="208">
        <f t="shared" si="70"/>
        <v>-541.27405202238333</v>
      </c>
      <c r="AQ53" s="208">
        <f t="shared" si="70"/>
        <v>-541.27405202238333</v>
      </c>
      <c r="AR53" s="208">
        <f t="shared" si="70"/>
        <v>-541.27405202238333</v>
      </c>
      <c r="AS53" s="208">
        <f t="shared" si="70"/>
        <v>-541.27405202238333</v>
      </c>
      <c r="AT53" s="208">
        <f t="shared" si="70"/>
        <v>-541.27405202238333</v>
      </c>
      <c r="AU53" s="208">
        <f t="shared" si="70"/>
        <v>-541.27405202238333</v>
      </c>
      <c r="AV53" s="208">
        <f t="shared" si="70"/>
        <v>-541.27405202238333</v>
      </c>
      <c r="AW53" s="208">
        <f t="shared" si="70"/>
        <v>-541.27405202238333</v>
      </c>
      <c r="AX53" s="208">
        <f t="shared" si="70"/>
        <v>-541.27405202238333</v>
      </c>
      <c r="AY53" s="208">
        <f t="shared" si="70"/>
        <v>-541.27405202238333</v>
      </c>
      <c r="AZ53" s="208">
        <f t="shared" si="70"/>
        <v>-541.27405202238333</v>
      </c>
      <c r="BA53" s="208">
        <f t="shared" si="70"/>
        <v>-541.27405202238333</v>
      </c>
      <c r="BB53" s="208">
        <f t="shared" si="70"/>
        <v>-541.27405202238333</v>
      </c>
      <c r="BC53" s="208">
        <f t="shared" si="70"/>
        <v>-541.27405202238333</v>
      </c>
      <c r="BD53" s="208">
        <f t="shared" si="70"/>
        <v>-541.27405202238333</v>
      </c>
      <c r="BE53" s="208">
        <f t="shared" si="70"/>
        <v>-229.13934868947558</v>
      </c>
      <c r="BF53" s="208">
        <f t="shared" si="70"/>
        <v>-229.13934868947558</v>
      </c>
      <c r="BG53" s="208">
        <f t="shared" si="70"/>
        <v>-229.13934868947558</v>
      </c>
      <c r="BH53" s="208">
        <f t="shared" si="70"/>
        <v>-229.13934868947558</v>
      </c>
      <c r="BI53" s="208">
        <f t="shared" si="70"/>
        <v>-229.13934868947558</v>
      </c>
      <c r="BJ53" s="208">
        <f t="shared" si="70"/>
        <v>-229.13934868947558</v>
      </c>
      <c r="BK53" s="208">
        <f t="shared" si="70"/>
        <v>-229.13934868947558</v>
      </c>
      <c r="BL53" s="208">
        <f t="shared" si="70"/>
        <v>-229.13934868947558</v>
      </c>
      <c r="BM53" s="208">
        <f t="shared" si="70"/>
        <v>-229.13934868947558</v>
      </c>
      <c r="BN53" s="208">
        <f t="shared" si="70"/>
        <v>-229.13934868947558</v>
      </c>
      <c r="BO53" s="208">
        <f t="shared" si="70"/>
        <v>-229.13934868947558</v>
      </c>
      <c r="BP53" s="208">
        <f t="shared" si="70"/>
        <v>-229.13934868947558</v>
      </c>
      <c r="BQ53" s="208">
        <f t="shared" si="70"/>
        <v>-229.13934868947558</v>
      </c>
      <c r="BR53" s="208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8">
        <f t="shared" si="71"/>
        <v>-229.13934868947558</v>
      </c>
      <c r="BT53" s="208">
        <f t="shared" si="71"/>
        <v>-229.13934868947558</v>
      </c>
      <c r="BU53" s="208">
        <f t="shared" si="71"/>
        <v>-229.13934868947558</v>
      </c>
      <c r="BV53" s="208">
        <f t="shared" si="71"/>
        <v>-229.13934868947558</v>
      </c>
      <c r="BW53" s="208">
        <f t="shared" si="71"/>
        <v>-229.13934868947558</v>
      </c>
      <c r="BX53" s="208">
        <f t="shared" si="71"/>
        <v>-229.13934868947558</v>
      </c>
      <c r="BY53" s="208">
        <f t="shared" si="71"/>
        <v>-325.87000000000023</v>
      </c>
      <c r="BZ53" s="208">
        <f t="shared" si="71"/>
        <v>-325.87000000000023</v>
      </c>
      <c r="CA53" s="208">
        <f t="shared" si="71"/>
        <v>-325.87000000000023</v>
      </c>
      <c r="CB53" s="208">
        <f t="shared" si="71"/>
        <v>-325.87000000000023</v>
      </c>
      <c r="CC53" s="208">
        <f t="shared" si="71"/>
        <v>-325.87000000000023</v>
      </c>
      <c r="CD53" s="208">
        <f t="shared" si="71"/>
        <v>-325.87000000000023</v>
      </c>
      <c r="CE53" s="208">
        <f t="shared" si="71"/>
        <v>-325.87000000000023</v>
      </c>
      <c r="CF53" s="208">
        <f t="shared" si="71"/>
        <v>-325.87000000000023</v>
      </c>
      <c r="CG53" s="208">
        <f t="shared" si="71"/>
        <v>-325.87000000000023</v>
      </c>
      <c r="CH53" s="208">
        <f t="shared" si="71"/>
        <v>-325.87000000000023</v>
      </c>
      <c r="CI53" s="208">
        <f t="shared" si="71"/>
        <v>-325.87000000000023</v>
      </c>
      <c r="CJ53" s="208">
        <f t="shared" si="71"/>
        <v>-325.87000000000023</v>
      </c>
      <c r="CK53" s="208">
        <f t="shared" si="71"/>
        <v>-325.87000000000023</v>
      </c>
      <c r="CL53" s="208">
        <f t="shared" si="71"/>
        <v>-325.87000000000023</v>
      </c>
      <c r="CM53" s="208">
        <f t="shared" si="71"/>
        <v>-325.87000000000023</v>
      </c>
      <c r="CN53" s="208">
        <f t="shared" si="71"/>
        <v>-325.87000000000023</v>
      </c>
      <c r="CO53" s="208">
        <f t="shared" si="71"/>
        <v>-325.87000000000023</v>
      </c>
      <c r="CP53" s="208">
        <f t="shared" si="71"/>
        <v>-325.87000000000023</v>
      </c>
      <c r="CQ53" s="208">
        <f t="shared" si="71"/>
        <v>-325.87000000000023</v>
      </c>
      <c r="CR53" s="208">
        <f t="shared" si="71"/>
        <v>-325.87000000000023</v>
      </c>
      <c r="CS53" s="208">
        <f t="shared" si="71"/>
        <v>-325.87000000000023</v>
      </c>
      <c r="CT53" s="208">
        <f t="shared" si="71"/>
        <v>-325.87000000000023</v>
      </c>
      <c r="CU53" s="208">
        <f t="shared" si="71"/>
        <v>-325.87000000000023</v>
      </c>
      <c r="CV53" s="208">
        <f t="shared" si="71"/>
        <v>-325.87000000000023</v>
      </c>
      <c r="CW53" s="208">
        <f t="shared" si="71"/>
        <v>-325.87000000000023</v>
      </c>
      <c r="CX53" s="208">
        <f t="shared" si="71"/>
        <v>-325.87000000000023</v>
      </c>
      <c r="CY53" s="208">
        <f t="shared" si="71"/>
        <v>-325.87000000000023</v>
      </c>
      <c r="CZ53" s="208">
        <f t="shared" si="71"/>
        <v>-325.87000000000023</v>
      </c>
      <c r="DA53" s="208">
        <f t="shared" si="71"/>
        <v>-325.87000000000023</v>
      </c>
    </row>
    <row r="54" spans="1:105">
      <c r="A54" s="199" t="str">
        <f>Income!A86</f>
        <v>Cash transfer - gifts</v>
      </c>
      <c r="F54" s="208">
        <f t="shared" ref="F54:AK54" si="72">IF(F$22&lt;=$E$24,IF(F$22&lt;=$D$24,IF(F$22&lt;=$C$24,IF(F$22&lt;=$B$24,$B120,($C37-$B37)/($C$24-$B$24)),($D37-$C37)/($D$24-$C$24)),($E37-$D37)/($E$24-$D$24)),$F120)</f>
        <v>0</v>
      </c>
      <c r="G54" s="208">
        <f t="shared" si="72"/>
        <v>0</v>
      </c>
      <c r="H54" s="208">
        <f t="shared" si="72"/>
        <v>0</v>
      </c>
      <c r="I54" s="208">
        <f t="shared" si="72"/>
        <v>0</v>
      </c>
      <c r="J54" s="208">
        <f t="shared" si="72"/>
        <v>0</v>
      </c>
      <c r="K54" s="208">
        <f t="shared" si="72"/>
        <v>0</v>
      </c>
      <c r="L54" s="208">
        <f t="shared" si="72"/>
        <v>0</v>
      </c>
      <c r="M54" s="208">
        <f t="shared" si="72"/>
        <v>0</v>
      </c>
      <c r="N54" s="208">
        <f t="shared" si="72"/>
        <v>0</v>
      </c>
      <c r="O54" s="208">
        <f t="shared" si="72"/>
        <v>0</v>
      </c>
      <c r="P54" s="208">
        <f t="shared" si="72"/>
        <v>0</v>
      </c>
      <c r="Q54" s="208">
        <f t="shared" si="72"/>
        <v>-60.442269142499505</v>
      </c>
      <c r="R54" s="208">
        <f t="shared" si="72"/>
        <v>-60.442269142499505</v>
      </c>
      <c r="S54" s="208">
        <f t="shared" si="72"/>
        <v>-60.442269142499505</v>
      </c>
      <c r="T54" s="208">
        <f t="shared" si="72"/>
        <v>-60.442269142499505</v>
      </c>
      <c r="U54" s="208">
        <f t="shared" si="72"/>
        <v>-60.442269142499505</v>
      </c>
      <c r="V54" s="208">
        <f t="shared" si="72"/>
        <v>-60.442269142499505</v>
      </c>
      <c r="W54" s="208">
        <f t="shared" si="72"/>
        <v>-60.442269142499505</v>
      </c>
      <c r="X54" s="208">
        <f t="shared" si="72"/>
        <v>-60.442269142499505</v>
      </c>
      <c r="Y54" s="208">
        <f t="shared" si="72"/>
        <v>-60.442269142499505</v>
      </c>
      <c r="Z54" s="208">
        <f t="shared" si="72"/>
        <v>-60.442269142499505</v>
      </c>
      <c r="AA54" s="208">
        <f t="shared" si="72"/>
        <v>-60.442269142499505</v>
      </c>
      <c r="AB54" s="208">
        <f t="shared" si="72"/>
        <v>-60.442269142499505</v>
      </c>
      <c r="AC54" s="208">
        <f t="shared" si="72"/>
        <v>-60.442269142499505</v>
      </c>
      <c r="AD54" s="208">
        <f t="shared" si="72"/>
        <v>-60.442269142499505</v>
      </c>
      <c r="AE54" s="208">
        <f t="shared" si="72"/>
        <v>-60.442269142499505</v>
      </c>
      <c r="AF54" s="208">
        <f t="shared" si="72"/>
        <v>-60.442269142499505</v>
      </c>
      <c r="AG54" s="208">
        <f t="shared" si="72"/>
        <v>-60.442269142499505</v>
      </c>
      <c r="AH54" s="208">
        <f t="shared" si="72"/>
        <v>-60.442269142499505</v>
      </c>
      <c r="AI54" s="208">
        <f t="shared" si="72"/>
        <v>-60.442269142499505</v>
      </c>
      <c r="AJ54" s="208">
        <f t="shared" si="72"/>
        <v>-60.442269142499505</v>
      </c>
      <c r="AK54" s="208">
        <f t="shared" si="72"/>
        <v>45.106171001865256</v>
      </c>
      <c r="AL54" s="208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8">
        <f t="shared" si="73"/>
        <v>45.106171001865256</v>
      </c>
      <c r="AN54" s="208">
        <f t="shared" si="73"/>
        <v>45.106171001865256</v>
      </c>
      <c r="AO54" s="208">
        <f t="shared" si="73"/>
        <v>45.106171001865256</v>
      </c>
      <c r="AP54" s="208">
        <f t="shared" si="73"/>
        <v>45.106171001865256</v>
      </c>
      <c r="AQ54" s="208">
        <f t="shared" si="73"/>
        <v>45.106171001865256</v>
      </c>
      <c r="AR54" s="208">
        <f t="shared" si="73"/>
        <v>45.106171001865256</v>
      </c>
      <c r="AS54" s="208">
        <f t="shared" si="73"/>
        <v>45.106171001865256</v>
      </c>
      <c r="AT54" s="208">
        <f t="shared" si="73"/>
        <v>45.106171001865256</v>
      </c>
      <c r="AU54" s="208">
        <f t="shared" si="73"/>
        <v>45.106171001865256</v>
      </c>
      <c r="AV54" s="208">
        <f t="shared" si="73"/>
        <v>45.106171001865256</v>
      </c>
      <c r="AW54" s="208">
        <f t="shared" si="73"/>
        <v>45.106171001865256</v>
      </c>
      <c r="AX54" s="208">
        <f t="shared" si="73"/>
        <v>45.106171001865256</v>
      </c>
      <c r="AY54" s="208">
        <f t="shared" si="73"/>
        <v>45.106171001865256</v>
      </c>
      <c r="AZ54" s="208">
        <f t="shared" si="73"/>
        <v>45.106171001865256</v>
      </c>
      <c r="BA54" s="208">
        <f t="shared" si="73"/>
        <v>45.106171001865256</v>
      </c>
      <c r="BB54" s="208">
        <f t="shared" si="73"/>
        <v>45.106171001865256</v>
      </c>
      <c r="BC54" s="208">
        <f t="shared" si="73"/>
        <v>45.106171001865256</v>
      </c>
      <c r="BD54" s="208">
        <f t="shared" si="73"/>
        <v>45.106171001865256</v>
      </c>
      <c r="BE54" s="208">
        <f t="shared" si="73"/>
        <v>49.616788102051828</v>
      </c>
      <c r="BF54" s="208">
        <f t="shared" si="73"/>
        <v>49.616788102051828</v>
      </c>
      <c r="BG54" s="208">
        <f t="shared" si="73"/>
        <v>49.616788102051828</v>
      </c>
      <c r="BH54" s="208">
        <f t="shared" si="73"/>
        <v>49.616788102051828</v>
      </c>
      <c r="BI54" s="208">
        <f t="shared" si="73"/>
        <v>49.616788102051828</v>
      </c>
      <c r="BJ54" s="208">
        <f t="shared" si="73"/>
        <v>49.616788102051828</v>
      </c>
      <c r="BK54" s="208">
        <f t="shared" si="73"/>
        <v>49.616788102051828</v>
      </c>
      <c r="BL54" s="208">
        <f t="shared" si="73"/>
        <v>49.616788102051828</v>
      </c>
      <c r="BM54" s="208">
        <f t="shared" si="73"/>
        <v>49.616788102051828</v>
      </c>
      <c r="BN54" s="208">
        <f t="shared" si="73"/>
        <v>49.616788102051828</v>
      </c>
      <c r="BO54" s="208">
        <f t="shared" si="73"/>
        <v>49.616788102051828</v>
      </c>
      <c r="BP54" s="208">
        <f t="shared" si="73"/>
        <v>49.616788102051828</v>
      </c>
      <c r="BQ54" s="208">
        <f t="shared" si="73"/>
        <v>49.616788102051828</v>
      </c>
      <c r="BR54" s="208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8">
        <f t="shared" si="74"/>
        <v>49.616788102051828</v>
      </c>
      <c r="BT54" s="208">
        <f t="shared" si="74"/>
        <v>49.616788102051828</v>
      </c>
      <c r="BU54" s="208">
        <f t="shared" si="74"/>
        <v>49.616788102051828</v>
      </c>
      <c r="BV54" s="208">
        <f t="shared" si="74"/>
        <v>49.616788102051828</v>
      </c>
      <c r="BW54" s="208">
        <f t="shared" si="74"/>
        <v>49.616788102051828</v>
      </c>
      <c r="BX54" s="208">
        <f t="shared" si="74"/>
        <v>49.616788102051828</v>
      </c>
      <c r="BY54" s="208">
        <f t="shared" si="74"/>
        <v>80.20999999999998</v>
      </c>
      <c r="BZ54" s="208">
        <f t="shared" si="74"/>
        <v>80.20999999999998</v>
      </c>
      <c r="CA54" s="208">
        <f t="shared" si="74"/>
        <v>80.20999999999998</v>
      </c>
      <c r="CB54" s="208">
        <f t="shared" si="74"/>
        <v>80.20999999999998</v>
      </c>
      <c r="CC54" s="208">
        <f t="shared" si="74"/>
        <v>80.20999999999998</v>
      </c>
      <c r="CD54" s="208">
        <f t="shared" si="74"/>
        <v>80.20999999999998</v>
      </c>
      <c r="CE54" s="208">
        <f t="shared" si="74"/>
        <v>80.20999999999998</v>
      </c>
      <c r="CF54" s="208">
        <f t="shared" si="74"/>
        <v>80.20999999999998</v>
      </c>
      <c r="CG54" s="208">
        <f t="shared" si="74"/>
        <v>80.20999999999998</v>
      </c>
      <c r="CH54" s="208">
        <f t="shared" si="74"/>
        <v>80.20999999999998</v>
      </c>
      <c r="CI54" s="208">
        <f t="shared" si="74"/>
        <v>80.20999999999998</v>
      </c>
      <c r="CJ54" s="208">
        <f t="shared" si="74"/>
        <v>80.20999999999998</v>
      </c>
      <c r="CK54" s="208">
        <f t="shared" si="74"/>
        <v>80.20999999999998</v>
      </c>
      <c r="CL54" s="208">
        <f t="shared" si="74"/>
        <v>80.20999999999998</v>
      </c>
      <c r="CM54" s="208">
        <f t="shared" si="74"/>
        <v>80.20999999999998</v>
      </c>
      <c r="CN54" s="208">
        <f t="shared" si="74"/>
        <v>80.20999999999998</v>
      </c>
      <c r="CO54" s="208">
        <f t="shared" si="74"/>
        <v>80.20999999999998</v>
      </c>
      <c r="CP54" s="208">
        <f t="shared" si="74"/>
        <v>80.20999999999998</v>
      </c>
      <c r="CQ54" s="208">
        <f t="shared" si="74"/>
        <v>80.20999999999998</v>
      </c>
      <c r="CR54" s="208">
        <f t="shared" si="74"/>
        <v>80.20999999999998</v>
      </c>
      <c r="CS54" s="208">
        <f t="shared" si="74"/>
        <v>80.20999999999998</v>
      </c>
      <c r="CT54" s="208">
        <f t="shared" si="74"/>
        <v>80.20999999999998</v>
      </c>
      <c r="CU54" s="208">
        <f t="shared" si="74"/>
        <v>80.20999999999998</v>
      </c>
      <c r="CV54" s="208">
        <f t="shared" si="74"/>
        <v>80.20999999999998</v>
      </c>
      <c r="CW54" s="208">
        <f t="shared" si="74"/>
        <v>80.20999999999998</v>
      </c>
      <c r="CX54" s="208">
        <f t="shared" si="74"/>
        <v>80.20999999999998</v>
      </c>
      <c r="CY54" s="208">
        <f t="shared" si="74"/>
        <v>80.20999999999998</v>
      </c>
      <c r="CZ54" s="208">
        <f t="shared" si="74"/>
        <v>80.20999999999998</v>
      </c>
      <c r="DA54" s="208">
        <f t="shared" si="74"/>
        <v>80.20999999999998</v>
      </c>
    </row>
    <row r="55" spans="1:105">
      <c r="A55" s="199" t="str">
        <f>Income!A88</f>
        <v>TOTAL</v>
      </c>
    </row>
    <row r="56" spans="1:105">
      <c r="A56" s="199" t="str">
        <f>Income!A89</f>
        <v>Food Poverty line</v>
      </c>
    </row>
    <row r="57" spans="1:105">
      <c r="A57" s="199" t="str">
        <f>Income!A90</f>
        <v>Lower Bound Poverty line</v>
      </c>
    </row>
    <row r="59" spans="1:105" s="202" customFormat="1">
      <c r="A59" s="202" t="str">
        <f>Income!A72</f>
        <v>Own crops Consumed</v>
      </c>
      <c r="F59" s="202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2">
        <f t="shared" si="75"/>
        <v>0</v>
      </c>
      <c r="H59" s="202">
        <f t="shared" si="75"/>
        <v>0</v>
      </c>
      <c r="I59" s="202">
        <f t="shared" si="75"/>
        <v>0</v>
      </c>
      <c r="J59" s="202">
        <f t="shared" si="75"/>
        <v>0</v>
      </c>
      <c r="K59" s="202">
        <f t="shared" si="75"/>
        <v>0</v>
      </c>
      <c r="L59" s="202">
        <f t="shared" si="75"/>
        <v>0</v>
      </c>
      <c r="M59" s="202">
        <f t="shared" si="75"/>
        <v>0</v>
      </c>
      <c r="N59" s="202">
        <f t="shared" si="75"/>
        <v>0</v>
      </c>
      <c r="O59" s="202">
        <f t="shared" si="75"/>
        <v>0</v>
      </c>
      <c r="P59" s="202">
        <f t="shared" si="75"/>
        <v>0</v>
      </c>
      <c r="Q59" s="202">
        <f t="shared" si="75"/>
        <v>0</v>
      </c>
      <c r="R59" s="202">
        <f t="shared" si="75"/>
        <v>0</v>
      </c>
      <c r="S59" s="202">
        <f t="shared" si="75"/>
        <v>0</v>
      </c>
      <c r="T59" s="202">
        <f t="shared" si="75"/>
        <v>0</v>
      </c>
      <c r="U59" s="202">
        <f t="shared" si="75"/>
        <v>0</v>
      </c>
      <c r="V59" s="202">
        <f t="shared" si="75"/>
        <v>0</v>
      </c>
      <c r="W59" s="202">
        <f t="shared" si="75"/>
        <v>0</v>
      </c>
      <c r="X59" s="202">
        <f t="shared" si="75"/>
        <v>0</v>
      </c>
      <c r="Y59" s="202">
        <f t="shared" si="75"/>
        <v>0</v>
      </c>
      <c r="Z59" s="202">
        <f t="shared" si="75"/>
        <v>0</v>
      </c>
      <c r="AA59" s="202">
        <f t="shared" si="75"/>
        <v>0</v>
      </c>
      <c r="AB59" s="202">
        <f t="shared" si="75"/>
        <v>0</v>
      </c>
      <c r="AC59" s="202">
        <f t="shared" si="75"/>
        <v>0</v>
      </c>
      <c r="AD59" s="202">
        <f t="shared" si="75"/>
        <v>0</v>
      </c>
      <c r="AE59" s="202">
        <f t="shared" si="75"/>
        <v>0</v>
      </c>
      <c r="AF59" s="202">
        <f t="shared" si="75"/>
        <v>0</v>
      </c>
      <c r="AG59" s="202">
        <f t="shared" si="75"/>
        <v>0</v>
      </c>
      <c r="AH59" s="202">
        <f t="shared" si="75"/>
        <v>0</v>
      </c>
      <c r="AI59" s="202">
        <f t="shared" si="75"/>
        <v>0</v>
      </c>
      <c r="AJ59" s="202">
        <f t="shared" si="75"/>
        <v>0</v>
      </c>
      <c r="AK59" s="202">
        <f t="shared" si="75"/>
        <v>0</v>
      </c>
      <c r="AL59" s="202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2">
        <f t="shared" si="76"/>
        <v>0</v>
      </c>
      <c r="AN59" s="202">
        <f t="shared" si="76"/>
        <v>0</v>
      </c>
      <c r="AO59" s="202">
        <f t="shared" si="76"/>
        <v>0</v>
      </c>
      <c r="AP59" s="202">
        <f t="shared" si="76"/>
        <v>0</v>
      </c>
      <c r="AQ59" s="202">
        <f t="shared" si="76"/>
        <v>0</v>
      </c>
      <c r="AR59" s="202">
        <f t="shared" si="76"/>
        <v>0</v>
      </c>
      <c r="AS59" s="202">
        <f t="shared" si="76"/>
        <v>0</v>
      </c>
      <c r="AT59" s="202">
        <f t="shared" si="76"/>
        <v>0</v>
      </c>
      <c r="AU59" s="202">
        <f t="shared" si="76"/>
        <v>0</v>
      </c>
      <c r="AV59" s="202">
        <f t="shared" si="76"/>
        <v>0</v>
      </c>
      <c r="AW59" s="202">
        <f t="shared" si="76"/>
        <v>0</v>
      </c>
      <c r="AX59" s="202">
        <f t="shared" si="76"/>
        <v>0</v>
      </c>
      <c r="AY59" s="202">
        <f t="shared" si="76"/>
        <v>0</v>
      </c>
      <c r="AZ59" s="202">
        <f t="shared" si="76"/>
        <v>0</v>
      </c>
      <c r="BA59" s="202">
        <f t="shared" si="76"/>
        <v>0</v>
      </c>
      <c r="BB59" s="202">
        <f t="shared" si="76"/>
        <v>0</v>
      </c>
      <c r="BC59" s="202">
        <f t="shared" si="76"/>
        <v>0</v>
      </c>
      <c r="BD59" s="202">
        <f t="shared" si="76"/>
        <v>0</v>
      </c>
      <c r="BE59" s="202">
        <f t="shared" si="76"/>
        <v>0</v>
      </c>
      <c r="BF59" s="202">
        <f t="shared" si="76"/>
        <v>0</v>
      </c>
      <c r="BG59" s="202">
        <f t="shared" si="76"/>
        <v>0</v>
      </c>
      <c r="BH59" s="202">
        <f t="shared" si="76"/>
        <v>0</v>
      </c>
      <c r="BI59" s="202">
        <f t="shared" si="76"/>
        <v>0</v>
      </c>
      <c r="BJ59" s="202">
        <f t="shared" si="76"/>
        <v>0</v>
      </c>
      <c r="BK59" s="202">
        <f t="shared" si="76"/>
        <v>0</v>
      </c>
      <c r="BL59" s="202">
        <f t="shared" si="76"/>
        <v>0</v>
      </c>
      <c r="BM59" s="202">
        <f t="shared" si="76"/>
        <v>0</v>
      </c>
      <c r="BN59" s="202">
        <f t="shared" si="76"/>
        <v>0</v>
      </c>
      <c r="BO59" s="202">
        <f t="shared" si="76"/>
        <v>0</v>
      </c>
      <c r="BP59" s="202">
        <f t="shared" si="76"/>
        <v>0</v>
      </c>
      <c r="BQ59" s="202">
        <f t="shared" si="76"/>
        <v>0</v>
      </c>
      <c r="BR59" s="202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2">
        <f t="shared" si="77"/>
        <v>0</v>
      </c>
      <c r="BT59" s="202">
        <f t="shared" si="77"/>
        <v>0</v>
      </c>
      <c r="BU59" s="202">
        <f t="shared" si="77"/>
        <v>0</v>
      </c>
      <c r="BV59" s="202">
        <f t="shared" si="77"/>
        <v>0</v>
      </c>
      <c r="BW59" s="202">
        <f t="shared" si="77"/>
        <v>0</v>
      </c>
      <c r="BX59" s="202">
        <f t="shared" si="77"/>
        <v>0</v>
      </c>
      <c r="BY59" s="202">
        <f t="shared" si="77"/>
        <v>33.734000000000037</v>
      </c>
      <c r="BZ59" s="202">
        <f t="shared" si="77"/>
        <v>67.468000000000075</v>
      </c>
      <c r="CA59" s="202">
        <f t="shared" si="77"/>
        <v>101.20200000000011</v>
      </c>
      <c r="CB59" s="202">
        <f t="shared" si="77"/>
        <v>134.93600000000015</v>
      </c>
      <c r="CC59" s="202">
        <f t="shared" si="77"/>
        <v>168.67000000000019</v>
      </c>
      <c r="CD59" s="202">
        <f t="shared" si="77"/>
        <v>202.40400000000022</v>
      </c>
      <c r="CE59" s="202">
        <f t="shared" si="77"/>
        <v>236.13800000000026</v>
      </c>
      <c r="CF59" s="202">
        <f t="shared" si="77"/>
        <v>269.8720000000003</v>
      </c>
      <c r="CG59" s="202">
        <f t="shared" si="77"/>
        <v>303.60600000000034</v>
      </c>
      <c r="CH59" s="202">
        <f t="shared" si="77"/>
        <v>337.34000000000037</v>
      </c>
      <c r="CI59" s="202">
        <f t="shared" si="77"/>
        <v>371.07400000000041</v>
      </c>
      <c r="CJ59" s="202">
        <f t="shared" si="77"/>
        <v>404.80800000000045</v>
      </c>
      <c r="CK59" s="202">
        <f t="shared" si="77"/>
        <v>438.54200000000048</v>
      </c>
      <c r="CL59" s="202">
        <f t="shared" si="77"/>
        <v>472.27600000000052</v>
      </c>
      <c r="CM59" s="202">
        <f t="shared" si="77"/>
        <v>506.01000000000056</v>
      </c>
      <c r="CN59" s="202">
        <f t="shared" si="77"/>
        <v>539.7440000000006</v>
      </c>
      <c r="CO59" s="202">
        <f t="shared" si="77"/>
        <v>573.47800000000063</v>
      </c>
      <c r="CP59" s="202">
        <f t="shared" si="77"/>
        <v>607.21200000000067</v>
      </c>
      <c r="CQ59" s="202">
        <f t="shared" si="77"/>
        <v>640.94600000000071</v>
      </c>
      <c r="CR59" s="202">
        <f t="shared" si="77"/>
        <v>674.68000000000075</v>
      </c>
      <c r="CS59" s="202">
        <f t="shared" si="77"/>
        <v>708.41400000000078</v>
      </c>
      <c r="CT59" s="202">
        <f t="shared" si="77"/>
        <v>742.14800000000082</v>
      </c>
      <c r="CU59" s="202">
        <f t="shared" si="77"/>
        <v>775.88200000000086</v>
      </c>
      <c r="CV59" s="202">
        <f t="shared" si="77"/>
        <v>809.61600000000089</v>
      </c>
      <c r="CW59" s="202">
        <f t="shared" si="77"/>
        <v>843.35000000000093</v>
      </c>
      <c r="CX59" s="202">
        <f t="shared" si="77"/>
        <v>877.08400000000097</v>
      </c>
      <c r="CY59" s="202">
        <f t="shared" si="77"/>
        <v>910.81800000000101</v>
      </c>
      <c r="CZ59" s="202">
        <f t="shared" si="77"/>
        <v>944.55200000000104</v>
      </c>
      <c r="DA59" s="202">
        <f t="shared" si="77"/>
        <v>978.28600000000108</v>
      </c>
    </row>
    <row r="60" spans="1:105" s="202" customFormat="1">
      <c r="A60" s="202" t="str">
        <f>Income!A73</f>
        <v>Own crops sold</v>
      </c>
      <c r="F60" s="202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2">
        <f t="shared" si="78"/>
        <v>0</v>
      </c>
      <c r="H60" s="202">
        <f t="shared" si="78"/>
        <v>0</v>
      </c>
      <c r="I60" s="202">
        <f t="shared" si="78"/>
        <v>0</v>
      </c>
      <c r="J60" s="202">
        <f t="shared" si="78"/>
        <v>0</v>
      </c>
      <c r="K60" s="202">
        <f t="shared" si="78"/>
        <v>0</v>
      </c>
      <c r="L60" s="202">
        <f t="shared" si="78"/>
        <v>0</v>
      </c>
      <c r="M60" s="202">
        <f t="shared" si="78"/>
        <v>0</v>
      </c>
      <c r="N60" s="202">
        <f t="shared" si="78"/>
        <v>0</v>
      </c>
      <c r="O60" s="202">
        <f t="shared" si="78"/>
        <v>0</v>
      </c>
      <c r="P60" s="202">
        <f t="shared" si="78"/>
        <v>0</v>
      </c>
      <c r="Q60" s="202">
        <f t="shared" si="78"/>
        <v>0</v>
      </c>
      <c r="R60" s="202">
        <f t="shared" si="78"/>
        <v>0</v>
      </c>
      <c r="S60" s="202">
        <f t="shared" si="78"/>
        <v>0</v>
      </c>
      <c r="T60" s="202">
        <f t="shared" si="78"/>
        <v>0</v>
      </c>
      <c r="U60" s="202">
        <f t="shared" si="78"/>
        <v>0</v>
      </c>
      <c r="V60" s="202">
        <f t="shared" si="78"/>
        <v>0</v>
      </c>
      <c r="W60" s="202">
        <f t="shared" si="78"/>
        <v>0</v>
      </c>
      <c r="X60" s="202">
        <f t="shared" si="78"/>
        <v>0</v>
      </c>
      <c r="Y60" s="202">
        <f t="shared" si="78"/>
        <v>0</v>
      </c>
      <c r="Z60" s="202">
        <f t="shared" si="78"/>
        <v>0</v>
      </c>
      <c r="AA60" s="202">
        <f t="shared" si="78"/>
        <v>0</v>
      </c>
      <c r="AB60" s="202">
        <f t="shared" si="78"/>
        <v>0</v>
      </c>
      <c r="AC60" s="202">
        <f t="shared" si="78"/>
        <v>0</v>
      </c>
      <c r="AD60" s="202">
        <f t="shared" si="78"/>
        <v>0</v>
      </c>
      <c r="AE60" s="202">
        <f t="shared" si="78"/>
        <v>0</v>
      </c>
      <c r="AF60" s="202">
        <f t="shared" si="78"/>
        <v>0</v>
      </c>
      <c r="AG60" s="202">
        <f t="shared" si="78"/>
        <v>0</v>
      </c>
      <c r="AH60" s="202">
        <f t="shared" si="78"/>
        <v>0</v>
      </c>
      <c r="AI60" s="202">
        <f t="shared" si="78"/>
        <v>0</v>
      </c>
      <c r="AJ60" s="202">
        <f t="shared" si="78"/>
        <v>0</v>
      </c>
      <c r="AK60" s="202">
        <f t="shared" si="78"/>
        <v>0</v>
      </c>
      <c r="AL60" s="202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2">
        <f t="shared" si="79"/>
        <v>0</v>
      </c>
      <c r="AN60" s="202">
        <f t="shared" si="79"/>
        <v>0</v>
      </c>
      <c r="AO60" s="202">
        <f t="shared" si="79"/>
        <v>0</v>
      </c>
      <c r="AP60" s="202">
        <f t="shared" si="79"/>
        <v>0</v>
      </c>
      <c r="AQ60" s="202">
        <f t="shared" si="79"/>
        <v>0</v>
      </c>
      <c r="AR60" s="202">
        <f t="shared" si="79"/>
        <v>0</v>
      </c>
      <c r="AS60" s="202">
        <f t="shared" si="79"/>
        <v>0</v>
      </c>
      <c r="AT60" s="202">
        <f t="shared" si="79"/>
        <v>0</v>
      </c>
      <c r="AU60" s="202">
        <f t="shared" si="79"/>
        <v>0</v>
      </c>
      <c r="AV60" s="202">
        <f t="shared" si="79"/>
        <v>0</v>
      </c>
      <c r="AW60" s="202">
        <f t="shared" si="79"/>
        <v>0</v>
      </c>
      <c r="AX60" s="202">
        <f t="shared" si="79"/>
        <v>0</v>
      </c>
      <c r="AY60" s="202">
        <f t="shared" si="79"/>
        <v>0</v>
      </c>
      <c r="AZ60" s="202">
        <f t="shared" si="79"/>
        <v>0</v>
      </c>
      <c r="BA60" s="202">
        <f t="shared" si="79"/>
        <v>0</v>
      </c>
      <c r="BB60" s="202">
        <f t="shared" si="79"/>
        <v>0</v>
      </c>
      <c r="BC60" s="202">
        <f t="shared" si="79"/>
        <v>0</v>
      </c>
      <c r="BD60" s="202">
        <f t="shared" si="79"/>
        <v>0</v>
      </c>
      <c r="BE60" s="202">
        <f t="shared" si="79"/>
        <v>0</v>
      </c>
      <c r="BF60" s="202">
        <f t="shared" si="79"/>
        <v>0</v>
      </c>
      <c r="BG60" s="202">
        <f t="shared" si="79"/>
        <v>0</v>
      </c>
      <c r="BH60" s="202">
        <f t="shared" si="79"/>
        <v>0</v>
      </c>
      <c r="BI60" s="202">
        <f t="shared" si="79"/>
        <v>0</v>
      </c>
      <c r="BJ60" s="202">
        <f t="shared" si="79"/>
        <v>0</v>
      </c>
      <c r="BK60" s="202">
        <f t="shared" si="79"/>
        <v>0</v>
      </c>
      <c r="BL60" s="202">
        <f t="shared" si="79"/>
        <v>0</v>
      </c>
      <c r="BM60" s="202">
        <f t="shared" si="79"/>
        <v>0</v>
      </c>
      <c r="BN60" s="202">
        <f t="shared" si="79"/>
        <v>0</v>
      </c>
      <c r="BO60" s="202">
        <f t="shared" si="79"/>
        <v>0</v>
      </c>
      <c r="BP60" s="202">
        <f t="shared" si="79"/>
        <v>0</v>
      </c>
      <c r="BQ60" s="202">
        <f t="shared" si="79"/>
        <v>0</v>
      </c>
      <c r="BR60" s="202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2">
        <f t="shared" si="80"/>
        <v>0</v>
      </c>
      <c r="BT60" s="202">
        <f t="shared" si="80"/>
        <v>0</v>
      </c>
      <c r="BU60" s="202">
        <f t="shared" si="80"/>
        <v>0</v>
      </c>
      <c r="BV60" s="202">
        <f t="shared" si="80"/>
        <v>0</v>
      </c>
      <c r="BW60" s="202">
        <f t="shared" si="80"/>
        <v>0</v>
      </c>
      <c r="BX60" s="202">
        <f t="shared" si="80"/>
        <v>0</v>
      </c>
      <c r="BY60" s="202">
        <f t="shared" si="80"/>
        <v>288.09999999999991</v>
      </c>
      <c r="BZ60" s="202">
        <f t="shared" si="80"/>
        <v>576.19999999999982</v>
      </c>
      <c r="CA60" s="202">
        <f t="shared" si="80"/>
        <v>864.29999999999973</v>
      </c>
      <c r="CB60" s="202">
        <f t="shared" si="80"/>
        <v>1152.3999999999996</v>
      </c>
      <c r="CC60" s="202">
        <f t="shared" si="80"/>
        <v>1440.4999999999995</v>
      </c>
      <c r="CD60" s="202">
        <f t="shared" si="80"/>
        <v>1728.5999999999995</v>
      </c>
      <c r="CE60" s="202">
        <f t="shared" si="80"/>
        <v>2016.6999999999994</v>
      </c>
      <c r="CF60" s="202">
        <f t="shared" si="80"/>
        <v>2304.7999999999993</v>
      </c>
      <c r="CG60" s="202">
        <f t="shared" si="80"/>
        <v>2592.8999999999992</v>
      </c>
      <c r="CH60" s="202">
        <f t="shared" si="80"/>
        <v>2880.9999999999991</v>
      </c>
      <c r="CI60" s="202">
        <f t="shared" si="80"/>
        <v>3169.099999999999</v>
      </c>
      <c r="CJ60" s="202">
        <f t="shared" si="80"/>
        <v>3457.1999999999989</v>
      </c>
      <c r="CK60" s="202">
        <f t="shared" si="80"/>
        <v>3745.2999999999988</v>
      </c>
      <c r="CL60" s="202">
        <f t="shared" si="80"/>
        <v>4033.3999999999987</v>
      </c>
      <c r="CM60" s="202">
        <f t="shared" si="80"/>
        <v>4321.4999999999982</v>
      </c>
      <c r="CN60" s="202">
        <f t="shared" si="80"/>
        <v>4609.5999999999985</v>
      </c>
      <c r="CO60" s="202">
        <f t="shared" si="80"/>
        <v>4897.6999999999989</v>
      </c>
      <c r="CP60" s="202">
        <f t="shared" si="80"/>
        <v>5185.7999999999984</v>
      </c>
      <c r="CQ60" s="202">
        <f t="shared" si="80"/>
        <v>5473.8999999999978</v>
      </c>
      <c r="CR60" s="202">
        <f t="shared" si="80"/>
        <v>5761.9999999999982</v>
      </c>
      <c r="CS60" s="202">
        <f t="shared" si="80"/>
        <v>6050.0999999999985</v>
      </c>
      <c r="CT60" s="202">
        <f t="shared" si="80"/>
        <v>6338.199999999998</v>
      </c>
      <c r="CU60" s="202">
        <f t="shared" si="80"/>
        <v>6626.2999999999975</v>
      </c>
      <c r="CV60" s="202">
        <f t="shared" si="80"/>
        <v>6914.3999999999978</v>
      </c>
      <c r="CW60" s="202">
        <f t="shared" si="80"/>
        <v>7202.4999999999982</v>
      </c>
      <c r="CX60" s="202">
        <f t="shared" si="80"/>
        <v>7490.5999999999976</v>
      </c>
      <c r="CY60" s="202">
        <f t="shared" si="80"/>
        <v>7778.6999999999971</v>
      </c>
      <c r="CZ60" s="202">
        <f t="shared" si="80"/>
        <v>8066.7999999999975</v>
      </c>
      <c r="DA60" s="202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2" customFormat="1">
      <c r="A61" s="202" t="str">
        <f>Income!A74</f>
        <v>Animal products consumed</v>
      </c>
      <c r="F61" s="202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2">
        <f t="shared" si="81"/>
        <v>0</v>
      </c>
      <c r="H61" s="202">
        <f t="shared" si="81"/>
        <v>0</v>
      </c>
      <c r="I61" s="202">
        <f t="shared" si="81"/>
        <v>0</v>
      </c>
      <c r="J61" s="202">
        <f t="shared" si="81"/>
        <v>0</v>
      </c>
      <c r="K61" s="202">
        <f t="shared" si="81"/>
        <v>0</v>
      </c>
      <c r="L61" s="202">
        <f t="shared" si="81"/>
        <v>0</v>
      </c>
      <c r="M61" s="202">
        <f t="shared" si="81"/>
        <v>0</v>
      </c>
      <c r="N61" s="202">
        <f t="shared" si="81"/>
        <v>0</v>
      </c>
      <c r="O61" s="202">
        <f t="shared" si="81"/>
        <v>0</v>
      </c>
      <c r="P61" s="202">
        <f t="shared" si="81"/>
        <v>0</v>
      </c>
      <c r="Q61" s="202">
        <f t="shared" si="81"/>
        <v>0</v>
      </c>
      <c r="R61" s="202">
        <f t="shared" si="81"/>
        <v>0</v>
      </c>
      <c r="S61" s="202">
        <f t="shared" si="81"/>
        <v>0</v>
      </c>
      <c r="T61" s="202">
        <f t="shared" si="81"/>
        <v>0</v>
      </c>
      <c r="U61" s="202">
        <f t="shared" si="81"/>
        <v>0</v>
      </c>
      <c r="V61" s="202">
        <f t="shared" si="81"/>
        <v>0</v>
      </c>
      <c r="W61" s="202">
        <f t="shared" si="81"/>
        <v>0</v>
      </c>
      <c r="X61" s="202">
        <f t="shared" si="81"/>
        <v>0</v>
      </c>
      <c r="Y61" s="202">
        <f t="shared" si="81"/>
        <v>0</v>
      </c>
      <c r="Z61" s="202">
        <f t="shared" si="81"/>
        <v>0</v>
      </c>
      <c r="AA61" s="202">
        <f t="shared" si="81"/>
        <v>0</v>
      </c>
      <c r="AB61" s="202">
        <f t="shared" si="81"/>
        <v>0</v>
      </c>
      <c r="AC61" s="202">
        <f t="shared" si="81"/>
        <v>0</v>
      </c>
      <c r="AD61" s="202">
        <f t="shared" si="81"/>
        <v>0</v>
      </c>
      <c r="AE61" s="202">
        <f t="shared" si="81"/>
        <v>0</v>
      </c>
      <c r="AF61" s="202">
        <f t="shared" si="81"/>
        <v>0</v>
      </c>
      <c r="AG61" s="202">
        <f t="shared" si="81"/>
        <v>0</v>
      </c>
      <c r="AH61" s="202">
        <f t="shared" si="81"/>
        <v>0</v>
      </c>
      <c r="AI61" s="202">
        <f t="shared" si="81"/>
        <v>0</v>
      </c>
      <c r="AJ61" s="202">
        <f t="shared" si="81"/>
        <v>0</v>
      </c>
      <c r="AK61" s="202">
        <f t="shared" si="81"/>
        <v>0</v>
      </c>
      <c r="AL61" s="202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2">
        <f t="shared" si="82"/>
        <v>0</v>
      </c>
      <c r="AN61" s="202">
        <f t="shared" si="82"/>
        <v>0</v>
      </c>
      <c r="AO61" s="202">
        <f t="shared" si="82"/>
        <v>0</v>
      </c>
      <c r="AP61" s="202">
        <f t="shared" si="82"/>
        <v>0</v>
      </c>
      <c r="AQ61" s="202">
        <f t="shared" si="82"/>
        <v>0</v>
      </c>
      <c r="AR61" s="202">
        <f t="shared" si="82"/>
        <v>0</v>
      </c>
      <c r="AS61" s="202">
        <f t="shared" si="82"/>
        <v>0</v>
      </c>
      <c r="AT61" s="202">
        <f t="shared" si="82"/>
        <v>0</v>
      </c>
      <c r="AU61" s="202">
        <f t="shared" si="82"/>
        <v>0</v>
      </c>
      <c r="AV61" s="202">
        <f t="shared" si="82"/>
        <v>0</v>
      </c>
      <c r="AW61" s="202">
        <f t="shared" si="82"/>
        <v>0</v>
      </c>
      <c r="AX61" s="202">
        <f t="shared" si="82"/>
        <v>0</v>
      </c>
      <c r="AY61" s="202">
        <f t="shared" si="82"/>
        <v>0</v>
      </c>
      <c r="AZ61" s="202">
        <f t="shared" si="82"/>
        <v>0</v>
      </c>
      <c r="BA61" s="202">
        <f t="shared" si="82"/>
        <v>0</v>
      </c>
      <c r="BB61" s="202">
        <f t="shared" si="82"/>
        <v>0</v>
      </c>
      <c r="BC61" s="202">
        <f t="shared" si="82"/>
        <v>0</v>
      </c>
      <c r="BD61" s="202">
        <f t="shared" si="82"/>
        <v>0</v>
      </c>
      <c r="BE61" s="202">
        <f t="shared" si="82"/>
        <v>0</v>
      </c>
      <c r="BF61" s="202">
        <f t="shared" si="82"/>
        <v>0</v>
      </c>
      <c r="BG61" s="202">
        <f t="shared" si="82"/>
        <v>0</v>
      </c>
      <c r="BH61" s="202">
        <f t="shared" si="82"/>
        <v>0</v>
      </c>
      <c r="BI61" s="202">
        <f t="shared" si="82"/>
        <v>0</v>
      </c>
      <c r="BJ61" s="202">
        <f t="shared" si="82"/>
        <v>0</v>
      </c>
      <c r="BK61" s="202">
        <f t="shared" si="82"/>
        <v>0</v>
      </c>
      <c r="BL61" s="202">
        <f t="shared" si="82"/>
        <v>0</v>
      </c>
      <c r="BM61" s="202">
        <f t="shared" si="82"/>
        <v>0</v>
      </c>
      <c r="BN61" s="202">
        <f t="shared" si="82"/>
        <v>0</v>
      </c>
      <c r="BO61" s="202">
        <f t="shared" si="82"/>
        <v>0</v>
      </c>
      <c r="BP61" s="202">
        <f t="shared" si="82"/>
        <v>0</v>
      </c>
      <c r="BQ61" s="202">
        <f t="shared" si="82"/>
        <v>0</v>
      </c>
      <c r="BR61" s="202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2">
        <f t="shared" si="83"/>
        <v>0</v>
      </c>
      <c r="BT61" s="202">
        <f t="shared" si="83"/>
        <v>0</v>
      </c>
      <c r="BU61" s="202">
        <f t="shared" si="83"/>
        <v>0</v>
      </c>
      <c r="BV61" s="202">
        <f t="shared" si="83"/>
        <v>0</v>
      </c>
      <c r="BW61" s="202">
        <f t="shared" si="83"/>
        <v>0</v>
      </c>
      <c r="BX61" s="202">
        <f t="shared" si="83"/>
        <v>0</v>
      </c>
      <c r="BY61" s="202">
        <f t="shared" si="83"/>
        <v>11.675000000000001</v>
      </c>
      <c r="BZ61" s="202">
        <f t="shared" si="83"/>
        <v>23.35</v>
      </c>
      <c r="CA61" s="202">
        <f t="shared" si="83"/>
        <v>35.025000000000006</v>
      </c>
      <c r="CB61" s="202">
        <f t="shared" si="83"/>
        <v>46.7</v>
      </c>
      <c r="CC61" s="202">
        <f t="shared" si="83"/>
        <v>58.375</v>
      </c>
      <c r="CD61" s="202">
        <f t="shared" si="83"/>
        <v>70.050000000000011</v>
      </c>
      <c r="CE61" s="202">
        <f t="shared" si="83"/>
        <v>81.725000000000009</v>
      </c>
      <c r="CF61" s="202">
        <f t="shared" si="83"/>
        <v>93.4</v>
      </c>
      <c r="CG61" s="202">
        <f t="shared" si="83"/>
        <v>105.075</v>
      </c>
      <c r="CH61" s="202">
        <f t="shared" si="83"/>
        <v>116.75</v>
      </c>
      <c r="CI61" s="202">
        <f t="shared" si="83"/>
        <v>128.42500000000001</v>
      </c>
      <c r="CJ61" s="202">
        <f t="shared" si="83"/>
        <v>140.10000000000002</v>
      </c>
      <c r="CK61" s="202">
        <f t="shared" si="83"/>
        <v>151.77500000000001</v>
      </c>
      <c r="CL61" s="202">
        <f t="shared" si="83"/>
        <v>163.45000000000002</v>
      </c>
      <c r="CM61" s="202">
        <f t="shared" si="83"/>
        <v>175.125</v>
      </c>
      <c r="CN61" s="202">
        <f t="shared" si="83"/>
        <v>186.8</v>
      </c>
      <c r="CO61" s="202">
        <f t="shared" si="83"/>
        <v>198.47500000000002</v>
      </c>
      <c r="CP61" s="202">
        <f t="shared" si="83"/>
        <v>210.15</v>
      </c>
      <c r="CQ61" s="202">
        <f t="shared" si="83"/>
        <v>221.82500000000002</v>
      </c>
      <c r="CR61" s="202">
        <f t="shared" si="83"/>
        <v>233.5</v>
      </c>
      <c r="CS61" s="202">
        <f t="shared" si="83"/>
        <v>245.17500000000001</v>
      </c>
      <c r="CT61" s="202">
        <f t="shared" si="83"/>
        <v>256.85000000000002</v>
      </c>
      <c r="CU61" s="202">
        <f t="shared" si="83"/>
        <v>268.52500000000003</v>
      </c>
      <c r="CV61" s="202">
        <f t="shared" si="83"/>
        <v>280.20000000000005</v>
      </c>
      <c r="CW61" s="202">
        <f t="shared" si="83"/>
        <v>291.875</v>
      </c>
      <c r="CX61" s="202">
        <f t="shared" si="83"/>
        <v>303.55</v>
      </c>
      <c r="CY61" s="202">
        <f t="shared" si="83"/>
        <v>315.22500000000002</v>
      </c>
      <c r="CZ61" s="202">
        <f t="shared" si="83"/>
        <v>326.90000000000003</v>
      </c>
      <c r="DA61" s="202">
        <f t="shared" si="83"/>
        <v>338.57500000000005</v>
      </c>
    </row>
    <row r="62" spans="1:105" s="202" customFormat="1">
      <c r="A62" s="202" t="str">
        <f>Income!A75</f>
        <v>Animal products sold</v>
      </c>
      <c r="F62" s="202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2">
        <f t="shared" si="84"/>
        <v>0</v>
      </c>
      <c r="H62" s="202">
        <f t="shared" si="84"/>
        <v>0</v>
      </c>
      <c r="I62" s="202">
        <f t="shared" si="84"/>
        <v>0</v>
      </c>
      <c r="J62" s="202">
        <f t="shared" si="84"/>
        <v>0</v>
      </c>
      <c r="K62" s="202">
        <f t="shared" si="84"/>
        <v>0</v>
      </c>
      <c r="L62" s="202">
        <f t="shared" si="84"/>
        <v>0</v>
      </c>
      <c r="M62" s="202">
        <f t="shared" si="84"/>
        <v>0</v>
      </c>
      <c r="N62" s="202">
        <f t="shared" si="84"/>
        <v>0</v>
      </c>
      <c r="O62" s="202">
        <f t="shared" si="84"/>
        <v>0</v>
      </c>
      <c r="P62" s="202">
        <f t="shared" si="84"/>
        <v>0</v>
      </c>
      <c r="Q62" s="202">
        <f t="shared" si="84"/>
        <v>0</v>
      </c>
      <c r="R62" s="202">
        <f t="shared" si="84"/>
        <v>0</v>
      </c>
      <c r="S62" s="202">
        <f t="shared" si="84"/>
        <v>0</v>
      </c>
      <c r="T62" s="202">
        <f t="shared" si="84"/>
        <v>0</v>
      </c>
      <c r="U62" s="202">
        <f t="shared" si="84"/>
        <v>0</v>
      </c>
      <c r="V62" s="202">
        <f t="shared" si="84"/>
        <v>0</v>
      </c>
      <c r="W62" s="202">
        <f t="shared" si="84"/>
        <v>0</v>
      </c>
      <c r="X62" s="202">
        <f t="shared" si="84"/>
        <v>0</v>
      </c>
      <c r="Y62" s="202">
        <f t="shared" si="84"/>
        <v>0</v>
      </c>
      <c r="Z62" s="202">
        <f t="shared" si="84"/>
        <v>0</v>
      </c>
      <c r="AA62" s="202">
        <f t="shared" si="84"/>
        <v>0</v>
      </c>
      <c r="AB62" s="202">
        <f t="shared" si="84"/>
        <v>0</v>
      </c>
      <c r="AC62" s="202">
        <f t="shared" si="84"/>
        <v>0</v>
      </c>
      <c r="AD62" s="202">
        <f t="shared" si="84"/>
        <v>0</v>
      </c>
      <c r="AE62" s="202">
        <f t="shared" si="84"/>
        <v>0</v>
      </c>
      <c r="AF62" s="202">
        <f t="shared" si="84"/>
        <v>0</v>
      </c>
      <c r="AG62" s="202">
        <f t="shared" si="84"/>
        <v>0</v>
      </c>
      <c r="AH62" s="202">
        <f t="shared" si="84"/>
        <v>0</v>
      </c>
      <c r="AI62" s="202">
        <f t="shared" si="84"/>
        <v>0</v>
      </c>
      <c r="AJ62" s="202">
        <f t="shared" si="84"/>
        <v>0</v>
      </c>
      <c r="AK62" s="202">
        <f t="shared" si="84"/>
        <v>0</v>
      </c>
      <c r="AL62" s="202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2">
        <f t="shared" si="85"/>
        <v>0</v>
      </c>
      <c r="AN62" s="202">
        <f t="shared" si="85"/>
        <v>0</v>
      </c>
      <c r="AO62" s="202">
        <f t="shared" si="85"/>
        <v>0</v>
      </c>
      <c r="AP62" s="202">
        <f t="shared" si="85"/>
        <v>0</v>
      </c>
      <c r="AQ62" s="202">
        <f t="shared" si="85"/>
        <v>0</v>
      </c>
      <c r="AR62" s="202">
        <f t="shared" si="85"/>
        <v>0</v>
      </c>
      <c r="AS62" s="202">
        <f t="shared" si="85"/>
        <v>0</v>
      </c>
      <c r="AT62" s="202">
        <f t="shared" si="85"/>
        <v>0</v>
      </c>
      <c r="AU62" s="202">
        <f t="shared" si="85"/>
        <v>0</v>
      </c>
      <c r="AV62" s="202">
        <f t="shared" si="85"/>
        <v>0</v>
      </c>
      <c r="AW62" s="202">
        <f t="shared" si="85"/>
        <v>0</v>
      </c>
      <c r="AX62" s="202">
        <f t="shared" si="85"/>
        <v>0</v>
      </c>
      <c r="AY62" s="202">
        <f t="shared" si="85"/>
        <v>0</v>
      </c>
      <c r="AZ62" s="202">
        <f t="shared" si="85"/>
        <v>0</v>
      </c>
      <c r="BA62" s="202">
        <f t="shared" si="85"/>
        <v>0</v>
      </c>
      <c r="BB62" s="202">
        <f t="shared" si="85"/>
        <v>0</v>
      </c>
      <c r="BC62" s="202">
        <f t="shared" si="85"/>
        <v>0</v>
      </c>
      <c r="BD62" s="202">
        <f t="shared" si="85"/>
        <v>0</v>
      </c>
      <c r="BE62" s="202">
        <f t="shared" si="85"/>
        <v>0</v>
      </c>
      <c r="BF62" s="202">
        <f t="shared" si="85"/>
        <v>0</v>
      </c>
      <c r="BG62" s="202">
        <f t="shared" si="85"/>
        <v>0</v>
      </c>
      <c r="BH62" s="202">
        <f t="shared" si="85"/>
        <v>0</v>
      </c>
      <c r="BI62" s="202">
        <f t="shared" si="85"/>
        <v>0</v>
      </c>
      <c r="BJ62" s="202">
        <f t="shared" si="85"/>
        <v>0</v>
      </c>
      <c r="BK62" s="202">
        <f t="shared" si="85"/>
        <v>0</v>
      </c>
      <c r="BL62" s="202">
        <f t="shared" si="85"/>
        <v>0</v>
      </c>
      <c r="BM62" s="202">
        <f t="shared" si="85"/>
        <v>0</v>
      </c>
      <c r="BN62" s="202">
        <f t="shared" si="85"/>
        <v>0</v>
      </c>
      <c r="BO62" s="202">
        <f t="shared" si="85"/>
        <v>0</v>
      </c>
      <c r="BP62" s="202">
        <f t="shared" si="85"/>
        <v>0</v>
      </c>
      <c r="BQ62" s="202">
        <f t="shared" si="85"/>
        <v>0</v>
      </c>
      <c r="BR62" s="202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2">
        <f t="shared" si="86"/>
        <v>0</v>
      </c>
      <c r="BT62" s="202">
        <f t="shared" si="86"/>
        <v>0</v>
      </c>
      <c r="BU62" s="202">
        <f t="shared" si="86"/>
        <v>0</v>
      </c>
      <c r="BV62" s="202">
        <f t="shared" si="86"/>
        <v>0</v>
      </c>
      <c r="BW62" s="202">
        <f t="shared" si="86"/>
        <v>0</v>
      </c>
      <c r="BX62" s="202">
        <f t="shared" si="86"/>
        <v>0</v>
      </c>
      <c r="BY62" s="202">
        <f t="shared" si="86"/>
        <v>0</v>
      </c>
      <c r="BZ62" s="202">
        <f t="shared" si="86"/>
        <v>0</v>
      </c>
      <c r="CA62" s="202">
        <f t="shared" si="86"/>
        <v>0</v>
      </c>
      <c r="CB62" s="202">
        <f t="shared" si="86"/>
        <v>0</v>
      </c>
      <c r="CC62" s="202">
        <f t="shared" si="86"/>
        <v>0</v>
      </c>
      <c r="CD62" s="202">
        <f t="shared" si="86"/>
        <v>0</v>
      </c>
      <c r="CE62" s="202">
        <f t="shared" si="86"/>
        <v>0</v>
      </c>
      <c r="CF62" s="202">
        <f t="shared" si="86"/>
        <v>0</v>
      </c>
      <c r="CG62" s="202">
        <f t="shared" si="86"/>
        <v>0</v>
      </c>
      <c r="CH62" s="202">
        <f t="shared" si="86"/>
        <v>0</v>
      </c>
      <c r="CI62" s="202">
        <f t="shared" si="86"/>
        <v>0</v>
      </c>
      <c r="CJ62" s="202">
        <f t="shared" si="86"/>
        <v>0</v>
      </c>
      <c r="CK62" s="202">
        <f t="shared" si="86"/>
        <v>0</v>
      </c>
      <c r="CL62" s="202">
        <f t="shared" si="86"/>
        <v>0</v>
      </c>
      <c r="CM62" s="202">
        <f t="shared" si="86"/>
        <v>0</v>
      </c>
      <c r="CN62" s="202">
        <f t="shared" si="86"/>
        <v>0</v>
      </c>
      <c r="CO62" s="202">
        <f t="shared" si="86"/>
        <v>0</v>
      </c>
      <c r="CP62" s="202">
        <f t="shared" si="86"/>
        <v>0</v>
      </c>
      <c r="CQ62" s="202">
        <f t="shared" si="86"/>
        <v>0</v>
      </c>
      <c r="CR62" s="202">
        <f t="shared" si="86"/>
        <v>0</v>
      </c>
      <c r="CS62" s="202">
        <f t="shared" si="86"/>
        <v>0</v>
      </c>
      <c r="CT62" s="202">
        <f t="shared" si="86"/>
        <v>0</v>
      </c>
      <c r="CU62" s="202">
        <f t="shared" si="86"/>
        <v>0</v>
      </c>
      <c r="CV62" s="202">
        <f t="shared" si="86"/>
        <v>0</v>
      </c>
      <c r="CW62" s="202">
        <f t="shared" si="86"/>
        <v>0</v>
      </c>
      <c r="CX62" s="202">
        <f t="shared" si="86"/>
        <v>0</v>
      </c>
      <c r="CY62" s="202">
        <f t="shared" si="86"/>
        <v>0</v>
      </c>
      <c r="CZ62" s="202">
        <f t="shared" si="86"/>
        <v>0</v>
      </c>
      <c r="DA62" s="202">
        <f t="shared" si="86"/>
        <v>0</v>
      </c>
    </row>
    <row r="63" spans="1:105" s="202" customFormat="1">
      <c r="A63" s="202" t="str">
        <f>Income!A76</f>
        <v>Animals sold</v>
      </c>
      <c r="F63" s="202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2">
        <f t="shared" si="87"/>
        <v>0</v>
      </c>
      <c r="H63" s="202">
        <f t="shared" si="87"/>
        <v>0</v>
      </c>
      <c r="I63" s="202">
        <f t="shared" si="87"/>
        <v>0</v>
      </c>
      <c r="J63" s="202">
        <f t="shared" si="87"/>
        <v>0</v>
      </c>
      <c r="K63" s="202">
        <f t="shared" si="87"/>
        <v>0</v>
      </c>
      <c r="L63" s="202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2">
        <f t="shared" si="87"/>
        <v>0</v>
      </c>
      <c r="N63" s="202">
        <f t="shared" si="87"/>
        <v>0</v>
      </c>
      <c r="O63" s="202">
        <f t="shared" si="87"/>
        <v>0</v>
      </c>
      <c r="P63" s="202">
        <f t="shared" si="87"/>
        <v>0</v>
      </c>
      <c r="Q63" s="202">
        <f t="shared" si="87"/>
        <v>0</v>
      </c>
      <c r="R63" s="202">
        <f t="shared" si="87"/>
        <v>0</v>
      </c>
      <c r="S63" s="202">
        <f t="shared" si="87"/>
        <v>0</v>
      </c>
      <c r="T63" s="202">
        <f t="shared" si="87"/>
        <v>0</v>
      </c>
      <c r="U63" s="202">
        <f t="shared" si="87"/>
        <v>0</v>
      </c>
      <c r="V63" s="202">
        <f t="shared" si="87"/>
        <v>0</v>
      </c>
      <c r="W63" s="202">
        <f t="shared" si="87"/>
        <v>0</v>
      </c>
      <c r="X63" s="202">
        <f t="shared" si="87"/>
        <v>0</v>
      </c>
      <c r="Y63" s="202">
        <f t="shared" si="87"/>
        <v>0</v>
      </c>
      <c r="Z63" s="202">
        <f t="shared" si="87"/>
        <v>0</v>
      </c>
      <c r="AA63" s="202">
        <f t="shared" si="87"/>
        <v>0</v>
      </c>
      <c r="AB63" s="202">
        <f t="shared" si="87"/>
        <v>0</v>
      </c>
      <c r="AC63" s="202">
        <f t="shared" si="87"/>
        <v>0</v>
      </c>
      <c r="AD63" s="202">
        <f t="shared" si="87"/>
        <v>0</v>
      </c>
      <c r="AE63" s="202">
        <f t="shared" si="87"/>
        <v>0</v>
      </c>
      <c r="AF63" s="202">
        <f t="shared" si="87"/>
        <v>0</v>
      </c>
      <c r="AG63" s="202">
        <f t="shared" si="87"/>
        <v>0</v>
      </c>
      <c r="AH63" s="202">
        <f t="shared" si="87"/>
        <v>0</v>
      </c>
      <c r="AI63" s="202">
        <f t="shared" si="87"/>
        <v>0</v>
      </c>
      <c r="AJ63" s="202">
        <f t="shared" si="87"/>
        <v>0</v>
      </c>
      <c r="AK63" s="202">
        <f t="shared" si="87"/>
        <v>0</v>
      </c>
      <c r="AL63" s="202">
        <f t="shared" si="87"/>
        <v>0</v>
      </c>
      <c r="AM63" s="202">
        <f t="shared" si="87"/>
        <v>0</v>
      </c>
      <c r="AN63" s="202">
        <f t="shared" si="87"/>
        <v>0</v>
      </c>
      <c r="AO63" s="202">
        <f t="shared" si="87"/>
        <v>0</v>
      </c>
      <c r="AP63" s="202">
        <f t="shared" si="87"/>
        <v>0</v>
      </c>
      <c r="AQ63" s="202">
        <f t="shared" si="87"/>
        <v>0</v>
      </c>
      <c r="AR63" s="202">
        <f t="shared" si="87"/>
        <v>0</v>
      </c>
      <c r="AS63" s="202">
        <f t="shared" si="87"/>
        <v>0</v>
      </c>
      <c r="AT63" s="202">
        <f t="shared" si="87"/>
        <v>0</v>
      </c>
      <c r="AU63" s="202">
        <f t="shared" si="87"/>
        <v>0</v>
      </c>
      <c r="AV63" s="202">
        <f t="shared" si="87"/>
        <v>0</v>
      </c>
      <c r="AW63" s="202">
        <f t="shared" si="87"/>
        <v>0</v>
      </c>
      <c r="AX63" s="202">
        <f t="shared" si="87"/>
        <v>0</v>
      </c>
      <c r="AY63" s="202">
        <f t="shared" si="87"/>
        <v>0</v>
      </c>
      <c r="AZ63" s="202">
        <f t="shared" si="87"/>
        <v>0</v>
      </c>
      <c r="BA63" s="202">
        <f t="shared" si="87"/>
        <v>0</v>
      </c>
      <c r="BB63" s="202">
        <f t="shared" si="87"/>
        <v>0</v>
      </c>
      <c r="BC63" s="202">
        <f t="shared" si="87"/>
        <v>0</v>
      </c>
      <c r="BD63" s="202">
        <f t="shared" si="87"/>
        <v>0</v>
      </c>
      <c r="BE63" s="202">
        <f t="shared" si="87"/>
        <v>0</v>
      </c>
      <c r="BF63" s="202">
        <f t="shared" si="87"/>
        <v>0</v>
      </c>
      <c r="BG63" s="202">
        <f t="shared" si="87"/>
        <v>0</v>
      </c>
      <c r="BH63" s="202">
        <f t="shared" si="87"/>
        <v>0</v>
      </c>
      <c r="BI63" s="202">
        <f t="shared" si="87"/>
        <v>0</v>
      </c>
      <c r="BJ63" s="202">
        <f t="shared" si="87"/>
        <v>0</v>
      </c>
      <c r="BK63" s="202">
        <f t="shared" si="87"/>
        <v>0</v>
      </c>
      <c r="BL63" s="202">
        <f t="shared" si="87"/>
        <v>0</v>
      </c>
      <c r="BM63" s="202">
        <f t="shared" si="87"/>
        <v>0</v>
      </c>
      <c r="BN63" s="202">
        <f t="shared" si="87"/>
        <v>0</v>
      </c>
      <c r="BO63" s="202">
        <f t="shared" si="87"/>
        <v>0</v>
      </c>
      <c r="BP63" s="202">
        <f t="shared" si="87"/>
        <v>0</v>
      </c>
      <c r="BQ63" s="202">
        <f t="shared" si="87"/>
        <v>0</v>
      </c>
      <c r="BR63" s="202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2">
        <f t="shared" si="89"/>
        <v>0</v>
      </c>
      <c r="BT63" s="202">
        <f t="shared" si="89"/>
        <v>0</v>
      </c>
      <c r="BU63" s="202">
        <f t="shared" si="89"/>
        <v>0</v>
      </c>
      <c r="BV63" s="202">
        <f t="shared" si="89"/>
        <v>0</v>
      </c>
      <c r="BW63" s="202">
        <f t="shared" si="89"/>
        <v>0</v>
      </c>
      <c r="BX63" s="202">
        <f t="shared" si="89"/>
        <v>0</v>
      </c>
      <c r="BY63" s="202">
        <f t="shared" si="89"/>
        <v>0</v>
      </c>
      <c r="BZ63" s="202">
        <f t="shared" si="89"/>
        <v>0</v>
      </c>
      <c r="CA63" s="202">
        <f t="shared" si="89"/>
        <v>0</v>
      </c>
      <c r="CB63" s="202">
        <f t="shared" si="89"/>
        <v>0</v>
      </c>
      <c r="CC63" s="202">
        <f t="shared" si="89"/>
        <v>0</v>
      </c>
      <c r="CD63" s="202">
        <f t="shared" si="89"/>
        <v>0</v>
      </c>
      <c r="CE63" s="202">
        <f t="shared" si="89"/>
        <v>0</v>
      </c>
      <c r="CF63" s="202">
        <f t="shared" si="89"/>
        <v>0</v>
      </c>
      <c r="CG63" s="202">
        <f t="shared" si="89"/>
        <v>0</v>
      </c>
      <c r="CH63" s="202">
        <f t="shared" si="89"/>
        <v>0</v>
      </c>
      <c r="CI63" s="202">
        <f t="shared" si="89"/>
        <v>0</v>
      </c>
      <c r="CJ63" s="202">
        <f t="shared" si="89"/>
        <v>0</v>
      </c>
      <c r="CK63" s="202">
        <f t="shared" si="89"/>
        <v>0</v>
      </c>
      <c r="CL63" s="202">
        <f t="shared" si="89"/>
        <v>0</v>
      </c>
      <c r="CM63" s="202">
        <f t="shared" si="89"/>
        <v>0</v>
      </c>
      <c r="CN63" s="202">
        <f t="shared" si="89"/>
        <v>0</v>
      </c>
      <c r="CO63" s="202">
        <f t="shared" si="89"/>
        <v>0</v>
      </c>
      <c r="CP63" s="202">
        <f t="shared" si="89"/>
        <v>0</v>
      </c>
      <c r="CQ63" s="202">
        <f t="shared" si="89"/>
        <v>0</v>
      </c>
      <c r="CR63" s="202">
        <f t="shared" si="89"/>
        <v>0</v>
      </c>
      <c r="CS63" s="202">
        <f t="shared" si="89"/>
        <v>0</v>
      </c>
      <c r="CT63" s="202">
        <f t="shared" si="89"/>
        <v>0</v>
      </c>
      <c r="CU63" s="202">
        <f t="shared" si="89"/>
        <v>0</v>
      </c>
      <c r="CV63" s="202">
        <f t="shared" si="89"/>
        <v>0</v>
      </c>
      <c r="CW63" s="202">
        <f t="shared" si="89"/>
        <v>0</v>
      </c>
      <c r="CX63" s="202">
        <f t="shared" si="89"/>
        <v>0</v>
      </c>
      <c r="CY63" s="202">
        <f t="shared" si="89"/>
        <v>0</v>
      </c>
      <c r="CZ63" s="202">
        <f t="shared" si="89"/>
        <v>0</v>
      </c>
      <c r="DA63" s="202">
        <f t="shared" si="89"/>
        <v>0</v>
      </c>
    </row>
    <row r="64" spans="1:105" s="202" customFormat="1">
      <c r="A64" s="202" t="str">
        <f>Income!A77</f>
        <v>Wild foods consumed and sold</v>
      </c>
      <c r="F64" s="202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2">
        <f t="shared" si="90"/>
        <v>0</v>
      </c>
      <c r="H64" s="202">
        <f t="shared" si="90"/>
        <v>0</v>
      </c>
      <c r="I64" s="202">
        <f t="shared" si="90"/>
        <v>0</v>
      </c>
      <c r="J64" s="202">
        <f t="shared" si="90"/>
        <v>0</v>
      </c>
      <c r="K64" s="202">
        <f t="shared" si="90"/>
        <v>0</v>
      </c>
      <c r="L64" s="202">
        <f t="shared" si="88"/>
        <v>0</v>
      </c>
      <c r="M64" s="202">
        <f t="shared" si="90"/>
        <v>0</v>
      </c>
      <c r="N64" s="202">
        <f t="shared" si="90"/>
        <v>0</v>
      </c>
      <c r="O64" s="202">
        <f t="shared" si="90"/>
        <v>0</v>
      </c>
      <c r="P64" s="202">
        <f t="shared" si="90"/>
        <v>0</v>
      </c>
      <c r="Q64" s="202">
        <f t="shared" si="90"/>
        <v>0</v>
      </c>
      <c r="R64" s="202">
        <f t="shared" si="90"/>
        <v>0</v>
      </c>
      <c r="S64" s="202">
        <f t="shared" si="90"/>
        <v>0</v>
      </c>
      <c r="T64" s="202">
        <f t="shared" si="90"/>
        <v>0</v>
      </c>
      <c r="U64" s="202">
        <f t="shared" si="90"/>
        <v>0</v>
      </c>
      <c r="V64" s="202">
        <f t="shared" si="90"/>
        <v>0</v>
      </c>
      <c r="W64" s="202">
        <f t="shared" si="90"/>
        <v>0</v>
      </c>
      <c r="X64" s="202">
        <f t="shared" si="90"/>
        <v>0</v>
      </c>
      <c r="Y64" s="202">
        <f t="shared" si="90"/>
        <v>0</v>
      </c>
      <c r="Z64" s="202">
        <f t="shared" si="90"/>
        <v>0</v>
      </c>
      <c r="AA64" s="202">
        <f t="shared" si="90"/>
        <v>0</v>
      </c>
      <c r="AB64" s="202">
        <f t="shared" si="90"/>
        <v>0</v>
      </c>
      <c r="AC64" s="202">
        <f t="shared" si="90"/>
        <v>0</v>
      </c>
      <c r="AD64" s="202">
        <f t="shared" si="90"/>
        <v>0</v>
      </c>
      <c r="AE64" s="202">
        <f t="shared" si="90"/>
        <v>0</v>
      </c>
      <c r="AF64" s="202">
        <f t="shared" si="90"/>
        <v>0</v>
      </c>
      <c r="AG64" s="202">
        <f t="shared" si="90"/>
        <v>0</v>
      </c>
      <c r="AH64" s="202">
        <f t="shared" si="90"/>
        <v>0</v>
      </c>
      <c r="AI64" s="202">
        <f t="shared" si="90"/>
        <v>0</v>
      </c>
      <c r="AJ64" s="202">
        <f t="shared" si="90"/>
        <v>0</v>
      </c>
      <c r="AK64" s="202">
        <f t="shared" si="90"/>
        <v>0</v>
      </c>
      <c r="AL64" s="202">
        <f t="shared" si="90"/>
        <v>0</v>
      </c>
      <c r="AM64" s="202">
        <f t="shared" si="90"/>
        <v>0</v>
      </c>
      <c r="AN64" s="202">
        <f t="shared" si="90"/>
        <v>0</v>
      </c>
      <c r="AO64" s="202">
        <f t="shared" si="90"/>
        <v>0</v>
      </c>
      <c r="AP64" s="202">
        <f t="shared" si="90"/>
        <v>0</v>
      </c>
      <c r="AQ64" s="202">
        <f t="shared" si="90"/>
        <v>0</v>
      </c>
      <c r="AR64" s="202">
        <f t="shared" si="90"/>
        <v>0</v>
      </c>
      <c r="AS64" s="202">
        <f t="shared" si="90"/>
        <v>0</v>
      </c>
      <c r="AT64" s="202">
        <f t="shared" si="90"/>
        <v>0</v>
      </c>
      <c r="AU64" s="202">
        <f t="shared" si="90"/>
        <v>0</v>
      </c>
      <c r="AV64" s="202">
        <f t="shared" si="90"/>
        <v>0</v>
      </c>
      <c r="AW64" s="202">
        <f t="shared" si="90"/>
        <v>0</v>
      </c>
      <c r="AX64" s="202">
        <f t="shared" si="90"/>
        <v>0</v>
      </c>
      <c r="AY64" s="202">
        <f t="shared" si="90"/>
        <v>0</v>
      </c>
      <c r="AZ64" s="202">
        <f t="shared" si="90"/>
        <v>0</v>
      </c>
      <c r="BA64" s="202">
        <f t="shared" si="90"/>
        <v>0</v>
      </c>
      <c r="BB64" s="202">
        <f t="shared" si="90"/>
        <v>0</v>
      </c>
      <c r="BC64" s="202">
        <f t="shared" si="90"/>
        <v>0</v>
      </c>
      <c r="BD64" s="202">
        <f t="shared" si="90"/>
        <v>0</v>
      </c>
      <c r="BE64" s="202">
        <f t="shared" si="90"/>
        <v>0</v>
      </c>
      <c r="BF64" s="202">
        <f t="shared" si="90"/>
        <v>0</v>
      </c>
      <c r="BG64" s="202">
        <f t="shared" si="90"/>
        <v>0</v>
      </c>
      <c r="BH64" s="202">
        <f t="shared" si="90"/>
        <v>0</v>
      </c>
      <c r="BI64" s="202">
        <f t="shared" si="90"/>
        <v>0</v>
      </c>
      <c r="BJ64" s="202">
        <f t="shared" si="90"/>
        <v>0</v>
      </c>
      <c r="BK64" s="202">
        <f t="shared" si="90"/>
        <v>0</v>
      </c>
      <c r="BL64" s="202">
        <f t="shared" si="90"/>
        <v>0</v>
      </c>
      <c r="BM64" s="202">
        <f t="shared" si="90"/>
        <v>0</v>
      </c>
      <c r="BN64" s="202">
        <f t="shared" si="90"/>
        <v>0</v>
      </c>
      <c r="BO64" s="202">
        <f t="shared" si="90"/>
        <v>0</v>
      </c>
      <c r="BP64" s="202">
        <f t="shared" si="90"/>
        <v>0</v>
      </c>
      <c r="BQ64" s="202">
        <f t="shared" si="90"/>
        <v>0</v>
      </c>
      <c r="BR64" s="202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2">
        <f t="shared" si="91"/>
        <v>0</v>
      </c>
      <c r="BT64" s="202">
        <f t="shared" si="91"/>
        <v>0</v>
      </c>
      <c r="BU64" s="202">
        <f t="shared" si="91"/>
        <v>0</v>
      </c>
      <c r="BV64" s="202">
        <f t="shared" si="91"/>
        <v>0</v>
      </c>
      <c r="BW64" s="202">
        <f t="shared" si="91"/>
        <v>0</v>
      </c>
      <c r="BX64" s="202">
        <f t="shared" si="91"/>
        <v>0</v>
      </c>
      <c r="BY64" s="202">
        <f t="shared" si="91"/>
        <v>0</v>
      </c>
      <c r="BZ64" s="202">
        <f t="shared" si="91"/>
        <v>0</v>
      </c>
      <c r="CA64" s="202">
        <f t="shared" si="91"/>
        <v>0</v>
      </c>
      <c r="CB64" s="202">
        <f t="shared" si="91"/>
        <v>0</v>
      </c>
      <c r="CC64" s="202">
        <f t="shared" si="91"/>
        <v>0</v>
      </c>
      <c r="CD64" s="202">
        <f t="shared" si="91"/>
        <v>0</v>
      </c>
      <c r="CE64" s="202">
        <f t="shared" si="91"/>
        <v>0</v>
      </c>
      <c r="CF64" s="202">
        <f t="shared" si="91"/>
        <v>0</v>
      </c>
      <c r="CG64" s="202">
        <f t="shared" si="91"/>
        <v>0</v>
      </c>
      <c r="CH64" s="202">
        <f t="shared" si="91"/>
        <v>0</v>
      </c>
      <c r="CI64" s="202">
        <f t="shared" si="91"/>
        <v>0</v>
      </c>
      <c r="CJ64" s="202">
        <f t="shared" si="91"/>
        <v>0</v>
      </c>
      <c r="CK64" s="202">
        <f t="shared" si="91"/>
        <v>0</v>
      </c>
      <c r="CL64" s="202">
        <f t="shared" si="91"/>
        <v>0</v>
      </c>
      <c r="CM64" s="202">
        <f t="shared" si="91"/>
        <v>0</v>
      </c>
      <c r="CN64" s="202">
        <f t="shared" si="91"/>
        <v>0</v>
      </c>
      <c r="CO64" s="202">
        <f t="shared" si="91"/>
        <v>0</v>
      </c>
      <c r="CP64" s="202">
        <f t="shared" si="91"/>
        <v>0</v>
      </c>
      <c r="CQ64" s="202">
        <f t="shared" si="91"/>
        <v>0</v>
      </c>
      <c r="CR64" s="202">
        <f t="shared" si="91"/>
        <v>0</v>
      </c>
      <c r="CS64" s="202">
        <f t="shared" si="91"/>
        <v>0</v>
      </c>
      <c r="CT64" s="202">
        <f t="shared" si="91"/>
        <v>0</v>
      </c>
      <c r="CU64" s="202">
        <f t="shared" si="91"/>
        <v>0</v>
      </c>
      <c r="CV64" s="202">
        <f t="shared" si="91"/>
        <v>0</v>
      </c>
      <c r="CW64" s="202">
        <f t="shared" si="91"/>
        <v>0</v>
      </c>
      <c r="CX64" s="202">
        <f t="shared" si="91"/>
        <v>0</v>
      </c>
      <c r="CY64" s="202">
        <f t="shared" si="91"/>
        <v>0</v>
      </c>
      <c r="CZ64" s="202">
        <f t="shared" si="91"/>
        <v>0</v>
      </c>
      <c r="DA64" s="202">
        <f t="shared" si="91"/>
        <v>0</v>
      </c>
    </row>
    <row r="65" spans="1:105" s="202" customFormat="1">
      <c r="A65" s="202" t="str">
        <f>Income!A78</f>
        <v>Labour - casual</v>
      </c>
      <c r="F65" s="202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2">
        <f t="shared" si="92"/>
        <v>6044.2269142499463</v>
      </c>
      <c r="H65" s="202">
        <f t="shared" si="92"/>
        <v>6044.2269142499463</v>
      </c>
      <c r="I65" s="202">
        <f t="shared" si="92"/>
        <v>6044.2269142499463</v>
      </c>
      <c r="J65" s="202">
        <f t="shared" si="92"/>
        <v>6044.2269142499463</v>
      </c>
      <c r="K65" s="202">
        <f t="shared" si="92"/>
        <v>6044.2269142499463</v>
      </c>
      <c r="L65" s="202">
        <f t="shared" si="88"/>
        <v>6044.2269142499463</v>
      </c>
      <c r="M65" s="202">
        <f t="shared" si="92"/>
        <v>6044.2269142499463</v>
      </c>
      <c r="N65" s="202">
        <f t="shared" si="92"/>
        <v>6044.2269142499463</v>
      </c>
      <c r="O65" s="202">
        <f t="shared" si="92"/>
        <v>6044.2269142499463</v>
      </c>
      <c r="P65" s="202">
        <f t="shared" si="92"/>
        <v>6044.2269142499463</v>
      </c>
      <c r="Q65" s="202">
        <f t="shared" si="92"/>
        <v>6449.280329846697</v>
      </c>
      <c r="R65" s="202">
        <f t="shared" si="92"/>
        <v>6854.3337454434468</v>
      </c>
      <c r="S65" s="202">
        <f t="shared" si="92"/>
        <v>7259.3871610401966</v>
      </c>
      <c r="T65" s="202">
        <f t="shared" si="92"/>
        <v>7664.4405766369473</v>
      </c>
      <c r="U65" s="202">
        <f t="shared" si="92"/>
        <v>8069.493992233698</v>
      </c>
      <c r="V65" s="202">
        <f t="shared" si="92"/>
        <v>8474.5474078304469</v>
      </c>
      <c r="W65" s="202">
        <f t="shared" si="92"/>
        <v>8879.6008234271976</v>
      </c>
      <c r="X65" s="202">
        <f t="shared" si="92"/>
        <v>9284.6542390239483</v>
      </c>
      <c r="Y65" s="202">
        <f t="shared" si="92"/>
        <v>9689.707654620699</v>
      </c>
      <c r="Z65" s="202">
        <f t="shared" si="92"/>
        <v>10094.76107021745</v>
      </c>
      <c r="AA65" s="202">
        <f t="shared" si="92"/>
        <v>10499.814485814199</v>
      </c>
      <c r="AB65" s="202">
        <f t="shared" si="92"/>
        <v>10904.867901410949</v>
      </c>
      <c r="AC65" s="202">
        <f t="shared" si="92"/>
        <v>11309.9213170077</v>
      </c>
      <c r="AD65" s="202">
        <f t="shared" si="92"/>
        <v>11714.974732604449</v>
      </c>
      <c r="AE65" s="202">
        <f t="shared" si="92"/>
        <v>12120.0281482012</v>
      </c>
      <c r="AF65" s="202">
        <f t="shared" si="92"/>
        <v>12525.08156379795</v>
      </c>
      <c r="AG65" s="202">
        <f t="shared" si="92"/>
        <v>12930.134979394701</v>
      </c>
      <c r="AH65" s="202">
        <f t="shared" si="92"/>
        <v>13335.188394991452</v>
      </c>
      <c r="AI65" s="202">
        <f t="shared" si="92"/>
        <v>13740.241810588201</v>
      </c>
      <c r="AJ65" s="202">
        <f t="shared" si="92"/>
        <v>14145.295226184951</v>
      </c>
      <c r="AK65" s="202">
        <f t="shared" si="92"/>
        <v>14479.983015018792</v>
      </c>
      <c r="AL65" s="202">
        <f t="shared" si="92"/>
        <v>14814.670803852632</v>
      </c>
      <c r="AM65" s="202">
        <f t="shared" si="92"/>
        <v>15149.358592686473</v>
      </c>
      <c r="AN65" s="202">
        <f t="shared" si="92"/>
        <v>15484.046381520311</v>
      </c>
      <c r="AO65" s="202">
        <f t="shared" si="92"/>
        <v>15818.734170354152</v>
      </c>
      <c r="AP65" s="202">
        <f t="shared" si="92"/>
        <v>16153.421959187992</v>
      </c>
      <c r="AQ65" s="202">
        <f t="shared" si="92"/>
        <v>16488.10974802183</v>
      </c>
      <c r="AR65" s="202">
        <f t="shared" si="92"/>
        <v>16822.797536855673</v>
      </c>
      <c r="AS65" s="202">
        <f t="shared" si="92"/>
        <v>17157.485325689511</v>
      </c>
      <c r="AT65" s="202">
        <f t="shared" si="92"/>
        <v>17492.173114523353</v>
      </c>
      <c r="AU65" s="202">
        <f t="shared" si="92"/>
        <v>17826.860903357192</v>
      </c>
      <c r="AV65" s="202">
        <f t="shared" si="92"/>
        <v>18161.548692191034</v>
      </c>
      <c r="AW65" s="202">
        <f t="shared" si="92"/>
        <v>18496.236481024873</v>
      </c>
      <c r="AX65" s="202">
        <f t="shared" si="92"/>
        <v>18830.924269858711</v>
      </c>
      <c r="AY65" s="202">
        <f t="shared" si="92"/>
        <v>19165.612058692554</v>
      </c>
      <c r="AZ65" s="202">
        <f t="shared" si="92"/>
        <v>19500.299847526392</v>
      </c>
      <c r="BA65" s="202">
        <f t="shared" si="92"/>
        <v>19834.987636360234</v>
      </c>
      <c r="BB65" s="202">
        <f t="shared" si="92"/>
        <v>20169.675425194073</v>
      </c>
      <c r="BC65" s="202">
        <f t="shared" si="92"/>
        <v>20504.363214027915</v>
      </c>
      <c r="BD65" s="202">
        <f t="shared" si="92"/>
        <v>20839.051002861754</v>
      </c>
      <c r="BE65" s="202">
        <f t="shared" si="92"/>
        <v>21285.602095780221</v>
      </c>
      <c r="BF65" s="202">
        <f t="shared" si="92"/>
        <v>21732.153188698685</v>
      </c>
      <c r="BG65" s="202">
        <f t="shared" si="92"/>
        <v>22178.704281617152</v>
      </c>
      <c r="BH65" s="202">
        <f t="shared" si="92"/>
        <v>22625.25537453562</v>
      </c>
      <c r="BI65" s="202">
        <f t="shared" si="92"/>
        <v>23071.806467454084</v>
      </c>
      <c r="BJ65" s="202">
        <f t="shared" si="92"/>
        <v>23518.357560372551</v>
      </c>
      <c r="BK65" s="202">
        <f t="shared" si="92"/>
        <v>23964.908653291019</v>
      </c>
      <c r="BL65" s="202">
        <f t="shared" si="92"/>
        <v>24411.459746209483</v>
      </c>
      <c r="BM65" s="202">
        <f t="shared" si="92"/>
        <v>24858.01083912795</v>
      </c>
      <c r="BN65" s="202">
        <f t="shared" si="92"/>
        <v>25304.561932046417</v>
      </c>
      <c r="BO65" s="202">
        <f t="shared" si="92"/>
        <v>25751.113024964881</v>
      </c>
      <c r="BP65" s="202">
        <f t="shared" si="92"/>
        <v>26197.664117883349</v>
      </c>
      <c r="BQ65" s="202">
        <f t="shared" si="92"/>
        <v>26644.215210801813</v>
      </c>
      <c r="BR65" s="202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2">
        <f t="shared" si="93"/>
        <v>27537.317396638748</v>
      </c>
      <c r="BT65" s="202">
        <f t="shared" si="93"/>
        <v>27983.868489557215</v>
      </c>
      <c r="BU65" s="202">
        <f t="shared" si="93"/>
        <v>28430.419582475679</v>
      </c>
      <c r="BV65" s="202">
        <f t="shared" si="93"/>
        <v>28876.970675394146</v>
      </c>
      <c r="BW65" s="202">
        <f t="shared" si="93"/>
        <v>29323.52176831261</v>
      </c>
      <c r="BX65" s="202">
        <f t="shared" si="93"/>
        <v>29770.072861231078</v>
      </c>
      <c r="BY65" s="202">
        <f t="shared" si="93"/>
        <v>29770.072861231078</v>
      </c>
      <c r="BZ65" s="202">
        <f t="shared" si="93"/>
        <v>29770.072861231078</v>
      </c>
      <c r="CA65" s="202">
        <f t="shared" si="93"/>
        <v>29770.072861231078</v>
      </c>
      <c r="CB65" s="202">
        <f t="shared" si="93"/>
        <v>29770.072861231078</v>
      </c>
      <c r="CC65" s="202">
        <f t="shared" si="93"/>
        <v>29770.072861231078</v>
      </c>
      <c r="CD65" s="202">
        <f t="shared" si="93"/>
        <v>29770.072861231078</v>
      </c>
      <c r="CE65" s="202">
        <f t="shared" si="93"/>
        <v>29770.072861231078</v>
      </c>
      <c r="CF65" s="202">
        <f t="shared" si="93"/>
        <v>29770.072861231078</v>
      </c>
      <c r="CG65" s="202">
        <f t="shared" si="93"/>
        <v>29770.072861231078</v>
      </c>
      <c r="CH65" s="202">
        <f t="shared" si="93"/>
        <v>29770.072861231078</v>
      </c>
      <c r="CI65" s="202">
        <f t="shared" si="93"/>
        <v>29770.072861231078</v>
      </c>
      <c r="CJ65" s="202">
        <f t="shared" si="93"/>
        <v>29770.072861231078</v>
      </c>
      <c r="CK65" s="202">
        <f t="shared" si="93"/>
        <v>29770.072861231078</v>
      </c>
      <c r="CL65" s="202">
        <f t="shared" si="93"/>
        <v>29770.072861231078</v>
      </c>
      <c r="CM65" s="202">
        <f t="shared" si="93"/>
        <v>29770.072861231078</v>
      </c>
      <c r="CN65" s="202">
        <f t="shared" si="93"/>
        <v>29770.072861231078</v>
      </c>
      <c r="CO65" s="202">
        <f t="shared" si="93"/>
        <v>29770.072861231078</v>
      </c>
      <c r="CP65" s="202">
        <f t="shared" si="93"/>
        <v>29770.072861231078</v>
      </c>
      <c r="CQ65" s="202">
        <f t="shared" si="93"/>
        <v>29770.072861231078</v>
      </c>
      <c r="CR65" s="202">
        <f t="shared" si="93"/>
        <v>29770.072861231078</v>
      </c>
      <c r="CS65" s="202">
        <f t="shared" si="93"/>
        <v>29770.072861231078</v>
      </c>
      <c r="CT65" s="202">
        <f t="shared" si="93"/>
        <v>29770.072861231078</v>
      </c>
      <c r="CU65" s="202">
        <f t="shared" si="93"/>
        <v>29770.072861231078</v>
      </c>
      <c r="CV65" s="202">
        <f t="shared" si="93"/>
        <v>29770.072861231078</v>
      </c>
      <c r="CW65" s="202">
        <f t="shared" si="93"/>
        <v>29770.072861231078</v>
      </c>
      <c r="CX65" s="202">
        <f t="shared" si="93"/>
        <v>29770.072861231078</v>
      </c>
      <c r="CY65" s="202">
        <f t="shared" si="93"/>
        <v>29770.072861231078</v>
      </c>
      <c r="CZ65" s="202">
        <f t="shared" si="93"/>
        <v>29770.072861231078</v>
      </c>
      <c r="DA65" s="202">
        <f t="shared" si="93"/>
        <v>29770.072861231078</v>
      </c>
    </row>
    <row r="66" spans="1:105" s="202" customFormat="1">
      <c r="A66" s="202" t="str">
        <f>Income!A79</f>
        <v>Labour - formal emp</v>
      </c>
      <c r="F66" s="202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2">
        <f t="shared" si="94"/>
        <v>0</v>
      </c>
      <c r="H66" s="202">
        <f t="shared" si="94"/>
        <v>0</v>
      </c>
      <c r="I66" s="202">
        <f t="shared" si="94"/>
        <v>0</v>
      </c>
      <c r="J66" s="202">
        <f t="shared" si="94"/>
        <v>0</v>
      </c>
      <c r="K66" s="202">
        <f t="shared" si="94"/>
        <v>0</v>
      </c>
      <c r="L66" s="202">
        <f t="shared" si="88"/>
        <v>0</v>
      </c>
      <c r="M66" s="202">
        <f t="shared" si="94"/>
        <v>0</v>
      </c>
      <c r="N66" s="202">
        <f t="shared" si="94"/>
        <v>0</v>
      </c>
      <c r="O66" s="202">
        <f t="shared" si="94"/>
        <v>0</v>
      </c>
      <c r="P66" s="202">
        <f t="shared" si="94"/>
        <v>0</v>
      </c>
      <c r="Q66" s="202">
        <f t="shared" si="94"/>
        <v>0</v>
      </c>
      <c r="R66" s="202">
        <f t="shared" si="94"/>
        <v>0</v>
      </c>
      <c r="S66" s="202">
        <f t="shared" si="94"/>
        <v>0</v>
      </c>
      <c r="T66" s="202">
        <f t="shared" si="94"/>
        <v>0</v>
      </c>
      <c r="U66" s="202">
        <f t="shared" si="94"/>
        <v>0</v>
      </c>
      <c r="V66" s="202">
        <f t="shared" si="94"/>
        <v>0</v>
      </c>
      <c r="W66" s="202">
        <f t="shared" si="94"/>
        <v>0</v>
      </c>
      <c r="X66" s="202">
        <f t="shared" si="94"/>
        <v>0</v>
      </c>
      <c r="Y66" s="202">
        <f t="shared" si="94"/>
        <v>0</v>
      </c>
      <c r="Z66" s="202">
        <f t="shared" si="94"/>
        <v>0</v>
      </c>
      <c r="AA66" s="202">
        <f t="shared" si="94"/>
        <v>0</v>
      </c>
      <c r="AB66" s="202">
        <f t="shared" si="94"/>
        <v>0</v>
      </c>
      <c r="AC66" s="202">
        <f t="shared" si="94"/>
        <v>0</v>
      </c>
      <c r="AD66" s="202">
        <f t="shared" si="94"/>
        <v>0</v>
      </c>
      <c r="AE66" s="202">
        <f t="shared" si="94"/>
        <v>0</v>
      </c>
      <c r="AF66" s="202">
        <f t="shared" si="94"/>
        <v>0</v>
      </c>
      <c r="AG66" s="202">
        <f t="shared" si="94"/>
        <v>0</v>
      </c>
      <c r="AH66" s="202">
        <f t="shared" si="94"/>
        <v>0</v>
      </c>
      <c r="AI66" s="202">
        <f t="shared" si="94"/>
        <v>0</v>
      </c>
      <c r="AJ66" s="202">
        <f t="shared" si="94"/>
        <v>0</v>
      </c>
      <c r="AK66" s="202">
        <f t="shared" si="94"/>
        <v>676.59256502797905</v>
      </c>
      <c r="AL66" s="202">
        <f t="shared" si="94"/>
        <v>1353.1851300559581</v>
      </c>
      <c r="AM66" s="202">
        <f t="shared" si="94"/>
        <v>2029.777695083937</v>
      </c>
      <c r="AN66" s="202">
        <f t="shared" si="94"/>
        <v>2706.3702601119162</v>
      </c>
      <c r="AO66" s="202">
        <f t="shared" si="94"/>
        <v>3382.9628251398954</v>
      </c>
      <c r="AP66" s="202">
        <f t="shared" si="94"/>
        <v>4059.5553901678741</v>
      </c>
      <c r="AQ66" s="202">
        <f t="shared" si="94"/>
        <v>4736.1479551958537</v>
      </c>
      <c r="AR66" s="202">
        <f t="shared" si="94"/>
        <v>5412.7405202238324</v>
      </c>
      <c r="AS66" s="202">
        <f t="shared" si="94"/>
        <v>6089.3330852518111</v>
      </c>
      <c r="AT66" s="202">
        <f t="shared" si="94"/>
        <v>6765.9256502797907</v>
      </c>
      <c r="AU66" s="202">
        <f t="shared" si="94"/>
        <v>7442.5182153077694</v>
      </c>
      <c r="AV66" s="202">
        <f t="shared" si="94"/>
        <v>8119.1107803357481</v>
      </c>
      <c r="AW66" s="202">
        <f t="shared" si="94"/>
        <v>8795.7033453637268</v>
      </c>
      <c r="AX66" s="202">
        <f t="shared" si="94"/>
        <v>9472.2959103917074</v>
      </c>
      <c r="AY66" s="202">
        <f t="shared" si="94"/>
        <v>10148.888475419686</v>
      </c>
      <c r="AZ66" s="202">
        <f t="shared" si="94"/>
        <v>10825.481040447665</v>
      </c>
      <c r="BA66" s="202">
        <f t="shared" si="94"/>
        <v>11502.073605475643</v>
      </c>
      <c r="BB66" s="202">
        <f t="shared" si="94"/>
        <v>12178.666170503622</v>
      </c>
      <c r="BC66" s="202">
        <f t="shared" si="94"/>
        <v>12855.258735531603</v>
      </c>
      <c r="BD66" s="202">
        <f t="shared" si="94"/>
        <v>13531.851300559581</v>
      </c>
      <c r="BE66" s="202">
        <f t="shared" si="94"/>
        <v>14591.846319103415</v>
      </c>
      <c r="BF66" s="202">
        <f t="shared" si="94"/>
        <v>15651.841337647249</v>
      </c>
      <c r="BG66" s="202">
        <f t="shared" si="94"/>
        <v>16711.836356191081</v>
      </c>
      <c r="BH66" s="202">
        <f t="shared" si="94"/>
        <v>17771.831374734917</v>
      </c>
      <c r="BI66" s="202">
        <f t="shared" si="94"/>
        <v>18831.826393278752</v>
      </c>
      <c r="BJ66" s="202">
        <f t="shared" si="94"/>
        <v>19891.821411822584</v>
      </c>
      <c r="BK66" s="202">
        <f t="shared" si="94"/>
        <v>20951.816430366416</v>
      </c>
      <c r="BL66" s="202">
        <f t="shared" si="94"/>
        <v>22011.811448910252</v>
      </c>
      <c r="BM66" s="202">
        <f t="shared" si="94"/>
        <v>23071.806467454087</v>
      </c>
      <c r="BN66" s="202">
        <f t="shared" si="94"/>
        <v>24131.801485997919</v>
      </c>
      <c r="BO66" s="202">
        <f t="shared" si="94"/>
        <v>25191.796504541751</v>
      </c>
      <c r="BP66" s="202">
        <f t="shared" si="94"/>
        <v>26251.791523085587</v>
      </c>
      <c r="BQ66" s="202">
        <f t="shared" si="94"/>
        <v>27311.786541629423</v>
      </c>
      <c r="BR66" s="202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2">
        <f t="shared" si="95"/>
        <v>29431.776578717087</v>
      </c>
      <c r="BT66" s="202">
        <f t="shared" si="95"/>
        <v>30491.771597260922</v>
      </c>
      <c r="BU66" s="202">
        <f t="shared" si="95"/>
        <v>31551.766615804758</v>
      </c>
      <c r="BV66" s="202">
        <f t="shared" si="95"/>
        <v>32611.76163434859</v>
      </c>
      <c r="BW66" s="202">
        <f t="shared" si="95"/>
        <v>33671.756652892422</v>
      </c>
      <c r="BX66" s="202">
        <f t="shared" si="95"/>
        <v>34731.751671436257</v>
      </c>
      <c r="BY66" s="202">
        <f t="shared" si="95"/>
        <v>39648.851671436256</v>
      </c>
      <c r="BZ66" s="202">
        <f t="shared" si="95"/>
        <v>44565.951671436262</v>
      </c>
      <c r="CA66" s="202">
        <f t="shared" si="95"/>
        <v>49483.05167143626</v>
      </c>
      <c r="CB66" s="202">
        <f t="shared" si="95"/>
        <v>54400.151671436266</v>
      </c>
      <c r="CC66" s="202">
        <f t="shared" si="95"/>
        <v>59317.251671436265</v>
      </c>
      <c r="CD66" s="202">
        <f t="shared" si="95"/>
        <v>64234.351671436263</v>
      </c>
      <c r="CE66" s="202">
        <f t="shared" si="95"/>
        <v>69151.451671436269</v>
      </c>
      <c r="CF66" s="202">
        <f t="shared" si="95"/>
        <v>74068.55167143626</v>
      </c>
      <c r="CG66" s="202">
        <f t="shared" si="95"/>
        <v>78985.651671436266</v>
      </c>
      <c r="CH66" s="202">
        <f t="shared" si="95"/>
        <v>83902.751671436272</v>
      </c>
      <c r="CI66" s="202">
        <f t="shared" si="95"/>
        <v>88819.851671436278</v>
      </c>
      <c r="CJ66" s="202">
        <f t="shared" si="95"/>
        <v>93736.951671436269</v>
      </c>
      <c r="CK66" s="202">
        <f t="shared" si="95"/>
        <v>98654.051671436275</v>
      </c>
      <c r="CL66" s="202">
        <f t="shared" si="95"/>
        <v>103571.15167143628</v>
      </c>
      <c r="CM66" s="202">
        <f t="shared" si="95"/>
        <v>108488.25167143627</v>
      </c>
      <c r="CN66" s="202">
        <f t="shared" si="95"/>
        <v>113405.35167143628</v>
      </c>
      <c r="CO66" s="202">
        <f t="shared" si="95"/>
        <v>118322.45167143628</v>
      </c>
      <c r="CP66" s="202">
        <f t="shared" si="95"/>
        <v>123239.55167143627</v>
      </c>
      <c r="CQ66" s="202">
        <f t="shared" si="95"/>
        <v>128156.65167143628</v>
      </c>
      <c r="CR66" s="202">
        <f t="shared" si="95"/>
        <v>133073.7516714363</v>
      </c>
      <c r="CS66" s="202">
        <f t="shared" si="95"/>
        <v>137990.85167143628</v>
      </c>
      <c r="CT66" s="202">
        <f t="shared" si="95"/>
        <v>142907.95167143628</v>
      </c>
      <c r="CU66" s="202">
        <f t="shared" si="95"/>
        <v>147825.05167143629</v>
      </c>
      <c r="CV66" s="202">
        <f t="shared" si="95"/>
        <v>152742.15167143627</v>
      </c>
      <c r="CW66" s="202">
        <f t="shared" si="95"/>
        <v>157659.2516714363</v>
      </c>
      <c r="CX66" s="202">
        <f t="shared" si="95"/>
        <v>162576.35167143628</v>
      </c>
      <c r="CY66" s="202">
        <f t="shared" si="95"/>
        <v>167493.45167143631</v>
      </c>
      <c r="CZ66" s="202">
        <f t="shared" si="95"/>
        <v>172410.55167143629</v>
      </c>
      <c r="DA66" s="202">
        <f t="shared" si="95"/>
        <v>177327.65167143627</v>
      </c>
    </row>
    <row r="67" spans="1:105" s="202" customFormat="1">
      <c r="A67" s="202" t="str">
        <f>Income!A81</f>
        <v>Self - employment</v>
      </c>
      <c r="F67" s="202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2">
        <f t="shared" si="96"/>
        <v>3518.2813381454916</v>
      </c>
      <c r="H67" s="202">
        <f t="shared" si="96"/>
        <v>3518.2813381454916</v>
      </c>
      <c r="I67" s="202">
        <f t="shared" si="96"/>
        <v>3518.2813381454916</v>
      </c>
      <c r="J67" s="202">
        <f t="shared" si="96"/>
        <v>3518.2813381454916</v>
      </c>
      <c r="K67" s="202">
        <f t="shared" si="96"/>
        <v>3518.2813381454916</v>
      </c>
      <c r="L67" s="202">
        <f t="shared" si="88"/>
        <v>3518.2813381454916</v>
      </c>
      <c r="M67" s="202">
        <f t="shared" si="96"/>
        <v>3518.2813381454916</v>
      </c>
      <c r="N67" s="202">
        <f t="shared" si="96"/>
        <v>3518.2813381454916</v>
      </c>
      <c r="O67" s="202">
        <f t="shared" si="96"/>
        <v>3518.2813381454916</v>
      </c>
      <c r="P67" s="202">
        <f t="shared" si="96"/>
        <v>3518.2813381454916</v>
      </c>
      <c r="Q67" s="202">
        <f t="shared" si="96"/>
        <v>3752.8334273551909</v>
      </c>
      <c r="R67" s="202">
        <f t="shared" si="96"/>
        <v>3987.3855165648906</v>
      </c>
      <c r="S67" s="202">
        <f t="shared" si="96"/>
        <v>4221.9376057745903</v>
      </c>
      <c r="T67" s="202">
        <f t="shared" si="96"/>
        <v>4456.4896949842896</v>
      </c>
      <c r="U67" s="202">
        <f t="shared" si="96"/>
        <v>4691.0417841939889</v>
      </c>
      <c r="V67" s="202">
        <f t="shared" si="96"/>
        <v>4925.5938734036881</v>
      </c>
      <c r="W67" s="202">
        <f t="shared" si="96"/>
        <v>5160.1459626133874</v>
      </c>
      <c r="X67" s="202">
        <f t="shared" si="96"/>
        <v>5394.6980518230866</v>
      </c>
      <c r="Y67" s="202">
        <f t="shared" si="96"/>
        <v>5629.2501410327859</v>
      </c>
      <c r="Z67" s="202">
        <f t="shared" si="96"/>
        <v>5863.8022302424852</v>
      </c>
      <c r="AA67" s="202">
        <f t="shared" si="96"/>
        <v>6098.3543194521844</v>
      </c>
      <c r="AB67" s="202">
        <f t="shared" si="96"/>
        <v>6332.9064086618846</v>
      </c>
      <c r="AC67" s="202">
        <f t="shared" si="96"/>
        <v>6567.4584978715839</v>
      </c>
      <c r="AD67" s="202">
        <f t="shared" si="96"/>
        <v>6802.0105870812831</v>
      </c>
      <c r="AE67" s="202">
        <f t="shared" si="96"/>
        <v>7036.5626762909833</v>
      </c>
      <c r="AF67" s="202">
        <f t="shared" si="96"/>
        <v>7271.1147655006826</v>
      </c>
      <c r="AG67" s="202">
        <f t="shared" si="96"/>
        <v>7505.6668547103818</v>
      </c>
      <c r="AH67" s="202">
        <f t="shared" si="96"/>
        <v>7740.2189439200811</v>
      </c>
      <c r="AI67" s="202">
        <f t="shared" si="96"/>
        <v>7974.7710331297803</v>
      </c>
      <c r="AJ67" s="202">
        <f t="shared" si="96"/>
        <v>8209.3231223394796</v>
      </c>
      <c r="AK67" s="202">
        <f t="shared" si="96"/>
        <v>8326.5991669443283</v>
      </c>
      <c r="AL67" s="202">
        <f t="shared" si="96"/>
        <v>8443.8752115491789</v>
      </c>
      <c r="AM67" s="202">
        <f t="shared" si="96"/>
        <v>8561.1512561540294</v>
      </c>
      <c r="AN67" s="202">
        <f t="shared" si="96"/>
        <v>8678.4273007588781</v>
      </c>
      <c r="AO67" s="202">
        <f t="shared" si="96"/>
        <v>8795.7033453637268</v>
      </c>
      <c r="AP67" s="202">
        <f t="shared" si="96"/>
        <v>8912.9793899685774</v>
      </c>
      <c r="AQ67" s="202">
        <f t="shared" si="96"/>
        <v>9030.2554345734279</v>
      </c>
      <c r="AR67" s="202">
        <f t="shared" si="96"/>
        <v>9147.5314791782766</v>
      </c>
      <c r="AS67" s="202">
        <f t="shared" si="96"/>
        <v>9264.8075237831254</v>
      </c>
      <c r="AT67" s="202">
        <f t="shared" si="96"/>
        <v>9382.0835683879759</v>
      </c>
      <c r="AU67" s="202">
        <f t="shared" si="96"/>
        <v>9499.3596129928264</v>
      </c>
      <c r="AV67" s="202">
        <f t="shared" si="96"/>
        <v>9616.6356575976752</v>
      </c>
      <c r="AW67" s="202">
        <f t="shared" si="96"/>
        <v>9733.9117022025239</v>
      </c>
      <c r="AX67" s="202">
        <f t="shared" si="96"/>
        <v>9851.1877468073744</v>
      </c>
      <c r="AY67" s="202">
        <f t="shared" si="96"/>
        <v>9968.463791412225</v>
      </c>
      <c r="AZ67" s="202">
        <f t="shared" si="96"/>
        <v>10085.739836017074</v>
      </c>
      <c r="BA67" s="202">
        <f t="shared" si="96"/>
        <v>10203.015880621922</v>
      </c>
      <c r="BB67" s="202">
        <f t="shared" si="96"/>
        <v>10320.291925226773</v>
      </c>
      <c r="BC67" s="202">
        <f t="shared" si="96"/>
        <v>10437.567969831623</v>
      </c>
      <c r="BD67" s="202">
        <f t="shared" si="96"/>
        <v>10554.844014436472</v>
      </c>
      <c r="BE67" s="202">
        <f t="shared" si="96"/>
        <v>10741.583562384194</v>
      </c>
      <c r="BF67" s="202">
        <f t="shared" si="96"/>
        <v>10928.323110331918</v>
      </c>
      <c r="BG67" s="202">
        <f t="shared" si="96"/>
        <v>11115.062658279639</v>
      </c>
      <c r="BH67" s="202">
        <f t="shared" si="96"/>
        <v>11301.802206227361</v>
      </c>
      <c r="BI67" s="202">
        <f t="shared" si="96"/>
        <v>11488.541754175083</v>
      </c>
      <c r="BJ67" s="202">
        <f t="shared" si="96"/>
        <v>11675.281302122807</v>
      </c>
      <c r="BK67" s="202">
        <f t="shared" si="96"/>
        <v>11862.020850070528</v>
      </c>
      <c r="BL67" s="202">
        <f t="shared" si="96"/>
        <v>12048.76039801825</v>
      </c>
      <c r="BM67" s="202">
        <f t="shared" si="96"/>
        <v>12235.499945965974</v>
      </c>
      <c r="BN67" s="202">
        <f t="shared" si="96"/>
        <v>12422.239493913696</v>
      </c>
      <c r="BO67" s="202">
        <f t="shared" si="96"/>
        <v>12608.979041861417</v>
      </c>
      <c r="BP67" s="202">
        <f t="shared" si="96"/>
        <v>12795.718589809141</v>
      </c>
      <c r="BQ67" s="202">
        <f t="shared" si="96"/>
        <v>12982.458137756863</v>
      </c>
      <c r="BR67" s="202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2">
        <f t="shared" si="97"/>
        <v>13355.937233652308</v>
      </c>
      <c r="BT67" s="202">
        <f t="shared" si="97"/>
        <v>13542.67678160003</v>
      </c>
      <c r="BU67" s="202">
        <f t="shared" si="97"/>
        <v>13729.416329547752</v>
      </c>
      <c r="BV67" s="202">
        <f t="shared" si="97"/>
        <v>13916.155877495474</v>
      </c>
      <c r="BW67" s="202">
        <f t="shared" si="97"/>
        <v>14102.895425443197</v>
      </c>
      <c r="BX67" s="202">
        <f t="shared" si="97"/>
        <v>14289.634973390919</v>
      </c>
      <c r="BY67" s="202">
        <f t="shared" si="97"/>
        <v>15086.96897339092</v>
      </c>
      <c r="BZ67" s="202">
        <f t="shared" si="97"/>
        <v>15884.302973390919</v>
      </c>
      <c r="CA67" s="202">
        <f t="shared" si="97"/>
        <v>16681.63697339092</v>
      </c>
      <c r="CB67" s="202">
        <f t="shared" si="97"/>
        <v>17478.970973390919</v>
      </c>
      <c r="CC67" s="202">
        <f t="shared" si="97"/>
        <v>18276.304973390917</v>
      </c>
      <c r="CD67" s="202">
        <f t="shared" si="97"/>
        <v>19073.63897339092</v>
      </c>
      <c r="CE67" s="202">
        <f t="shared" si="97"/>
        <v>19870.972973390919</v>
      </c>
      <c r="CF67" s="202">
        <f t="shared" si="97"/>
        <v>20668.306973390918</v>
      </c>
      <c r="CG67" s="202">
        <f t="shared" si="97"/>
        <v>21465.640973390917</v>
      </c>
      <c r="CH67" s="202">
        <f t="shared" si="97"/>
        <v>22262.974973390919</v>
      </c>
      <c r="CI67" s="202">
        <f t="shared" si="97"/>
        <v>23060.308973390918</v>
      </c>
      <c r="CJ67" s="202">
        <f t="shared" si="97"/>
        <v>23857.642973390917</v>
      </c>
      <c r="CK67" s="202">
        <f t="shared" si="97"/>
        <v>24654.97697339092</v>
      </c>
      <c r="CL67" s="202">
        <f t="shared" si="97"/>
        <v>25452.310973390919</v>
      </c>
      <c r="CM67" s="202">
        <f t="shared" si="97"/>
        <v>26249.644973390918</v>
      </c>
      <c r="CN67" s="202">
        <f t="shared" si="97"/>
        <v>27046.97897339092</v>
      </c>
      <c r="CO67" s="202">
        <f t="shared" si="97"/>
        <v>27844.312973390919</v>
      </c>
      <c r="CP67" s="202">
        <f t="shared" si="97"/>
        <v>28641.646973390918</v>
      </c>
      <c r="CQ67" s="202">
        <f t="shared" si="97"/>
        <v>29438.980973390921</v>
      </c>
      <c r="CR67" s="202">
        <f t="shared" si="97"/>
        <v>30236.314973390916</v>
      </c>
      <c r="CS67" s="202">
        <f t="shared" si="97"/>
        <v>31033.648973390918</v>
      </c>
      <c r="CT67" s="202">
        <f t="shared" si="97"/>
        <v>31830.982973390917</v>
      </c>
      <c r="CU67" s="202">
        <f t="shared" si="97"/>
        <v>32628.316973390916</v>
      </c>
      <c r="CV67" s="202">
        <f t="shared" si="97"/>
        <v>33425.650973390919</v>
      </c>
      <c r="CW67" s="202">
        <f t="shared" si="97"/>
        <v>34222.984973390921</v>
      </c>
      <c r="CX67" s="202">
        <f t="shared" si="97"/>
        <v>35020.318973390917</v>
      </c>
      <c r="CY67" s="202">
        <f t="shared" si="97"/>
        <v>35817.652973390919</v>
      </c>
      <c r="CZ67" s="202">
        <f t="shared" si="97"/>
        <v>36614.986973390914</v>
      </c>
      <c r="DA67" s="202">
        <f t="shared" si="97"/>
        <v>37412.320973390917</v>
      </c>
    </row>
    <row r="68" spans="1:105" s="202" customFormat="1">
      <c r="A68" s="202" t="str">
        <f>Income!A82</f>
        <v>Small business/petty trading</v>
      </c>
      <c r="F68" s="202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2">
        <f t="shared" si="98"/>
        <v>0</v>
      </c>
      <c r="H68" s="202">
        <f t="shared" si="98"/>
        <v>0</v>
      </c>
      <c r="I68" s="202">
        <f t="shared" si="98"/>
        <v>0</v>
      </c>
      <c r="J68" s="202">
        <f t="shared" si="98"/>
        <v>0</v>
      </c>
      <c r="K68" s="202">
        <f t="shared" si="98"/>
        <v>0</v>
      </c>
      <c r="L68" s="202">
        <f t="shared" si="88"/>
        <v>0</v>
      </c>
      <c r="M68" s="202">
        <f t="shared" si="98"/>
        <v>0</v>
      </c>
      <c r="N68" s="202">
        <f t="shared" si="98"/>
        <v>0</v>
      </c>
      <c r="O68" s="202">
        <f t="shared" si="98"/>
        <v>0</v>
      </c>
      <c r="P68" s="202">
        <f t="shared" si="98"/>
        <v>0</v>
      </c>
      <c r="Q68" s="202">
        <f t="shared" si="98"/>
        <v>211.99900370876679</v>
      </c>
      <c r="R68" s="202">
        <f t="shared" si="98"/>
        <v>423.99800741753359</v>
      </c>
      <c r="S68" s="202">
        <f t="shared" si="98"/>
        <v>635.99701112630032</v>
      </c>
      <c r="T68" s="202">
        <f t="shared" si="98"/>
        <v>847.99601483506717</v>
      </c>
      <c r="U68" s="202">
        <f t="shared" si="98"/>
        <v>1059.995018543834</v>
      </c>
      <c r="V68" s="202">
        <f t="shared" si="98"/>
        <v>1271.9940222526006</v>
      </c>
      <c r="W68" s="202">
        <f t="shared" si="98"/>
        <v>1483.9930259613675</v>
      </c>
      <c r="X68" s="202">
        <f t="shared" si="98"/>
        <v>1695.9920296701343</v>
      </c>
      <c r="Y68" s="202">
        <f t="shared" si="98"/>
        <v>1907.9910333789012</v>
      </c>
      <c r="Z68" s="202">
        <f t="shared" si="98"/>
        <v>2119.990037087668</v>
      </c>
      <c r="AA68" s="202">
        <f t="shared" si="98"/>
        <v>2331.9890407964349</v>
      </c>
      <c r="AB68" s="202">
        <f t="shared" si="98"/>
        <v>2543.9880445052013</v>
      </c>
      <c r="AC68" s="202">
        <f t="shared" si="98"/>
        <v>2755.9870482139681</v>
      </c>
      <c r="AD68" s="202">
        <f t="shared" si="98"/>
        <v>2967.986051922735</v>
      </c>
      <c r="AE68" s="202">
        <f t="shared" si="98"/>
        <v>3179.9850556315018</v>
      </c>
      <c r="AF68" s="202">
        <f t="shared" si="98"/>
        <v>3391.9840593402687</v>
      </c>
      <c r="AG68" s="202">
        <f t="shared" si="98"/>
        <v>3603.9830630490355</v>
      </c>
      <c r="AH68" s="202">
        <f t="shared" si="98"/>
        <v>3815.9820667578024</v>
      </c>
      <c r="AI68" s="202">
        <f t="shared" si="98"/>
        <v>4027.9810704665692</v>
      </c>
      <c r="AJ68" s="202">
        <f t="shared" si="98"/>
        <v>4239.9800741753361</v>
      </c>
      <c r="AK68" s="202">
        <f t="shared" si="98"/>
        <v>4379.8092042811186</v>
      </c>
      <c r="AL68" s="202">
        <f t="shared" si="98"/>
        <v>4519.6383343869011</v>
      </c>
      <c r="AM68" s="202">
        <f t="shared" si="98"/>
        <v>4659.4674644926827</v>
      </c>
      <c r="AN68" s="202">
        <f t="shared" si="98"/>
        <v>4799.2965945984652</v>
      </c>
      <c r="AO68" s="202">
        <f t="shared" si="98"/>
        <v>4939.1257247042477</v>
      </c>
      <c r="AP68" s="202">
        <f t="shared" si="98"/>
        <v>5078.9548548100302</v>
      </c>
      <c r="AQ68" s="202">
        <f t="shared" si="98"/>
        <v>5218.7839849158127</v>
      </c>
      <c r="AR68" s="202">
        <f t="shared" si="98"/>
        <v>5358.6131150215951</v>
      </c>
      <c r="AS68" s="202">
        <f t="shared" si="98"/>
        <v>5498.4422451273767</v>
      </c>
      <c r="AT68" s="202">
        <f t="shared" si="98"/>
        <v>5638.2713752331592</v>
      </c>
      <c r="AU68" s="202">
        <f t="shared" si="98"/>
        <v>5778.1005053389417</v>
      </c>
      <c r="AV68" s="202">
        <f t="shared" si="98"/>
        <v>5917.9296354447242</v>
      </c>
      <c r="AW68" s="202">
        <f t="shared" si="98"/>
        <v>6057.7587655505067</v>
      </c>
      <c r="AX68" s="202">
        <f t="shared" si="98"/>
        <v>6197.5878956562883</v>
      </c>
      <c r="AY68" s="202">
        <f t="shared" si="98"/>
        <v>6337.4170257620708</v>
      </c>
      <c r="AZ68" s="202">
        <f t="shared" si="98"/>
        <v>6477.2461558678533</v>
      </c>
      <c r="BA68" s="202">
        <f t="shared" si="98"/>
        <v>6617.0752859736358</v>
      </c>
      <c r="BB68" s="202">
        <f t="shared" si="98"/>
        <v>6756.9044160794183</v>
      </c>
      <c r="BC68" s="202">
        <f t="shared" si="98"/>
        <v>6896.7335461851999</v>
      </c>
      <c r="BD68" s="202">
        <f t="shared" si="98"/>
        <v>7036.5626762909824</v>
      </c>
      <c r="BE68" s="202">
        <f t="shared" si="98"/>
        <v>7131.2856353948991</v>
      </c>
      <c r="BF68" s="202">
        <f t="shared" si="98"/>
        <v>7226.0085944988168</v>
      </c>
      <c r="BG68" s="202">
        <f t="shared" si="98"/>
        <v>7320.7315536027336</v>
      </c>
      <c r="BH68" s="202">
        <f t="shared" si="98"/>
        <v>7415.4545127066503</v>
      </c>
      <c r="BI68" s="202">
        <f t="shared" si="98"/>
        <v>7510.177471810568</v>
      </c>
      <c r="BJ68" s="202">
        <f t="shared" si="98"/>
        <v>7604.9004309144848</v>
      </c>
      <c r="BK68" s="202">
        <f t="shared" si="98"/>
        <v>7699.6233900184016</v>
      </c>
      <c r="BL68" s="202">
        <f t="shared" si="98"/>
        <v>7794.3463491223192</v>
      </c>
      <c r="BM68" s="202">
        <f t="shared" si="98"/>
        <v>7889.069308226236</v>
      </c>
      <c r="BN68" s="202">
        <f t="shared" si="98"/>
        <v>7983.7922673301528</v>
      </c>
      <c r="BO68" s="202">
        <f t="shared" si="98"/>
        <v>8078.5152264340704</v>
      </c>
      <c r="BP68" s="202">
        <f t="shared" si="98"/>
        <v>8173.2381855379872</v>
      </c>
      <c r="BQ68" s="202">
        <f t="shared" si="98"/>
        <v>8267.961144641904</v>
      </c>
      <c r="BR68" s="202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2">
        <f t="shared" si="99"/>
        <v>8457.4070628497393</v>
      </c>
      <c r="BT68" s="202">
        <f t="shared" si="99"/>
        <v>8552.1300219536552</v>
      </c>
      <c r="BU68" s="202">
        <f t="shared" si="99"/>
        <v>8646.8529810575728</v>
      </c>
      <c r="BV68" s="202">
        <f t="shared" si="99"/>
        <v>8741.5759401614905</v>
      </c>
      <c r="BW68" s="202">
        <f t="shared" si="99"/>
        <v>8836.2988992654064</v>
      </c>
      <c r="BX68" s="202">
        <f t="shared" si="99"/>
        <v>8931.021858369324</v>
      </c>
      <c r="BY68" s="202">
        <f t="shared" si="99"/>
        <v>11707.281858369324</v>
      </c>
      <c r="BZ68" s="202">
        <f t="shared" si="99"/>
        <v>14483.541858369324</v>
      </c>
      <c r="CA68" s="202">
        <f t="shared" si="99"/>
        <v>17259.801858369327</v>
      </c>
      <c r="CB68" s="202">
        <f t="shared" si="99"/>
        <v>20036.061858369325</v>
      </c>
      <c r="CC68" s="202">
        <f t="shared" si="99"/>
        <v>22812.321858369323</v>
      </c>
      <c r="CD68" s="202">
        <f t="shared" si="99"/>
        <v>25588.581858369325</v>
      </c>
      <c r="CE68" s="202">
        <f t="shared" si="99"/>
        <v>28364.841858369324</v>
      </c>
      <c r="CF68" s="202">
        <f t="shared" si="99"/>
        <v>31141.101858369326</v>
      </c>
      <c r="CG68" s="202">
        <f t="shared" si="99"/>
        <v>33917.361858369331</v>
      </c>
      <c r="CH68" s="202">
        <f t="shared" si="99"/>
        <v>36693.621858369326</v>
      </c>
      <c r="CI68" s="202">
        <f t="shared" si="99"/>
        <v>39469.881858369321</v>
      </c>
      <c r="CJ68" s="202">
        <f t="shared" si="99"/>
        <v>42246.14185836933</v>
      </c>
      <c r="CK68" s="202">
        <f t="shared" si="99"/>
        <v>45022.401858369325</v>
      </c>
      <c r="CL68" s="202">
        <f t="shared" si="99"/>
        <v>47798.66185836932</v>
      </c>
      <c r="CM68" s="202">
        <f t="shared" si="99"/>
        <v>50574.921858369329</v>
      </c>
      <c r="CN68" s="202">
        <f t="shared" si="99"/>
        <v>53351.181858369324</v>
      </c>
      <c r="CO68" s="202">
        <f t="shared" si="99"/>
        <v>56127.441858369333</v>
      </c>
      <c r="CP68" s="202">
        <f t="shared" si="99"/>
        <v>58903.701858369328</v>
      </c>
      <c r="CQ68" s="202">
        <f t="shared" si="99"/>
        <v>61679.961858369323</v>
      </c>
      <c r="CR68" s="202">
        <f t="shared" si="99"/>
        <v>64456.221858369332</v>
      </c>
      <c r="CS68" s="202">
        <f t="shared" si="99"/>
        <v>67232.481858369327</v>
      </c>
      <c r="CT68" s="202">
        <f t="shared" si="99"/>
        <v>70008.741858369322</v>
      </c>
      <c r="CU68" s="202">
        <f t="shared" si="99"/>
        <v>72785.001858369331</v>
      </c>
      <c r="CV68" s="202">
        <f t="shared" si="99"/>
        <v>75561.261858369326</v>
      </c>
      <c r="CW68" s="202">
        <f t="shared" si="99"/>
        <v>78337.52185836932</v>
      </c>
      <c r="CX68" s="202">
        <f t="shared" si="99"/>
        <v>81113.78185836933</v>
      </c>
      <c r="CY68" s="202">
        <f t="shared" si="99"/>
        <v>83890.041858369324</v>
      </c>
      <c r="CZ68" s="202">
        <f t="shared" si="99"/>
        <v>86666.301858369319</v>
      </c>
      <c r="DA68" s="202">
        <f t="shared" si="99"/>
        <v>89442.561858369329</v>
      </c>
    </row>
    <row r="69" spans="1:105" s="202" customFormat="1">
      <c r="A69" s="202" t="str">
        <f>Income!A83</f>
        <v>Food transfer - official</v>
      </c>
      <c r="F69" s="202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2">
        <f t="shared" si="100"/>
        <v>1220.9989961164727</v>
      </c>
      <c r="H69" s="202">
        <f t="shared" si="100"/>
        <v>1220.9989961164727</v>
      </c>
      <c r="I69" s="202">
        <f t="shared" si="100"/>
        <v>1220.9989961164727</v>
      </c>
      <c r="J69" s="202">
        <f t="shared" si="100"/>
        <v>1220.9989961164727</v>
      </c>
      <c r="K69" s="202">
        <f t="shared" si="100"/>
        <v>1220.9989961164727</v>
      </c>
      <c r="L69" s="202">
        <f t="shared" si="88"/>
        <v>1220.9989961164727</v>
      </c>
      <c r="M69" s="202">
        <f t="shared" si="100"/>
        <v>1220.9989961164727</v>
      </c>
      <c r="N69" s="202">
        <f t="shared" si="100"/>
        <v>1220.9989961164727</v>
      </c>
      <c r="O69" s="202">
        <f t="shared" si="100"/>
        <v>1220.9989961164727</v>
      </c>
      <c r="P69" s="202">
        <f t="shared" si="100"/>
        <v>1220.9989961164727</v>
      </c>
      <c r="Q69" s="202">
        <f t="shared" si="100"/>
        <v>1220.9989961164727</v>
      </c>
      <c r="R69" s="202">
        <f t="shared" si="100"/>
        <v>1220.9989961164727</v>
      </c>
      <c r="S69" s="202">
        <f t="shared" si="100"/>
        <v>1220.9989961164727</v>
      </c>
      <c r="T69" s="202">
        <f t="shared" si="100"/>
        <v>1220.9989961164727</v>
      </c>
      <c r="U69" s="202">
        <f t="shared" si="100"/>
        <v>1220.9989961164727</v>
      </c>
      <c r="V69" s="202">
        <f t="shared" si="100"/>
        <v>1220.9989961164727</v>
      </c>
      <c r="W69" s="202">
        <f t="shared" si="100"/>
        <v>1220.9989961164727</v>
      </c>
      <c r="X69" s="202">
        <f t="shared" si="100"/>
        <v>1220.9989961164727</v>
      </c>
      <c r="Y69" s="202">
        <f t="shared" si="100"/>
        <v>1220.9989961164727</v>
      </c>
      <c r="Z69" s="202">
        <f t="shared" si="100"/>
        <v>1220.9989961164727</v>
      </c>
      <c r="AA69" s="202">
        <f t="shared" si="100"/>
        <v>1220.9989961164727</v>
      </c>
      <c r="AB69" s="202">
        <f t="shared" si="100"/>
        <v>1220.9989961164727</v>
      </c>
      <c r="AC69" s="202">
        <f t="shared" si="100"/>
        <v>1220.9989961164727</v>
      </c>
      <c r="AD69" s="202">
        <f t="shared" si="100"/>
        <v>1220.9989961164727</v>
      </c>
      <c r="AE69" s="202">
        <f t="shared" si="100"/>
        <v>1220.9989961164727</v>
      </c>
      <c r="AF69" s="202">
        <f t="shared" si="100"/>
        <v>1220.9989961164727</v>
      </c>
      <c r="AG69" s="202">
        <f t="shared" si="100"/>
        <v>1220.9989961164727</v>
      </c>
      <c r="AH69" s="202">
        <f t="shared" si="100"/>
        <v>1220.9989961164727</v>
      </c>
      <c r="AI69" s="202">
        <f t="shared" si="100"/>
        <v>1220.9989961164727</v>
      </c>
      <c r="AJ69" s="202">
        <f t="shared" si="100"/>
        <v>1220.9989961164727</v>
      </c>
      <c r="AK69" s="202">
        <f t="shared" si="100"/>
        <v>1220.9989961164727</v>
      </c>
      <c r="AL69" s="202">
        <f t="shared" si="100"/>
        <v>1220.9989961164727</v>
      </c>
      <c r="AM69" s="202">
        <f t="shared" si="100"/>
        <v>1220.9989961164727</v>
      </c>
      <c r="AN69" s="202">
        <f t="shared" si="100"/>
        <v>1220.9989961164727</v>
      </c>
      <c r="AO69" s="202">
        <f t="shared" si="100"/>
        <v>1220.9989961164727</v>
      </c>
      <c r="AP69" s="202">
        <f t="shared" si="100"/>
        <v>1220.9989961164727</v>
      </c>
      <c r="AQ69" s="202">
        <f t="shared" si="100"/>
        <v>1220.9989961164727</v>
      </c>
      <c r="AR69" s="202">
        <f t="shared" si="100"/>
        <v>1220.9989961164727</v>
      </c>
      <c r="AS69" s="202">
        <f t="shared" si="100"/>
        <v>1220.9989961164727</v>
      </c>
      <c r="AT69" s="202">
        <f t="shared" si="100"/>
        <v>1220.9989961164724</v>
      </c>
      <c r="AU69" s="202">
        <f t="shared" si="100"/>
        <v>1220.9989961164724</v>
      </c>
      <c r="AV69" s="202">
        <f t="shared" si="100"/>
        <v>1220.9989961164724</v>
      </c>
      <c r="AW69" s="202">
        <f t="shared" si="100"/>
        <v>1220.9989961164724</v>
      </c>
      <c r="AX69" s="202">
        <f t="shared" si="100"/>
        <v>1220.9989961164724</v>
      </c>
      <c r="AY69" s="202">
        <f t="shared" si="100"/>
        <v>1220.9989961164724</v>
      </c>
      <c r="AZ69" s="202">
        <f t="shared" si="100"/>
        <v>1220.9989961164724</v>
      </c>
      <c r="BA69" s="202">
        <f t="shared" si="100"/>
        <v>1220.9989961164724</v>
      </c>
      <c r="BB69" s="202">
        <f t="shared" si="100"/>
        <v>1220.9989961164724</v>
      </c>
      <c r="BC69" s="202">
        <f t="shared" si="100"/>
        <v>1220.9989961164724</v>
      </c>
      <c r="BD69" s="202">
        <f t="shared" si="100"/>
        <v>1220.9989961164724</v>
      </c>
      <c r="BE69" s="202">
        <f t="shared" si="100"/>
        <v>1220.9989961164724</v>
      </c>
      <c r="BF69" s="202">
        <f t="shared" si="100"/>
        <v>1220.9989961164724</v>
      </c>
      <c r="BG69" s="202">
        <f t="shared" si="100"/>
        <v>1220.9989961164724</v>
      </c>
      <c r="BH69" s="202">
        <f t="shared" si="100"/>
        <v>1220.9989961164724</v>
      </c>
      <c r="BI69" s="202">
        <f t="shared" si="100"/>
        <v>1220.9989961164724</v>
      </c>
      <c r="BJ69" s="202">
        <f t="shared" si="100"/>
        <v>1220.9989961164724</v>
      </c>
      <c r="BK69" s="202">
        <f t="shared" si="100"/>
        <v>1220.9989961164724</v>
      </c>
      <c r="BL69" s="202">
        <f t="shared" si="100"/>
        <v>1220.9989961164724</v>
      </c>
      <c r="BM69" s="202">
        <f t="shared" si="100"/>
        <v>1220.9989961164724</v>
      </c>
      <c r="BN69" s="202">
        <f t="shared" si="100"/>
        <v>1220.9989961164724</v>
      </c>
      <c r="BO69" s="202">
        <f t="shared" si="100"/>
        <v>1220.9989961164727</v>
      </c>
      <c r="BP69" s="202">
        <f t="shared" si="100"/>
        <v>1220.9989961164727</v>
      </c>
      <c r="BQ69" s="202">
        <f t="shared" si="100"/>
        <v>1220.9989961164727</v>
      </c>
      <c r="BR69" s="202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2">
        <f t="shared" si="101"/>
        <v>1220.9989961164727</v>
      </c>
      <c r="BT69" s="202">
        <f t="shared" si="101"/>
        <v>1220.9989961164727</v>
      </c>
      <c r="BU69" s="202">
        <f t="shared" si="101"/>
        <v>1220.9989961164727</v>
      </c>
      <c r="BV69" s="202">
        <f t="shared" si="101"/>
        <v>1220.9989961164727</v>
      </c>
      <c r="BW69" s="202">
        <f t="shared" si="101"/>
        <v>1220.9989961164727</v>
      </c>
      <c r="BX69" s="202">
        <f t="shared" si="101"/>
        <v>1220.9989961164727</v>
      </c>
      <c r="BY69" s="202">
        <f t="shared" si="101"/>
        <v>1189.4709961164726</v>
      </c>
      <c r="BZ69" s="202">
        <f t="shared" si="101"/>
        <v>1157.9429961164726</v>
      </c>
      <c r="CA69" s="202">
        <f t="shared" si="101"/>
        <v>1126.4149961164726</v>
      </c>
      <c r="CB69" s="202">
        <f t="shared" si="101"/>
        <v>1094.8869961164726</v>
      </c>
      <c r="CC69" s="202">
        <f t="shared" si="101"/>
        <v>1063.3589961164726</v>
      </c>
      <c r="CD69" s="202">
        <f t="shared" si="101"/>
        <v>1031.8309961164725</v>
      </c>
      <c r="CE69" s="202">
        <f t="shared" si="101"/>
        <v>1000.3029961164724</v>
      </c>
      <c r="CF69" s="202">
        <f t="shared" si="101"/>
        <v>968.77499611647238</v>
      </c>
      <c r="CG69" s="202">
        <f t="shared" si="101"/>
        <v>937.24699611647236</v>
      </c>
      <c r="CH69" s="202">
        <f t="shared" si="101"/>
        <v>905.71899611647234</v>
      </c>
      <c r="CI69" s="202">
        <f t="shared" si="101"/>
        <v>874.19099611647221</v>
      </c>
      <c r="CJ69" s="202">
        <f t="shared" si="101"/>
        <v>842.66299611647219</v>
      </c>
      <c r="CK69" s="202">
        <f t="shared" si="101"/>
        <v>811.13499611647217</v>
      </c>
      <c r="CL69" s="202">
        <f t="shared" si="101"/>
        <v>779.60699611647215</v>
      </c>
      <c r="CM69" s="202">
        <f t="shared" si="101"/>
        <v>748.07899611647213</v>
      </c>
      <c r="CN69" s="202">
        <f t="shared" si="101"/>
        <v>716.55099611647211</v>
      </c>
      <c r="CO69" s="202">
        <f t="shared" si="101"/>
        <v>685.02299611647209</v>
      </c>
      <c r="CP69" s="202">
        <f t="shared" si="101"/>
        <v>653.49499611647207</v>
      </c>
      <c r="CQ69" s="202">
        <f t="shared" si="101"/>
        <v>621.96699611647205</v>
      </c>
      <c r="CR69" s="202">
        <f t="shared" si="101"/>
        <v>590.43899611647203</v>
      </c>
      <c r="CS69" s="202">
        <f t="shared" si="101"/>
        <v>558.91099611647189</v>
      </c>
      <c r="CT69" s="202">
        <f t="shared" si="101"/>
        <v>527.38299611647187</v>
      </c>
      <c r="CU69" s="202">
        <f t="shared" si="101"/>
        <v>495.85499611647185</v>
      </c>
      <c r="CV69" s="202">
        <f t="shared" si="101"/>
        <v>464.32699611647183</v>
      </c>
      <c r="CW69" s="202">
        <f t="shared" si="101"/>
        <v>432.79899611647181</v>
      </c>
      <c r="CX69" s="202">
        <f t="shared" si="101"/>
        <v>401.27099611647179</v>
      </c>
      <c r="CY69" s="202">
        <f t="shared" si="101"/>
        <v>369.74299611647177</v>
      </c>
      <c r="CZ69" s="202">
        <f t="shared" si="101"/>
        <v>338.21499611647164</v>
      </c>
      <c r="DA69" s="202">
        <f t="shared" si="101"/>
        <v>306.68699611647162</v>
      </c>
    </row>
    <row r="70" spans="1:105" s="202" customFormat="1">
      <c r="A70" s="202" t="str">
        <f>Income!A85</f>
        <v>Cash transfer - official</v>
      </c>
      <c r="F70" s="202">
        <f t="shared" si="100"/>
        <v>15408.268014237179</v>
      </c>
      <c r="G70" s="202">
        <f t="shared" si="100"/>
        <v>15408.268014237179</v>
      </c>
      <c r="H70" s="202">
        <f t="shared" si="100"/>
        <v>15408.268014237179</v>
      </c>
      <c r="I70" s="202">
        <f t="shared" si="100"/>
        <v>15408.268014237179</v>
      </c>
      <c r="J70" s="202">
        <f t="shared" si="100"/>
        <v>15408.268014237179</v>
      </c>
      <c r="K70" s="202">
        <f t="shared" si="100"/>
        <v>15408.268014237179</v>
      </c>
      <c r="L70" s="202">
        <f t="shared" si="100"/>
        <v>15408.268014237179</v>
      </c>
      <c r="M70" s="202">
        <f t="shared" si="100"/>
        <v>15408.268014237179</v>
      </c>
      <c r="N70" s="202">
        <f t="shared" si="100"/>
        <v>15408.268014237179</v>
      </c>
      <c r="O70" s="202">
        <f t="shared" si="100"/>
        <v>15408.268014237179</v>
      </c>
      <c r="P70" s="202">
        <f t="shared" si="100"/>
        <v>15408.268014237179</v>
      </c>
      <c r="Q70" s="202">
        <f t="shared" si="100"/>
        <v>15408.268014237179</v>
      </c>
      <c r="R70" s="202">
        <f t="shared" si="100"/>
        <v>15408.268014237179</v>
      </c>
      <c r="S70" s="202">
        <f t="shared" si="100"/>
        <v>15408.268014237179</v>
      </c>
      <c r="T70" s="202">
        <f t="shared" si="100"/>
        <v>15408.268014237179</v>
      </c>
      <c r="U70" s="202">
        <f t="shared" si="100"/>
        <v>15408.268014237179</v>
      </c>
      <c r="V70" s="202">
        <f t="shared" si="100"/>
        <v>15408.268014237179</v>
      </c>
      <c r="W70" s="202">
        <f t="shared" si="100"/>
        <v>15408.268014237179</v>
      </c>
      <c r="X70" s="202">
        <f t="shared" si="100"/>
        <v>15408.268014237179</v>
      </c>
      <c r="Y70" s="202">
        <f t="shared" si="100"/>
        <v>15408.268014237179</v>
      </c>
      <c r="Z70" s="202">
        <f t="shared" si="100"/>
        <v>15408.268014237179</v>
      </c>
      <c r="AA70" s="202">
        <f t="shared" si="100"/>
        <v>15408.268014237179</v>
      </c>
      <c r="AB70" s="202">
        <f t="shared" si="100"/>
        <v>15408.268014237179</v>
      </c>
      <c r="AC70" s="202">
        <f t="shared" si="100"/>
        <v>15408.268014237179</v>
      </c>
      <c r="AD70" s="202">
        <f t="shared" si="100"/>
        <v>15408.268014237179</v>
      </c>
      <c r="AE70" s="202">
        <f t="shared" si="100"/>
        <v>15408.268014237179</v>
      </c>
      <c r="AF70" s="202">
        <f t="shared" si="100"/>
        <v>15408.268014237179</v>
      </c>
      <c r="AG70" s="202">
        <f t="shared" si="100"/>
        <v>15408.268014237179</v>
      </c>
      <c r="AH70" s="202">
        <f t="shared" si="100"/>
        <v>15408.268014237179</v>
      </c>
      <c r="AI70" s="202">
        <f t="shared" si="100"/>
        <v>15408.268014237179</v>
      </c>
      <c r="AJ70" s="202">
        <f t="shared" si="100"/>
        <v>15408.268014237179</v>
      </c>
      <c r="AK70" s="202">
        <f t="shared" si="100"/>
        <v>14866.993962214796</v>
      </c>
      <c r="AL70" s="202">
        <f t="shared" si="100"/>
        <v>14325.719910192412</v>
      </c>
      <c r="AM70" s="202">
        <f t="shared" si="100"/>
        <v>13784.445858170029</v>
      </c>
      <c r="AN70" s="202">
        <f t="shared" si="100"/>
        <v>13243.171806147646</v>
      </c>
      <c r="AO70" s="202">
        <f t="shared" si="100"/>
        <v>12701.897754125263</v>
      </c>
      <c r="AP70" s="202">
        <f t="shared" si="100"/>
        <v>12160.623702102879</v>
      </c>
      <c r="AQ70" s="202">
        <f t="shared" si="100"/>
        <v>11619.349650080496</v>
      </c>
      <c r="AR70" s="202">
        <f t="shared" si="100"/>
        <v>11078.075598058113</v>
      </c>
      <c r="AS70" s="202">
        <f t="shared" si="100"/>
        <v>10536.801546035729</v>
      </c>
      <c r="AT70" s="202">
        <f t="shared" si="100"/>
        <v>9995.5274940133459</v>
      </c>
      <c r="AU70" s="202">
        <f t="shared" si="100"/>
        <v>9454.2534419909625</v>
      </c>
      <c r="AV70" s="202">
        <f t="shared" si="100"/>
        <v>8912.9793899685792</v>
      </c>
      <c r="AW70" s="202">
        <f t="shared" si="100"/>
        <v>8371.7053379461959</v>
      </c>
      <c r="AX70" s="202">
        <f t="shared" si="100"/>
        <v>7830.4312859238125</v>
      </c>
      <c r="AY70" s="202">
        <f t="shared" si="100"/>
        <v>7289.1572339014292</v>
      </c>
      <c r="AZ70" s="202">
        <f t="shared" si="100"/>
        <v>6747.8831818790459</v>
      </c>
      <c r="BA70" s="202">
        <f t="shared" si="100"/>
        <v>6206.6091298566625</v>
      </c>
      <c r="BB70" s="202">
        <f t="shared" si="100"/>
        <v>5665.3350778342792</v>
      </c>
      <c r="BC70" s="202">
        <f t="shared" si="100"/>
        <v>5124.0610258118959</v>
      </c>
      <c r="BD70" s="202">
        <f t="shared" si="100"/>
        <v>4582.7869737895126</v>
      </c>
      <c r="BE70" s="202">
        <f t="shared" si="100"/>
        <v>4353.6476251000358</v>
      </c>
      <c r="BF70" s="202">
        <f t="shared" si="100"/>
        <v>4124.5082764105609</v>
      </c>
      <c r="BG70" s="202">
        <f t="shared" si="100"/>
        <v>3895.3689277210851</v>
      </c>
      <c r="BH70" s="202">
        <f t="shared" si="100"/>
        <v>3666.2295790316093</v>
      </c>
      <c r="BI70" s="202">
        <f t="shared" si="100"/>
        <v>3437.0902303421335</v>
      </c>
      <c r="BJ70" s="202">
        <f t="shared" si="100"/>
        <v>3207.9508816526582</v>
      </c>
      <c r="BK70" s="202">
        <f t="shared" si="100"/>
        <v>2978.8115329631828</v>
      </c>
      <c r="BL70" s="202">
        <f t="shared" si="100"/>
        <v>2749.672184273707</v>
      </c>
      <c r="BM70" s="202">
        <f t="shared" si="100"/>
        <v>2520.5328355842312</v>
      </c>
      <c r="BN70" s="202">
        <f t="shared" si="100"/>
        <v>2291.3934868947558</v>
      </c>
      <c r="BO70" s="202">
        <f t="shared" si="100"/>
        <v>2062.2541382052805</v>
      </c>
      <c r="BP70" s="202">
        <f t="shared" si="100"/>
        <v>1833.1147895158047</v>
      </c>
      <c r="BQ70" s="202">
        <f t="shared" si="100"/>
        <v>1603.9754408263288</v>
      </c>
      <c r="BR70" s="202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2">
        <f t="shared" si="102"/>
        <v>1145.6967434473781</v>
      </c>
      <c r="BT70" s="202">
        <f t="shared" si="102"/>
        <v>916.55739475790233</v>
      </c>
      <c r="BU70" s="202">
        <f t="shared" si="102"/>
        <v>687.41804606842652</v>
      </c>
      <c r="BV70" s="202">
        <f t="shared" si="102"/>
        <v>458.27869737895071</v>
      </c>
      <c r="BW70" s="202">
        <f t="shared" si="102"/>
        <v>229.13934868947581</v>
      </c>
      <c r="BX70" s="202">
        <f t="shared" si="102"/>
        <v>0</v>
      </c>
      <c r="BY70" s="202">
        <f t="shared" si="102"/>
        <v>0</v>
      </c>
      <c r="BZ70" s="202">
        <f t="shared" si="102"/>
        <v>0</v>
      </c>
      <c r="CA70" s="202">
        <f t="shared" si="102"/>
        <v>0</v>
      </c>
      <c r="CB70" s="202">
        <f t="shared" si="102"/>
        <v>0</v>
      </c>
      <c r="CC70" s="202">
        <f t="shared" si="102"/>
        <v>0</v>
      </c>
      <c r="CD70" s="202">
        <f t="shared" si="102"/>
        <v>0</v>
      </c>
      <c r="CE70" s="202">
        <f t="shared" si="102"/>
        <v>0</v>
      </c>
      <c r="CF70" s="202">
        <f t="shared" si="102"/>
        <v>0</v>
      </c>
      <c r="CG70" s="202">
        <f t="shared" si="102"/>
        <v>0</v>
      </c>
      <c r="CH70" s="202">
        <f t="shared" si="102"/>
        <v>0</v>
      </c>
      <c r="CI70" s="202">
        <f t="shared" si="102"/>
        <v>0</v>
      </c>
      <c r="CJ70" s="202">
        <f t="shared" si="102"/>
        <v>0</v>
      </c>
      <c r="CK70" s="202">
        <f t="shared" si="102"/>
        <v>0</v>
      </c>
      <c r="CL70" s="202">
        <f t="shared" si="102"/>
        <v>0</v>
      </c>
      <c r="CM70" s="202">
        <f t="shared" si="102"/>
        <v>0</v>
      </c>
      <c r="CN70" s="202">
        <f t="shared" si="102"/>
        <v>0</v>
      </c>
      <c r="CO70" s="202">
        <f t="shared" si="102"/>
        <v>0</v>
      </c>
      <c r="CP70" s="202">
        <f t="shared" si="102"/>
        <v>0</v>
      </c>
      <c r="CQ70" s="202">
        <f t="shared" si="102"/>
        <v>0</v>
      </c>
      <c r="CR70" s="202">
        <f t="shared" si="102"/>
        <v>0</v>
      </c>
      <c r="CS70" s="202">
        <f t="shared" si="102"/>
        <v>0</v>
      </c>
      <c r="CT70" s="202">
        <f t="shared" si="102"/>
        <v>0</v>
      </c>
      <c r="CU70" s="202">
        <f t="shared" si="102"/>
        <v>0</v>
      </c>
      <c r="CV70" s="202">
        <f t="shared" si="102"/>
        <v>0</v>
      </c>
      <c r="CW70" s="202">
        <f t="shared" si="102"/>
        <v>0</v>
      </c>
      <c r="CX70" s="202">
        <f t="shared" si="102"/>
        <v>0</v>
      </c>
      <c r="CY70" s="202">
        <f t="shared" si="102"/>
        <v>0</v>
      </c>
      <c r="CZ70" s="202">
        <f t="shared" si="102"/>
        <v>0</v>
      </c>
      <c r="DA70" s="202">
        <f t="shared" si="102"/>
        <v>0</v>
      </c>
    </row>
    <row r="71" spans="1:105" s="202" customFormat="1">
      <c r="A71" s="202" t="str">
        <f>Income!A86</f>
        <v>Cash transfer - gifts</v>
      </c>
      <c r="F71" s="202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2">
        <f t="shared" si="103"/>
        <v>3825.0033009581762</v>
      </c>
      <c r="H71" s="202">
        <f t="shared" si="103"/>
        <v>3825.0033009581762</v>
      </c>
      <c r="I71" s="202">
        <f t="shared" si="103"/>
        <v>3825.0033009581762</v>
      </c>
      <c r="J71" s="202">
        <f t="shared" si="103"/>
        <v>3825.0033009581762</v>
      </c>
      <c r="K71" s="202">
        <f t="shared" si="103"/>
        <v>3825.0033009581762</v>
      </c>
      <c r="L71" s="202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2">
        <f t="shared" si="103"/>
        <v>3825.0033009581762</v>
      </c>
      <c r="N71" s="202">
        <f t="shared" si="103"/>
        <v>3825.0033009581762</v>
      </c>
      <c r="O71" s="202">
        <f t="shared" si="103"/>
        <v>3825.0033009581762</v>
      </c>
      <c r="P71" s="202">
        <f t="shared" si="103"/>
        <v>3825.0033009581762</v>
      </c>
      <c r="Q71" s="202">
        <f t="shared" si="103"/>
        <v>3764.5610318156769</v>
      </c>
      <c r="R71" s="202">
        <f t="shared" si="103"/>
        <v>3704.1187626731771</v>
      </c>
      <c r="S71" s="202">
        <f t="shared" si="103"/>
        <v>3643.6764935306778</v>
      </c>
      <c r="T71" s="202">
        <f t="shared" si="103"/>
        <v>3583.2342243881781</v>
      </c>
      <c r="U71" s="202">
        <f t="shared" si="103"/>
        <v>3522.7919552456788</v>
      </c>
      <c r="V71" s="202">
        <f t="shared" si="103"/>
        <v>3462.349686103179</v>
      </c>
      <c r="W71" s="202">
        <f t="shared" si="103"/>
        <v>3401.9074169606797</v>
      </c>
      <c r="X71" s="202">
        <f t="shared" si="103"/>
        <v>3341.46514781818</v>
      </c>
      <c r="Y71" s="202">
        <f t="shared" si="103"/>
        <v>3281.0228786756807</v>
      </c>
      <c r="Z71" s="202">
        <f t="shared" si="103"/>
        <v>3220.5806095331809</v>
      </c>
      <c r="AA71" s="202">
        <f t="shared" si="103"/>
        <v>3160.1383403906816</v>
      </c>
      <c r="AB71" s="202">
        <f t="shared" si="103"/>
        <v>3099.6960712481823</v>
      </c>
      <c r="AC71" s="202">
        <f t="shared" si="103"/>
        <v>3039.2538021056826</v>
      </c>
      <c r="AD71" s="202">
        <f t="shared" si="103"/>
        <v>2978.8115329631833</v>
      </c>
      <c r="AE71" s="202">
        <f t="shared" si="103"/>
        <v>2918.3692638206835</v>
      </c>
      <c r="AF71" s="202">
        <f t="shared" si="103"/>
        <v>2857.9269946781842</v>
      </c>
      <c r="AG71" s="202">
        <f t="shared" si="103"/>
        <v>2797.4847255356844</v>
      </c>
      <c r="AH71" s="202">
        <f t="shared" si="103"/>
        <v>2737.0424563931851</v>
      </c>
      <c r="AI71" s="202">
        <f t="shared" si="103"/>
        <v>2676.6001872506858</v>
      </c>
      <c r="AJ71" s="202">
        <f t="shared" si="103"/>
        <v>2616.1579181081861</v>
      </c>
      <c r="AK71" s="202">
        <f t="shared" si="103"/>
        <v>2661.2640891100514</v>
      </c>
      <c r="AL71" s="202">
        <f t="shared" si="103"/>
        <v>2706.3702601119167</v>
      </c>
      <c r="AM71" s="202">
        <f t="shared" si="103"/>
        <v>2751.4764311137819</v>
      </c>
      <c r="AN71" s="202">
        <f t="shared" si="103"/>
        <v>2796.5826021156472</v>
      </c>
      <c r="AO71" s="202">
        <f t="shared" si="103"/>
        <v>2841.6887731175125</v>
      </c>
      <c r="AP71" s="202">
        <f t="shared" si="103"/>
        <v>2886.7949441193778</v>
      </c>
      <c r="AQ71" s="202">
        <f t="shared" si="103"/>
        <v>2931.901115121243</v>
      </c>
      <c r="AR71" s="202">
        <f t="shared" si="103"/>
        <v>2977.0072861231083</v>
      </c>
      <c r="AS71" s="202">
        <f t="shared" si="103"/>
        <v>3022.1134571249736</v>
      </c>
      <c r="AT71" s="202">
        <f t="shared" si="103"/>
        <v>3067.2196281268389</v>
      </c>
      <c r="AU71" s="202">
        <f t="shared" si="103"/>
        <v>3112.3257991287037</v>
      </c>
      <c r="AV71" s="202">
        <f t="shared" si="103"/>
        <v>3157.4319701305694</v>
      </c>
      <c r="AW71" s="202">
        <f t="shared" si="103"/>
        <v>3202.5381411324342</v>
      </c>
      <c r="AX71" s="202">
        <f t="shared" si="103"/>
        <v>3247.6443121342995</v>
      </c>
      <c r="AY71" s="202">
        <f t="shared" si="103"/>
        <v>3292.7504831361648</v>
      </c>
      <c r="AZ71" s="202">
        <f t="shared" si="103"/>
        <v>3337.8566541380301</v>
      </c>
      <c r="BA71" s="202">
        <f t="shared" si="103"/>
        <v>3382.9628251398954</v>
      </c>
      <c r="BB71" s="202">
        <f t="shared" si="103"/>
        <v>3428.0689961417606</v>
      </c>
      <c r="BC71" s="202">
        <f t="shared" si="103"/>
        <v>3473.1751671436259</v>
      </c>
      <c r="BD71" s="202">
        <f t="shared" si="103"/>
        <v>3518.2813381454912</v>
      </c>
      <c r="BE71" s="202">
        <f t="shared" si="103"/>
        <v>3567.8981262475431</v>
      </c>
      <c r="BF71" s="202">
        <f t="shared" si="103"/>
        <v>3617.5149143495946</v>
      </c>
      <c r="BG71" s="202">
        <f t="shared" si="103"/>
        <v>3667.1317024516466</v>
      </c>
      <c r="BH71" s="202">
        <f t="shared" si="103"/>
        <v>3716.7484905536985</v>
      </c>
      <c r="BI71" s="202">
        <f t="shared" si="103"/>
        <v>3766.3652786557504</v>
      </c>
      <c r="BJ71" s="202">
        <f t="shared" si="103"/>
        <v>3815.9820667578024</v>
      </c>
      <c r="BK71" s="202">
        <f t="shared" si="103"/>
        <v>3865.5988548598539</v>
      </c>
      <c r="BL71" s="202">
        <f t="shared" si="103"/>
        <v>3915.2156429619058</v>
      </c>
      <c r="BM71" s="202">
        <f t="shared" si="103"/>
        <v>3964.8324310639578</v>
      </c>
      <c r="BN71" s="202">
        <f t="shared" si="103"/>
        <v>4014.4492191660092</v>
      </c>
      <c r="BO71" s="202">
        <f t="shared" si="103"/>
        <v>4064.0660072680612</v>
      </c>
      <c r="BP71" s="202">
        <f t="shared" si="103"/>
        <v>4113.6827953701131</v>
      </c>
      <c r="BQ71" s="202">
        <f t="shared" si="103"/>
        <v>4163.2995834721651</v>
      </c>
      <c r="BR71" s="202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2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2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2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2">
        <f t="shared" si="104"/>
        <v>4411.3835239824239</v>
      </c>
      <c r="BW71" s="202">
        <f t="shared" si="104"/>
        <v>4461.0003120844758</v>
      </c>
      <c r="BX71" s="202">
        <f t="shared" si="104"/>
        <v>4510.6171001865278</v>
      </c>
      <c r="BY71" s="202">
        <f t="shared" si="104"/>
        <v>4590.8271001865278</v>
      </c>
      <c r="BZ71" s="202">
        <f t="shared" si="104"/>
        <v>4671.0371001865278</v>
      </c>
      <c r="CA71" s="202">
        <f t="shared" si="104"/>
        <v>4751.2471001865279</v>
      </c>
      <c r="CB71" s="202">
        <f t="shared" si="104"/>
        <v>4831.4571001865279</v>
      </c>
      <c r="CC71" s="202">
        <f t="shared" si="104"/>
        <v>4911.6671001865279</v>
      </c>
      <c r="CD71" s="202">
        <f t="shared" si="104"/>
        <v>4991.877100186528</v>
      </c>
      <c r="CE71" s="202">
        <f t="shared" si="104"/>
        <v>5072.0871001865271</v>
      </c>
      <c r="CF71" s="202">
        <f t="shared" si="104"/>
        <v>5152.297100186528</v>
      </c>
      <c r="CG71" s="202">
        <f t="shared" si="104"/>
        <v>5232.5071001865272</v>
      </c>
      <c r="CH71" s="202">
        <f t="shared" si="104"/>
        <v>5312.7171001865272</v>
      </c>
      <c r="CI71" s="202">
        <f t="shared" si="104"/>
        <v>5392.9271001865272</v>
      </c>
      <c r="CJ71" s="202">
        <f t="shared" si="104"/>
        <v>5473.1371001865273</v>
      </c>
      <c r="CK71" s="202">
        <f t="shared" si="104"/>
        <v>5553.3471001865273</v>
      </c>
      <c r="CL71" s="202">
        <f t="shared" si="104"/>
        <v>5633.5571001865274</v>
      </c>
      <c r="CM71" s="202">
        <f t="shared" si="104"/>
        <v>5713.7671001865274</v>
      </c>
      <c r="CN71" s="202">
        <f t="shared" si="104"/>
        <v>5793.9771001865274</v>
      </c>
      <c r="CO71" s="202">
        <f t="shared" si="104"/>
        <v>5874.1871001865275</v>
      </c>
      <c r="CP71" s="202">
        <f t="shared" si="104"/>
        <v>5954.3971001865275</v>
      </c>
      <c r="CQ71" s="202">
        <f t="shared" si="104"/>
        <v>6034.6071001865275</v>
      </c>
      <c r="CR71" s="202">
        <f t="shared" si="104"/>
        <v>6114.8171001865276</v>
      </c>
      <c r="CS71" s="202">
        <f t="shared" si="104"/>
        <v>6195.0271001865276</v>
      </c>
      <c r="CT71" s="202">
        <f t="shared" si="104"/>
        <v>6275.2371001865267</v>
      </c>
      <c r="CU71" s="202">
        <f t="shared" si="104"/>
        <v>6355.4471001865277</v>
      </c>
      <c r="CV71" s="202">
        <f t="shared" si="104"/>
        <v>6435.6571001865268</v>
      </c>
      <c r="CW71" s="202">
        <f t="shared" si="104"/>
        <v>6515.8671001865278</v>
      </c>
      <c r="CX71" s="202">
        <f t="shared" si="104"/>
        <v>6596.0771001865269</v>
      </c>
      <c r="CY71" s="202">
        <f t="shared" si="104"/>
        <v>6676.2871001865278</v>
      </c>
      <c r="CZ71" s="202">
        <f t="shared" si="104"/>
        <v>6756.4971001865269</v>
      </c>
      <c r="DA71" s="202">
        <f t="shared" si="104"/>
        <v>6836.707100186527</v>
      </c>
    </row>
    <row r="72" spans="1:105" s="202" customFormat="1">
      <c r="A72" s="202" t="str">
        <f>Income!A88</f>
        <v>TOTAL</v>
      </c>
      <c r="F72" s="202">
        <f>SUM(F59:F71)</f>
        <v>30016.778563707263</v>
      </c>
      <c r="G72" s="202">
        <f t="shared" ref="G72:BR72" si="105">SUM(G59:G71)</f>
        <v>30016.778563707263</v>
      </c>
      <c r="H72" s="202">
        <f t="shared" si="105"/>
        <v>30016.778563707263</v>
      </c>
      <c r="I72" s="202">
        <f t="shared" si="105"/>
        <v>30016.778563707263</v>
      </c>
      <c r="J72" s="202">
        <f t="shared" si="105"/>
        <v>30016.778563707263</v>
      </c>
      <c r="K72" s="202">
        <f t="shared" si="105"/>
        <v>30016.778563707263</v>
      </c>
      <c r="L72" s="202">
        <f t="shared" si="105"/>
        <v>30016.778563707263</v>
      </c>
      <c r="M72" s="202">
        <f t="shared" si="105"/>
        <v>30016.778563707263</v>
      </c>
      <c r="N72" s="202">
        <f t="shared" si="105"/>
        <v>30016.778563707263</v>
      </c>
      <c r="O72" s="202">
        <f t="shared" si="105"/>
        <v>30016.778563707263</v>
      </c>
      <c r="P72" s="202">
        <f t="shared" si="105"/>
        <v>30016.778563707263</v>
      </c>
      <c r="Q72" s="202">
        <f t="shared" si="105"/>
        <v>30807.940803079982</v>
      </c>
      <c r="R72" s="202">
        <f t="shared" si="105"/>
        <v>31599.103042452698</v>
      </c>
      <c r="S72" s="202">
        <f t="shared" si="105"/>
        <v>32390.265281825417</v>
      </c>
      <c r="T72" s="202">
        <f t="shared" si="105"/>
        <v>33181.427521198137</v>
      </c>
      <c r="U72" s="202">
        <f t="shared" si="105"/>
        <v>33972.589760570852</v>
      </c>
      <c r="V72" s="202">
        <f t="shared" si="105"/>
        <v>34763.751999943568</v>
      </c>
      <c r="W72" s="202">
        <f t="shared" si="105"/>
        <v>35554.914239316284</v>
      </c>
      <c r="X72" s="202">
        <f t="shared" si="105"/>
        <v>36346.076478688999</v>
      </c>
      <c r="Y72" s="202">
        <f t="shared" si="105"/>
        <v>37137.238718061715</v>
      </c>
      <c r="Z72" s="202">
        <f t="shared" si="105"/>
        <v>37928.400957434438</v>
      </c>
      <c r="AA72" s="202">
        <f t="shared" si="105"/>
        <v>38719.563196807147</v>
      </c>
      <c r="AB72" s="202">
        <f t="shared" si="105"/>
        <v>39510.72543617987</v>
      </c>
      <c r="AC72" s="202">
        <f t="shared" si="105"/>
        <v>40301.887675552585</v>
      </c>
      <c r="AD72" s="202">
        <f t="shared" si="105"/>
        <v>41093.049914925301</v>
      </c>
      <c r="AE72" s="202">
        <f t="shared" si="105"/>
        <v>41884.212154298017</v>
      </c>
      <c r="AF72" s="202">
        <f t="shared" si="105"/>
        <v>42675.37439367074</v>
      </c>
      <c r="AG72" s="202">
        <f t="shared" si="105"/>
        <v>43466.536633043463</v>
      </c>
      <c r="AH72" s="202">
        <f t="shared" si="105"/>
        <v>44257.698872416178</v>
      </c>
      <c r="AI72" s="202">
        <f t="shared" si="105"/>
        <v>45048.861111788894</v>
      </c>
      <c r="AJ72" s="202">
        <f t="shared" si="105"/>
        <v>45840.023351161602</v>
      </c>
      <c r="AK72" s="202">
        <f t="shared" si="105"/>
        <v>46612.24099871354</v>
      </c>
      <c r="AL72" s="202">
        <f t="shared" si="105"/>
        <v>47384.45864626547</v>
      </c>
      <c r="AM72" s="202">
        <f t="shared" si="105"/>
        <v>48156.676293817407</v>
      </c>
      <c r="AN72" s="202">
        <f t="shared" si="105"/>
        <v>48928.893941369337</v>
      </c>
      <c r="AO72" s="202">
        <f t="shared" si="105"/>
        <v>49701.111588921274</v>
      </c>
      <c r="AP72" s="202">
        <f t="shared" si="105"/>
        <v>50473.329236473204</v>
      </c>
      <c r="AQ72" s="202">
        <f t="shared" si="105"/>
        <v>51245.546884025141</v>
      </c>
      <c r="AR72" s="202">
        <f t="shared" si="105"/>
        <v>52017.764531577071</v>
      </c>
      <c r="AS72" s="202">
        <f t="shared" si="105"/>
        <v>52789.982179129001</v>
      </c>
      <c r="AT72" s="202">
        <f t="shared" si="105"/>
        <v>53562.199826680946</v>
      </c>
      <c r="AU72" s="202">
        <f t="shared" si="105"/>
        <v>54334.417474232876</v>
      </c>
      <c r="AV72" s="202">
        <f t="shared" si="105"/>
        <v>55106.635121784806</v>
      </c>
      <c r="AW72" s="202">
        <f t="shared" si="105"/>
        <v>55878.852769336736</v>
      </c>
      <c r="AX72" s="202">
        <f t="shared" si="105"/>
        <v>56651.070416888666</v>
      </c>
      <c r="AY72" s="202">
        <f t="shared" si="105"/>
        <v>57423.288064440603</v>
      </c>
      <c r="AZ72" s="202">
        <f t="shared" si="105"/>
        <v>58195.505711992533</v>
      </c>
      <c r="BA72" s="202">
        <f t="shared" si="105"/>
        <v>58967.723359544478</v>
      </c>
      <c r="BB72" s="202">
        <f t="shared" si="105"/>
        <v>59739.9410070964</v>
      </c>
      <c r="BC72" s="202">
        <f t="shared" si="105"/>
        <v>60512.158654648338</v>
      </c>
      <c r="BD72" s="202">
        <f t="shared" si="105"/>
        <v>61284.376302200268</v>
      </c>
      <c r="BE72" s="202">
        <f t="shared" si="105"/>
        <v>62892.862360126775</v>
      </c>
      <c r="BF72" s="202">
        <f t="shared" si="105"/>
        <v>64501.348418053305</v>
      </c>
      <c r="BG72" s="202">
        <f t="shared" si="105"/>
        <v>66109.83447597982</v>
      </c>
      <c r="BH72" s="202">
        <f t="shared" si="105"/>
        <v>67718.320533906328</v>
      </c>
      <c r="BI72" s="202">
        <f t="shared" si="105"/>
        <v>69326.806591832836</v>
      </c>
      <c r="BJ72" s="202">
        <f t="shared" si="105"/>
        <v>70935.292649759373</v>
      </c>
      <c r="BK72" s="202">
        <f t="shared" si="105"/>
        <v>72543.77870768588</v>
      </c>
      <c r="BL72" s="202">
        <f t="shared" si="105"/>
        <v>74152.264765612388</v>
      </c>
      <c r="BM72" s="202">
        <f t="shared" si="105"/>
        <v>75760.75082353891</v>
      </c>
      <c r="BN72" s="202">
        <f t="shared" si="105"/>
        <v>77369.236881465418</v>
      </c>
      <c r="BO72" s="202">
        <f t="shared" si="105"/>
        <v>78977.722939391941</v>
      </c>
      <c r="BP72" s="202">
        <f t="shared" si="105"/>
        <v>80586.208997318463</v>
      </c>
      <c r="BQ72" s="202">
        <f t="shared" si="105"/>
        <v>82194.695055244956</v>
      </c>
      <c r="BR72" s="202">
        <f t="shared" si="105"/>
        <v>83803.181113171479</v>
      </c>
      <c r="BS72" s="202">
        <f t="shared" ref="BS72:DA72" si="106">SUM(BS59:BS71)</f>
        <v>85411.667171098001</v>
      </c>
      <c r="BT72" s="202">
        <f t="shared" si="106"/>
        <v>87020.153229024509</v>
      </c>
      <c r="BU72" s="202">
        <f t="shared" si="106"/>
        <v>88628.639286951031</v>
      </c>
      <c r="BV72" s="202">
        <f t="shared" si="106"/>
        <v>90237.125344877539</v>
      </c>
      <c r="BW72" s="202">
        <f t="shared" si="106"/>
        <v>91845.611402804061</v>
      </c>
      <c r="BX72" s="202">
        <f t="shared" si="106"/>
        <v>93454.097460730569</v>
      </c>
      <c r="BY72" s="202">
        <f t="shared" si="106"/>
        <v>102326.98246073058</v>
      </c>
      <c r="BZ72" s="202">
        <f t="shared" si="106"/>
        <v>111199.86746073059</v>
      </c>
      <c r="CA72" s="202">
        <f t="shared" si="106"/>
        <v>120072.7524607306</v>
      </c>
      <c r="CB72" s="202">
        <f t="shared" si="106"/>
        <v>128945.63746073058</v>
      </c>
      <c r="CC72" s="202">
        <f t="shared" si="106"/>
        <v>137818.52246073054</v>
      </c>
      <c r="CD72" s="202">
        <f t="shared" si="106"/>
        <v>146691.40746073061</v>
      </c>
      <c r="CE72" s="202">
        <f t="shared" si="106"/>
        <v>155564.29246073059</v>
      </c>
      <c r="CF72" s="202">
        <f t="shared" si="106"/>
        <v>164437.17746073057</v>
      </c>
      <c r="CG72" s="202">
        <f t="shared" si="106"/>
        <v>173310.06246073058</v>
      </c>
      <c r="CH72" s="202">
        <f t="shared" si="106"/>
        <v>182182.94746073062</v>
      </c>
      <c r="CI72" s="202">
        <f t="shared" si="106"/>
        <v>191055.8324607306</v>
      </c>
      <c r="CJ72" s="202">
        <f t="shared" si="106"/>
        <v>199928.71746073058</v>
      </c>
      <c r="CK72" s="202">
        <f t="shared" si="106"/>
        <v>208801.60246073062</v>
      </c>
      <c r="CL72" s="202">
        <f t="shared" si="106"/>
        <v>217674.4874607306</v>
      </c>
      <c r="CM72" s="202">
        <f t="shared" si="106"/>
        <v>226547.37246073058</v>
      </c>
      <c r="CN72" s="202">
        <f t="shared" si="106"/>
        <v>235420.25746073059</v>
      </c>
      <c r="CO72" s="202">
        <f t="shared" si="106"/>
        <v>244293.1424607306</v>
      </c>
      <c r="CP72" s="202">
        <f t="shared" si="106"/>
        <v>253166.02746073058</v>
      </c>
      <c r="CQ72" s="202">
        <f t="shared" si="106"/>
        <v>262038.91246073059</v>
      </c>
      <c r="CR72" s="202">
        <f t="shared" si="106"/>
        <v>270911.79746073065</v>
      </c>
      <c r="CS72" s="202">
        <f t="shared" si="106"/>
        <v>279784.68246073055</v>
      </c>
      <c r="CT72" s="202">
        <f t="shared" si="106"/>
        <v>288657.56746073061</v>
      </c>
      <c r="CU72" s="202">
        <f t="shared" si="106"/>
        <v>297530.45246073062</v>
      </c>
      <c r="CV72" s="202">
        <f t="shared" si="106"/>
        <v>306403.33746073057</v>
      </c>
      <c r="CW72" s="202">
        <f t="shared" si="106"/>
        <v>315276.2224607307</v>
      </c>
      <c r="CX72" s="202">
        <f t="shared" si="106"/>
        <v>324149.10746073059</v>
      </c>
      <c r="CY72" s="202">
        <f t="shared" si="106"/>
        <v>333021.9924607306</v>
      </c>
      <c r="CZ72" s="202">
        <f t="shared" si="106"/>
        <v>341894.87746073061</v>
      </c>
      <c r="DA72" s="202">
        <f t="shared" si="106"/>
        <v>350767.76246073062</v>
      </c>
    </row>
    <row r="73" spans="1:105">
      <c r="A73" s="199" t="str">
        <f>Income!A89</f>
        <v>Food Poverty line</v>
      </c>
    </row>
    <row r="74" spans="1:105">
      <c r="A74" s="199" t="str">
        <f>Income!A90</f>
        <v>Lower Bound Poverty line</v>
      </c>
    </row>
    <row r="96" spans="4:15"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</row>
    <row r="97" spans="1:31">
      <c r="C97" s="208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</row>
    <row r="98" spans="1:31">
      <c r="C98" s="208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0"/>
    </row>
    <row r="99" spans="1:31">
      <c r="C99" s="208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</row>
    <row r="100" spans="1:31">
      <c r="C100" s="208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</row>
    <row r="101" spans="1:31">
      <c r="C101" s="208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</row>
    <row r="107" spans="1:31">
      <c r="B107" s="212">
        <f>A23</f>
        <v>0</v>
      </c>
      <c r="C107" s="212">
        <f>B23</f>
        <v>20</v>
      </c>
      <c r="D107" s="212">
        <f>C23</f>
        <v>40</v>
      </c>
      <c r="E107" s="212">
        <f>D23</f>
        <v>60</v>
      </c>
      <c r="F107" s="212">
        <f>E23</f>
        <v>80</v>
      </c>
      <c r="AD107" s="199" t="s">
        <v>97</v>
      </c>
    </row>
    <row r="108" spans="1:31">
      <c r="A108" s="211" t="str">
        <f t="shared" ref="A108:A120" si="107">A42</f>
        <v>Own crops Consumed</v>
      </c>
      <c r="B108" s="210">
        <v>0</v>
      </c>
      <c r="C108" s="210">
        <f>AD42</f>
        <v>0</v>
      </c>
      <c r="D108" s="210">
        <f>BU42</f>
        <v>0</v>
      </c>
      <c r="E108" s="210">
        <f>CR42</f>
        <v>33.734000000000037</v>
      </c>
      <c r="F108" s="210">
        <f xml:space="preserve"> 0.0529*F107^2 - 5.8907*F107 + 166.43</f>
        <v>33.734000000000037</v>
      </c>
    </row>
    <row r="109" spans="1:31">
      <c r="A109" s="211" t="str">
        <f t="shared" si="107"/>
        <v>Own crops sold</v>
      </c>
      <c r="B109" s="210">
        <f xml:space="preserve"> 0.2249*B107^2 + 18.644*B107 + 340.26</f>
        <v>340.26</v>
      </c>
      <c r="C109" s="210">
        <f>AD43</f>
        <v>0</v>
      </c>
      <c r="D109" s="210">
        <f t="shared" ref="D109:D120" si="108">BU43</f>
        <v>0</v>
      </c>
      <c r="E109" s="210">
        <f t="shared" ref="E109:E120" si="109">CR43</f>
        <v>288.09999999999991</v>
      </c>
      <c r="F109" s="210">
        <f xml:space="preserve"> 0.2249*F107^2 - 18.644*F107 + 340.26</f>
        <v>288.09999999999991</v>
      </c>
      <c r="AD109" s="215" t="s">
        <v>100</v>
      </c>
      <c r="AE109" s="199">
        <f>(0.0000001/7+0.00002/6+0.0039/5+0.2271/4+1.2857/3+16.311/2+13342)</f>
        <v>13350.641625014287</v>
      </c>
    </row>
    <row r="110" spans="1:31">
      <c r="A110" s="211" t="str">
        <f t="shared" si="107"/>
        <v>Animal products consumed</v>
      </c>
      <c r="B110" s="210">
        <v>0</v>
      </c>
      <c r="C110" s="210">
        <f t="shared" ref="C110:C120" si="110">AD44</f>
        <v>0</v>
      </c>
      <c r="D110" s="210">
        <f t="shared" si="108"/>
        <v>0</v>
      </c>
      <c r="E110" s="210">
        <f t="shared" si="109"/>
        <v>11.675000000000001</v>
      </c>
      <c r="F110" s="210">
        <f xml:space="preserve"> -0.005*F107^2 + 0.7378*F107 - 15.349</f>
        <v>11.675000000000001</v>
      </c>
      <c r="AD110" s="215" t="s">
        <v>98</v>
      </c>
      <c r="AE110" s="199">
        <f>(0.5*(DA72-F72))</f>
        <v>160375.49194851168</v>
      </c>
    </row>
    <row r="111" spans="1:31">
      <c r="A111" s="211" t="str">
        <f t="shared" si="107"/>
        <v>Animal products sold</v>
      </c>
      <c r="B111" s="210">
        <v>0</v>
      </c>
      <c r="C111" s="210">
        <f t="shared" si="110"/>
        <v>0</v>
      </c>
      <c r="D111" s="210">
        <f t="shared" si="108"/>
        <v>0</v>
      </c>
      <c r="E111" s="210">
        <f t="shared" si="109"/>
        <v>0</v>
      </c>
      <c r="F111" s="210">
        <v>0</v>
      </c>
      <c r="AD111" s="215" t="s">
        <v>99</v>
      </c>
      <c r="AE111" s="210">
        <f>AE109/AE110</f>
        <v>8.3246146046432642E-2</v>
      </c>
    </row>
    <row r="112" spans="1:31">
      <c r="A112" s="211" t="str">
        <f t="shared" si="107"/>
        <v>Animals sold</v>
      </c>
      <c r="B112" s="210">
        <v>0</v>
      </c>
      <c r="C112" s="210">
        <f t="shared" si="110"/>
        <v>0</v>
      </c>
      <c r="D112" s="210">
        <f t="shared" si="108"/>
        <v>0</v>
      </c>
      <c r="E112" s="210">
        <f t="shared" si="109"/>
        <v>0</v>
      </c>
      <c r="F112" s="210">
        <v>0</v>
      </c>
    </row>
    <row r="113" spans="1:31">
      <c r="A113" s="211" t="str">
        <f t="shared" si="107"/>
        <v>Wild foods consumed and sold</v>
      </c>
      <c r="B113" s="210">
        <v>0</v>
      </c>
      <c r="C113" s="210">
        <f t="shared" si="110"/>
        <v>0</v>
      </c>
      <c r="D113" s="210">
        <f t="shared" si="108"/>
        <v>0</v>
      </c>
      <c r="E113" s="210">
        <f t="shared" si="109"/>
        <v>-34.569999999999993</v>
      </c>
      <c r="F113" s="210">
        <f xml:space="preserve"> 0.0898*F107^2 - 11.826*F107 + 336.79</f>
        <v>-34.569999999999993</v>
      </c>
      <c r="AD113" s="215" t="s">
        <v>101</v>
      </c>
      <c r="AE113" s="199">
        <v>0.57299999999999995</v>
      </c>
    </row>
    <row r="114" spans="1:31">
      <c r="A114" s="211" t="str">
        <f t="shared" si="107"/>
        <v>Labour - casual</v>
      </c>
      <c r="B114" s="210">
        <v>0</v>
      </c>
      <c r="C114" s="210">
        <f t="shared" si="110"/>
        <v>405.05341559675026</v>
      </c>
      <c r="D114" s="210">
        <f t="shared" si="108"/>
        <v>446.55109291846622</v>
      </c>
      <c r="E114" s="210">
        <f t="shared" si="109"/>
        <v>0</v>
      </c>
      <c r="F114" s="210">
        <v>0</v>
      </c>
      <c r="AD114" s="215" t="s">
        <v>102</v>
      </c>
      <c r="AE114" s="199">
        <v>0.51500000000000001</v>
      </c>
    </row>
    <row r="115" spans="1:31">
      <c r="A115" s="211" t="str">
        <f t="shared" si="107"/>
        <v>Labour - formal emp</v>
      </c>
      <c r="B115" s="210">
        <v>0</v>
      </c>
      <c r="C115" s="210">
        <f t="shared" si="110"/>
        <v>0</v>
      </c>
      <c r="D115" s="210">
        <f t="shared" si="108"/>
        <v>1059.9950185438338</v>
      </c>
      <c r="E115" s="210">
        <f t="shared" si="109"/>
        <v>4917.1000000000013</v>
      </c>
      <c r="F115" s="210">
        <f xml:space="preserve"> -2.582*F107^2 + 352.49*F107 - 6757.3</f>
        <v>4917.1000000000013</v>
      </c>
    </row>
    <row r="116" spans="1:31">
      <c r="A116" s="211" t="str">
        <f t="shared" si="107"/>
        <v>Self - employment</v>
      </c>
      <c r="B116" s="210">
        <v>0</v>
      </c>
      <c r="C116" s="210">
        <f t="shared" si="110"/>
        <v>234.5520892096994</v>
      </c>
      <c r="D116" s="210">
        <f t="shared" si="108"/>
        <v>186.73954794772234</v>
      </c>
      <c r="E116" s="210">
        <f t="shared" si="109"/>
        <v>797.33399999999995</v>
      </c>
      <c r="F116" s="210">
        <f xml:space="preserve"> 0.025*F107^2 - 2.8902*F107 + 868.55</f>
        <v>797.33399999999995</v>
      </c>
    </row>
    <row r="117" spans="1:31">
      <c r="A117" s="211" t="str">
        <f t="shared" si="107"/>
        <v>Small business/petty trading</v>
      </c>
      <c r="B117" s="210">
        <v>0</v>
      </c>
      <c r="C117" s="210">
        <f t="shared" si="110"/>
        <v>211.99900370876679</v>
      </c>
      <c r="D117" s="210">
        <f t="shared" si="108"/>
        <v>94.722959103917077</v>
      </c>
      <c r="E117" s="210">
        <f t="shared" si="109"/>
        <v>2776.26</v>
      </c>
      <c r="F117" s="210">
        <f xml:space="preserve"> 1.6289*F107^2 - 121.84*F107 + 2098.5</f>
        <v>2776.26</v>
      </c>
    </row>
    <row r="118" spans="1:31">
      <c r="A118" s="211" t="str">
        <f t="shared" si="107"/>
        <v>Food transfer - official</v>
      </c>
      <c r="B118" s="210">
        <f xml:space="preserve"> 0</f>
        <v>0</v>
      </c>
      <c r="C118" s="210">
        <f t="shared" si="110"/>
        <v>0</v>
      </c>
      <c r="D118" s="210">
        <f t="shared" si="108"/>
        <v>1.1368683772161604E-14</v>
      </c>
      <c r="E118" s="210">
        <f t="shared" si="109"/>
        <v>-31.528000000000034</v>
      </c>
      <c r="F118" s="210">
        <f>0.0411*F107^2 - 5.0851*F107 + 112.24</f>
        <v>-31.528000000000034</v>
      </c>
    </row>
    <row r="119" spans="1:31">
      <c r="A119" s="211" t="str">
        <f t="shared" si="107"/>
        <v>Cash transfer - official</v>
      </c>
      <c r="B119" s="210">
        <v>0</v>
      </c>
      <c r="C119" s="210">
        <f t="shared" si="110"/>
        <v>0</v>
      </c>
      <c r="D119" s="210">
        <f t="shared" si="108"/>
        <v>-229.13934868947558</v>
      </c>
      <c r="E119" s="210">
        <f t="shared" si="109"/>
        <v>-325.87000000000023</v>
      </c>
      <c r="F119" s="210">
        <f xml:space="preserve"> -0.4727*F107^2 + 44.988*F107 - 899.63</f>
        <v>-325.87000000000023</v>
      </c>
    </row>
    <row r="120" spans="1:31">
      <c r="A120" s="211" t="str">
        <f t="shared" si="107"/>
        <v>Cash transfer - gifts</v>
      </c>
      <c r="B120" s="210">
        <v>0</v>
      </c>
      <c r="C120" s="210">
        <f t="shared" si="110"/>
        <v>-60.442269142499505</v>
      </c>
      <c r="D120" s="210">
        <f t="shared" si="108"/>
        <v>49.616788102051828</v>
      </c>
      <c r="E120" s="210">
        <f t="shared" si="109"/>
        <v>80.20999999999998</v>
      </c>
      <c r="F120" s="210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2016-08-11T17:56:32Z</dcterms:modified>
  <cp:category/>
</cp:coreProperties>
</file>