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31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45" i="1"/>
  <c r="E44" i="1"/>
  <c r="E43" i="1"/>
  <c r="E42" i="1"/>
  <c r="E41" i="1"/>
  <c r="E40" i="1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I8" i="8"/>
  <c r="D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I8" i="7"/>
  <c r="D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D6" i="12"/>
  <c r="E6" i="12"/>
  <c r="H6" i="12"/>
  <c r="I6" i="12"/>
  <c r="D7" i="12"/>
  <c r="E7" i="12"/>
  <c r="H7" i="12"/>
  <c r="I7" i="12"/>
  <c r="D8" i="12"/>
  <c r="I8" i="12"/>
  <c r="D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<sst xmlns="http://schemas.openxmlformats.org/spreadsheetml/2006/main" count="790" uniqueCount="145">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</sst>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0.313924815886631</c:v>
                </c:pt>
                <c:pt idx="2" formatCode="0.0%">
                  <c:v>0.150169587694591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316216"/>
        <c:axId val="2086822600"/>
      </c:barChart>
      <c:catAx>
        <c:axId val="-205931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82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2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31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0.0752571102671234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0.0124277796771396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0.0172608051071384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0.0086304025535692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704632"/>
        <c:axId val="-2058444680"/>
      </c:barChart>
      <c:catAx>
        <c:axId val="209270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44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4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0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0.0810811170522371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0.041599057800634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0.0565344932115157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0.0388998806501255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0.0270138060070316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0.0135069030035158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559736"/>
        <c:axId val="-2056194360"/>
      </c:barChart>
      <c:catAx>
        <c:axId val="208855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9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9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55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608728"/>
        <c:axId val="-2059148248"/>
      </c:barChart>
      <c:catAx>
        <c:axId val="-205660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14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4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608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Non-Affected Area with Grants</a:t>
            </a:r>
          </a:p>
        </c:rich>
      </c:tx>
      <c:layout>
        <c:manualLayout>
          <c:xMode val="edge"/>
          <c:yMode val="edge"/>
          <c:x val="0.314990684454599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7381.866453454234</c:v>
                </c:pt>
                <c:pt idx="7">
                  <c:v>6683.260443795196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44745.44392292116</c:v>
                </c:pt>
                <c:pt idx="7">
                  <c:v>63781.57333464964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19211.91681223638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790888"/>
        <c:axId val="21193706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790888"/>
        <c:axId val="2119370616"/>
      </c:lineChart>
      <c:catAx>
        <c:axId val="-205579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37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37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790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533112"/>
        <c:axId val="-20590897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533112"/>
        <c:axId val="-2059089736"/>
      </c:lineChart>
      <c:catAx>
        <c:axId val="-205553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8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89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53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030856"/>
        <c:axId val="-20571680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030856"/>
        <c:axId val="-2057168088"/>
      </c:lineChart>
      <c:catAx>
        <c:axId val="-20560308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168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168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3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0.197044393154394</c:v>
                </c:pt>
                <c:pt idx="2">
                  <c:v>0.0942584777630706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-0.023543468846231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248504"/>
        <c:axId val="-2056395672"/>
      </c:barChart>
      <c:catAx>
        <c:axId val="-205724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39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39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248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0.0519312772525806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0.471587971113545</c:v>
                </c:pt>
                <c:pt idx="2">
                  <c:v>0.475319868361618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15192"/>
        <c:axId val="-2056195512"/>
      </c:barChart>
      <c:catAx>
        <c:axId val="-205601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19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9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01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0.383345739806073</c:v>
                </c:pt>
                <c:pt idx="2">
                  <c:v>0.432156339246465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88776"/>
        <c:axId val="-2055879800"/>
      </c:barChart>
      <c:catAx>
        <c:axId val="-205528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87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87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8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0.221882911681015</c:v>
                </c:pt>
                <c:pt idx="2">
                  <c:v>0.167797005329512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-0.093680324290008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823992"/>
        <c:axId val="-2059123752"/>
      </c:barChart>
      <c:catAx>
        <c:axId val="-205582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2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2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823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0.13509278900494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0.00473303694696162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0.0344756117072092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0.0037583476074945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0.203983926608366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0.474228045752541</c:v>
                </c:pt>
                <c:pt idx="2" formatCode="0.0%">
                  <c:v>0.303239001428975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908280"/>
        <c:axId val="2087354200"/>
      </c:barChart>
      <c:catAx>
        <c:axId val="-205690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35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35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90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918040"/>
        <c:axId val="-20607777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18040"/>
        <c:axId val="-20607777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18040"/>
        <c:axId val="-2060777752"/>
      </c:scatterChart>
      <c:catAx>
        <c:axId val="2114918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0777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0777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918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688456"/>
        <c:axId val="-21416814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88456"/>
        <c:axId val="-2141681480"/>
      </c:lineChart>
      <c:catAx>
        <c:axId val="-2141688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681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681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6884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991480"/>
        <c:axId val="-20582346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354856"/>
        <c:axId val="-2057352184"/>
      </c:scatterChart>
      <c:valAx>
        <c:axId val="-20609914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234648"/>
        <c:crosses val="autoZero"/>
        <c:crossBetween val="midCat"/>
      </c:valAx>
      <c:valAx>
        <c:axId val="-2058234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0991480"/>
        <c:crosses val="autoZero"/>
        <c:crossBetween val="midCat"/>
      </c:valAx>
      <c:valAx>
        <c:axId val="-20573548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7352184"/>
        <c:crosses val="autoZero"/>
        <c:crossBetween val="midCat"/>
      </c:valAx>
      <c:valAx>
        <c:axId val="-20573521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3548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99064"/>
        <c:axId val="-20555732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99064"/>
        <c:axId val="-2055573208"/>
      </c:lineChart>
      <c:catAx>
        <c:axId val="208669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5732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5573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6990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0.103592109912705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0.00818143993937407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0.0361613947766456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0.00484152771001202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0.224089753640258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0.516296279575925</c:v>
                </c:pt>
                <c:pt idx="2" formatCode="0.0%">
                  <c:v>0.308416487324951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209080"/>
        <c:axId val="-2056603544"/>
      </c:barChart>
      <c:catAx>
        <c:axId val="208520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60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60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209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0.320805867287091</c:v>
                </c:pt>
                <c:pt idx="2" formatCode="0.0%">
                  <c:v>0.242606622633016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9888088"/>
        <c:axId val="2114452536"/>
      </c:barChart>
      <c:catAx>
        <c:axId val="203988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45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45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988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0.180955547987605</c:v>
                </c:pt>
                <c:pt idx="3">
                  <c:v>0.419722802790758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982760"/>
        <c:axId val="-2057963608"/>
      </c:barChart>
      <c:catAx>
        <c:axId val="-2141982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963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96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98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0.477908287990372</c:v>
                </c:pt>
                <c:pt idx="3">
                  <c:v>0.492518202541692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492648"/>
        <c:axId val="-2058257512"/>
      </c:barChart>
      <c:catAx>
        <c:axId val="2114492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257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825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49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0.0251500717303713</c:v>
                </c:pt>
                <c:pt idx="1">
                  <c:v>0.0215165949362954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0.0610787456309016</c:v>
                </c:pt>
                <c:pt idx="1">
                  <c:v>0.0522545877024317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0.291222285748299</c:v>
                </c:pt>
                <c:pt idx="1">
                  <c:v>0.249148870271462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0.105841577977595</c:v>
                </c:pt>
                <c:pt idx="1">
                  <c:v>0.0905504519103257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0.0126845390178571</c:v>
                </c:pt>
                <c:pt idx="3">
                  <c:v>0.00624760876998934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0.137902446828837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0.015033390429978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0.203983926608366</c:v>
                </c:pt>
                <c:pt idx="1">
                  <c:v>0.203983926608366</c:v>
                </c:pt>
                <c:pt idx="2">
                  <c:v>0.203983926608366</c:v>
                </c:pt>
                <c:pt idx="3">
                  <c:v>0.203983926608366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0.192691232665511</c:v>
                </c:pt>
                <c:pt idx="2">
                  <c:v>0.568467470591795</c:v>
                </c:pt>
                <c:pt idx="3">
                  <c:v>0.451797302458592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212680"/>
        <c:axId val="2039682088"/>
      </c:barChart>
      <c:catAx>
        <c:axId val="21322126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682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3968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21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0.0276359619597928</c:v>
                </c:pt>
                <c:pt idx="1">
                  <c:v>0.0190307047068739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0.0671159076166396</c:v>
                </c:pt>
                <c:pt idx="1">
                  <c:v>0.0462174257166937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0.245388652189902</c:v>
                </c:pt>
                <c:pt idx="1">
                  <c:v>0.168979787460918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0.116303200011194</c:v>
                </c:pt>
                <c:pt idx="1">
                  <c:v>0.0800888298767263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0.0219262590375225</c:v>
                </c:pt>
                <c:pt idx="3">
                  <c:v>0.0107995007199738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0.144645579106583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0.0193661108400481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0.224089753640258</c:v>
                </c:pt>
                <c:pt idx="1">
                  <c:v>0.224089753640258</c:v>
                </c:pt>
                <c:pt idx="2">
                  <c:v>0.224089753640258</c:v>
                </c:pt>
                <c:pt idx="3">
                  <c:v>0.224089753640258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0.267406442282851</c:v>
                </c:pt>
                <c:pt idx="2">
                  <c:v>0.539119923540238</c:v>
                </c:pt>
                <c:pt idx="3">
                  <c:v>0.427139583476715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897912"/>
        <c:axId val="-2142019512"/>
      </c:barChart>
      <c:catAx>
        <c:axId val="-2141897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019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201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89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768392"/>
        <c:axId val="2117867400"/>
      </c:barChart>
      <c:catAx>
        <c:axId val="-205776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86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86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76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>$M6*AB6*4</f>
        <v>2.1272906600249067E-2</v>
      </c>
      <c r="AD6" s="156">
        <f>Poor!AD6</f>
        <v>0.33</v>
      </c>
      <c r="AE6" s="121">
        <f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0.10210647571606477</v>
      </c>
      <c r="AH7" s="123">
        <f t="shared" ref="AH7:AH30" si="10">SUM(Z7,AB7,AD7,AF7)</f>
        <v>1</v>
      </c>
      <c r="AI7" s="183">
        <f t="shared" ref="AI7:AI30" si="11">SUM(AA7,AC7,AE7,AG7)/4</f>
        <v>2.5526618929016191E-2</v>
      </c>
      <c r="AJ7" s="120">
        <f t="shared" ref="AJ7:AJ31" si="12">(AA7+AC7)/2</f>
        <v>0</v>
      </c>
      <c r="AK7" s="119">
        <f t="shared" ref="AK7:AK31" si="13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7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2.8333333333333335E-2</v>
      </c>
      <c r="AJ8" s="120">
        <f t="shared" si="12"/>
        <v>5.1275616687780558E-2</v>
      </c>
      <c r="AK8" s="119">
        <f t="shared" si="13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7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6.25E-2</v>
      </c>
      <c r="AJ9" s="120">
        <f t="shared" si="12"/>
        <v>0.11310797798775123</v>
      </c>
      <c r="AK9" s="119">
        <f t="shared" si="13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0.17191689041095889</v>
      </c>
      <c r="AJ10" s="120">
        <f t="shared" si="12"/>
        <v>0.31112274970120601</v>
      </c>
      <c r="AK10" s="119">
        <f t="shared" si="13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7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2.4549003735990036E-2</v>
      </c>
      <c r="AJ11" s="120">
        <f t="shared" si="12"/>
        <v>4.4427010787065339E-2</v>
      </c>
      <c r="AK11" s="119">
        <f t="shared" si="13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7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0"/>
        <v>1</v>
      </c>
      <c r="AI12" s="183">
        <f t="shared" si="11"/>
        <v>5.4310225543102251E-3</v>
      </c>
      <c r="AJ12" s="120">
        <f t="shared" si="12"/>
        <v>0</v>
      </c>
      <c r="AK12" s="119">
        <f t="shared" si="13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4.9501867995018684E-2</v>
      </c>
      <c r="AJ13" s="120">
        <f t="shared" si="12"/>
        <v>9.9003735990037367E-2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5.7561920575619208E-3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2"/>
        <v>2.8780960287809604E-3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60996.830187310181</v>
      </c>
      <c r="T23" s="179">
        <f>SUM(T7:T22)</f>
        <v>60386.656501782534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4"/>
        <v>0.1322751322751323</v>
      </c>
      <c r="AB26" s="156">
        <f>Poor!AB26</f>
        <v>0.25</v>
      </c>
      <c r="AC26" s="121">
        <f t="shared" si="22"/>
        <v>0.1322751322751323</v>
      </c>
      <c r="AD26" s="156">
        <f>Poor!AD26</f>
        <v>0.25</v>
      </c>
      <c r="AE26" s="121">
        <f t="shared" si="23"/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7"/>
        <v>0.8985470957679883</v>
      </c>
      <c r="Z29" s="156">
        <f>Poor!Z29</f>
        <v>0.25</v>
      </c>
      <c r="AA29" s="121">
        <f t="shared" si="14"/>
        <v>0.22463677394199708</v>
      </c>
      <c r="AB29" s="156">
        <f>Poor!AB29</f>
        <v>0.25</v>
      </c>
      <c r="AC29" s="121">
        <f t="shared" si="22"/>
        <v>0.22463677394199708</v>
      </c>
      <c r="AD29" s="156">
        <f>Poor!AD29</f>
        <v>0.25</v>
      </c>
      <c r="AE29" s="121">
        <f t="shared" si="23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0.24260662263301591</v>
      </c>
      <c r="K30" s="22">
        <f t="shared" si="4"/>
        <v>0.51235726027397255</v>
      </c>
      <c r="L30" s="22">
        <f>IF(L124=L119,0,IF(K30="",0,(L119-L124)/(B119-B124)*K30))</f>
        <v>0.3208058672870911</v>
      </c>
      <c r="M30" s="175">
        <f t="shared" si="6"/>
        <v>0.24260662263301591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0.97042649053206365</v>
      </c>
      <c r="Z30" s="122">
        <f>IF($Y30=0,0,AA30/($Y$30))</f>
        <v>1.1440567992084033E-16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0.49247242594165491</v>
      </c>
      <c r="AE30" s="187">
        <f>IF(AE79*4/$I$83+SUM(AE6:AE29)&lt;1,AE79*4/$I$83,1-SUM(AE6:AE29))</f>
        <v>0.47790828799037177</v>
      </c>
      <c r="AF30" s="122">
        <f>IF($Y30=0,0,AG30/($Y$30))</f>
        <v>0.50752757405834492</v>
      </c>
      <c r="AG30" s="187">
        <f>IF(AG79*4/$I$83+SUM(AG6:AG29)&lt;1,AG79*4/$I$83,1-SUM(AG6:AG29))</f>
        <v>0.49251820254169165</v>
      </c>
      <c r="AH30" s="123">
        <f t="shared" si="10"/>
        <v>1</v>
      </c>
      <c r="AI30" s="183">
        <f t="shared" si="11"/>
        <v>0.24260662263301588</v>
      </c>
      <c r="AJ30" s="120">
        <f t="shared" si="12"/>
        <v>5.5511151231257827E-17</v>
      </c>
      <c r="AK30" s="119">
        <f t="shared" si="13"/>
        <v>0.48521324526603171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-7.8281593795750393E-3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3132.3552698581698</v>
      </c>
      <c r="T31" s="234">
        <f>IF(T25&gt;T$23,T25-T$23,0)</f>
        <v>3742.5289553858165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1.561763564510652</v>
      </c>
      <c r="J32" s="17"/>
      <c r="L32" s="22">
        <f>SUM(L6:L30)</f>
        <v>1.007828159379575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39962.515269858173</v>
      </c>
      <c r="T32" s="234">
        <f t="shared" si="24"/>
        <v>40572.68895538582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0.29671394745430008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3742.5289553858188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>
        <f t="shared" si="34"/>
        <v>0</v>
      </c>
      <c r="AJ38" s="148">
        <f t="shared" ref="AJ38:AJ64" si="35">(AA38+AC38)</f>
        <v>0</v>
      </c>
      <c r="AK38" s="147">
        <f t="shared" ref="AK38:AK64" si="36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37">$J39*Z39</f>
        <v>0</v>
      </c>
      <c r="AB39" s="122">
        <f>AB8</f>
        <v>0.53607783818992394</v>
      </c>
      <c r="AC39" s="147">
        <f t="shared" ref="AC39:AC64" si="38">$J39*AB39</f>
        <v>0</v>
      </c>
      <c r="AD39" s="122">
        <f>AD8</f>
        <v>9.5136176097990161E-2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27"/>
        <v>1.4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37"/>
        <v>0</v>
      </c>
      <c r="AB40" s="122">
        <f>AB9</f>
        <v>0.53607783818992394</v>
      </c>
      <c r="AC40" s="147">
        <f t="shared" si="38"/>
        <v>0</v>
      </c>
      <c r="AD40" s="122">
        <f>AD9</f>
        <v>9.5136176097990188E-2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37"/>
        <v>0</v>
      </c>
      <c r="AB41" s="122">
        <f>AB11</f>
        <v>0.53607783818992394</v>
      </c>
      <c r="AC41" s="147">
        <f t="shared" si="38"/>
        <v>0</v>
      </c>
      <c r="AD41" s="122">
        <f>AD11</f>
        <v>9.5136176097990161E-2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27"/>
        <v>1.4</v>
      </c>
      <c r="I44" s="39">
        <f t="shared" si="28"/>
        <v>0</v>
      </c>
      <c r="J44" s="38">
        <f t="shared" si="29"/>
        <v>0</v>
      </c>
      <c r="K44" s="40">
        <f t="shared" si="30"/>
        <v>3.1289111389236547E-2</v>
      </c>
      <c r="L44" s="22">
        <f t="shared" si="31"/>
        <v>4.3804755944931162E-2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27"/>
        <v>1.4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33417.599999999999</v>
      </c>
      <c r="J48" s="38">
        <f t="shared" si="29"/>
        <v>33417.599999999999</v>
      </c>
      <c r="K48" s="40">
        <f t="shared" si="30"/>
        <v>0.70888610763454318</v>
      </c>
      <c r="L48" s="22">
        <f t="shared" si="31"/>
        <v>0.83648560700876096</v>
      </c>
      <c r="M48" s="24">
        <f t="shared" si="32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8354.4</v>
      </c>
      <c r="AB48" s="156">
        <f>Poor!AB48</f>
        <v>0.25</v>
      </c>
      <c r="AC48" s="147">
        <f t="shared" si="38"/>
        <v>8354.4</v>
      </c>
      <c r="AD48" s="156">
        <f>Poor!AD48</f>
        <v>0.25</v>
      </c>
      <c r="AE48" s="147">
        <f t="shared" si="39"/>
        <v>8354.4</v>
      </c>
      <c r="AF48" s="122">
        <f t="shared" si="26"/>
        <v>0.25</v>
      </c>
      <c r="AG48" s="147">
        <f t="shared" si="33"/>
        <v>8354.4</v>
      </c>
      <c r="AH48" s="123">
        <f t="shared" si="34"/>
        <v>1</v>
      </c>
      <c r="AI48" s="112">
        <f t="shared" si="34"/>
        <v>33417.599999999999</v>
      </c>
      <c r="AJ48" s="148">
        <f t="shared" si="35"/>
        <v>16708.8</v>
      </c>
      <c r="AK48" s="147">
        <f t="shared" si="36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12248.4</v>
      </c>
      <c r="J49" s="38">
        <f t="shared" si="29"/>
        <v>12248.4</v>
      </c>
      <c r="K49" s="40">
        <f t="shared" si="30"/>
        <v>0.25982478097622025</v>
      </c>
      <c r="L49" s="22">
        <f t="shared" si="31"/>
        <v>0.3065932415519399</v>
      </c>
      <c r="M49" s="24">
        <f t="shared" si="32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3062.1</v>
      </c>
      <c r="AB49" s="156">
        <f>Poor!AB49</f>
        <v>0.25</v>
      </c>
      <c r="AC49" s="147">
        <f t="shared" si="38"/>
        <v>3062.1</v>
      </c>
      <c r="AD49" s="156">
        <f>Poor!AD49</f>
        <v>0.25</v>
      </c>
      <c r="AE49" s="147">
        <f t="shared" si="39"/>
        <v>3062.1</v>
      </c>
      <c r="AF49" s="122">
        <f t="shared" si="26"/>
        <v>0.25</v>
      </c>
      <c r="AG49" s="147">
        <f t="shared" si="33"/>
        <v>3062.1</v>
      </c>
      <c r="AH49" s="123">
        <f t="shared" si="34"/>
        <v>1</v>
      </c>
      <c r="AI49" s="112">
        <f t="shared" si="34"/>
        <v>12248.4</v>
      </c>
      <c r="AJ49" s="148">
        <f t="shared" si="35"/>
        <v>6124.2</v>
      </c>
      <c r="AK49" s="147">
        <f t="shared" si="36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27"/>
        <v>1.1100000000000001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1.1868836045056321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1">J124*I$83</f>
        <v>23440.358592471795</v>
      </c>
      <c r="K70" s="40">
        <f t="shared" ref="K70:K75" si="42">B70/B$76</f>
        <v>0.41910170914485601</v>
      </c>
      <c r="L70" s="22">
        <f t="shared" ref="L70:L75" si="43">(L124*G$37*F$9/F$7)/B$130</f>
        <v>0.58674239280279838</v>
      </c>
      <c r="M70" s="24">
        <f t="shared" ref="M70:M75" si="44"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1"/>
        <v>19264.68</v>
      </c>
      <c r="K71" s="40">
        <f t="shared" si="42"/>
        <v>0.40866082603254072</v>
      </c>
      <c r="L71" s="22">
        <f t="shared" si="43"/>
        <v>0.48221977471839805</v>
      </c>
      <c r="M71" s="24">
        <f t="shared" si="44"/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0.78127659574468089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0.1009261576971214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1"/>
        <v>6703.4903629140217</v>
      </c>
      <c r="K74" s="40">
        <f t="shared" si="42"/>
        <v>0.21476846057571966</v>
      </c>
      <c r="L74" s="22">
        <f t="shared" si="43"/>
        <v>0.22188291168101532</v>
      </c>
      <c r="M74" s="24">
        <f t="shared" si="44"/>
        <v>0.16779700532951244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3301.2841613007727</v>
      </c>
      <c r="AF74" s="156"/>
      <c r="AG74" s="147">
        <f>AG30*$I$83/4</f>
        <v>3402.2062016132472</v>
      </c>
      <c r="AH74" s="155"/>
      <c r="AI74" s="147">
        <f>SUM(AA74,AC74,AE74,AG74)</f>
        <v>6703.4903629140208</v>
      </c>
      <c r="AJ74" s="148">
        <f>(AA74+AC74)</f>
        <v>7.6691737281197927E-13</v>
      </c>
      <c r="AK74" s="147">
        <f>(AE74+AG74)</f>
        <v>6703.4903629140199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7710.6145021508537</v>
      </c>
      <c r="AB75" s="158"/>
      <c r="AC75" s="149">
        <f>AA75+AC65-SUM(AC70,AC74)</f>
        <v>13267.024854032905</v>
      </c>
      <c r="AD75" s="158"/>
      <c r="AE75" s="149">
        <f>AC75+AE65-SUM(AE70,AE74)</f>
        <v>15522.151044614184</v>
      </c>
      <c r="AF75" s="158"/>
      <c r="AG75" s="149">
        <f>IF(SUM(AG6:AG29)+((AG65-AG70-$J$75)*4/I$83)&lt;1,0,AG65-AG70-$J$75-(1-SUM(AG6:AG29))*I$83/4)</f>
        <v>2154.2041502688039</v>
      </c>
      <c r="AH75" s="134"/>
      <c r="AI75" s="149">
        <f>AI76-SUM(AI70,AI74)</f>
        <v>15522.151044614184</v>
      </c>
      <c r="AJ75" s="151">
        <f>AJ76-SUM(AJ70,AJ74)</f>
        <v>11112.820703764102</v>
      </c>
      <c r="AK75" s="149">
        <f>AJ75+AK76-SUM(AK70,AK74)</f>
        <v>15522.151044614187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1"/>
        <v>45665.999999999993</v>
      </c>
      <c r="K76" s="40">
        <f>SUM(K70:K75)</f>
        <v>1.9247337491949188</v>
      </c>
      <c r="L76" s="22">
        <f>SUM(L70:L75)</f>
        <v>1.2908450792022117</v>
      </c>
      <c r="M76" s="24">
        <f>SUM(M70:M75)</f>
        <v>1.2367591728507088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1"/>
        <v>3742.5289553858192</v>
      </c>
      <c r="K77" s="40"/>
      <c r="L77" s="22">
        <f>-(L131*G$37*F$9/F$7)/B$130</f>
        <v>-0.48221977471839805</v>
      </c>
      <c r="M77" s="24">
        <f>-J77/B$76</f>
        <v>-9.3680324290007985E-2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2154.2041502688039</v>
      </c>
      <c r="AB78" s="112"/>
      <c r="AC78" s="112">
        <f>IF(AA75&lt;0,0,AA75)</f>
        <v>7710.6145021508537</v>
      </c>
      <c r="AD78" s="112"/>
      <c r="AE78" s="112">
        <f>AC75</f>
        <v>13267.024854032905</v>
      </c>
      <c r="AF78" s="112"/>
      <c r="AG78" s="112">
        <f>AE75</f>
        <v>15522.151044614184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7710.6145021508546</v>
      </c>
      <c r="AB79" s="112"/>
      <c r="AC79" s="112">
        <f>AA79-AA74+AC65-AC70</f>
        <v>13267.024854032905</v>
      </c>
      <c r="AD79" s="112"/>
      <c r="AE79" s="112">
        <f>AC79-AC74+AE65-AE70</f>
        <v>18823.435205914957</v>
      </c>
      <c r="AF79" s="112"/>
      <c r="AG79" s="112">
        <f>AE79-AE74+AG65-AG70</f>
        <v>21078.561396496236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7">
        <f t="shared" si="45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</v>
      </c>
      <c r="C92" s="75">
        <f t="shared" si="47"/>
        <v>0</v>
      </c>
      <c r="D92" s="24">
        <f t="shared" si="48"/>
        <v>0</v>
      </c>
      <c r="H92" s="24">
        <f t="shared" si="49"/>
        <v>0.57212121212121214</v>
      </c>
      <c r="I92" s="22">
        <f t="shared" si="50"/>
        <v>0</v>
      </c>
      <c r="J92" s="24">
        <f t="shared" si="51"/>
        <v>0</v>
      </c>
      <c r="K92" s="22">
        <f t="shared" si="52"/>
        <v>0</v>
      </c>
      <c r="L92" s="22">
        <f t="shared" si="53"/>
        <v>0</v>
      </c>
      <c r="M92" s="227">
        <f t="shared" si="45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Chicken sales: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7">
        <f t="shared" si="45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Green maize sold: quantity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0.84848484848484851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8">
        <f t="shared" si="45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8">
        <f t="shared" si="45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8">
        <f t="shared" si="45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Potato: kg produced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8">
        <f t="shared" si="45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Other root crops: no. local meas( Sweet potato)</v>
      </c>
      <c r="B98" s="75">
        <f t="shared" si="47"/>
        <v>7.4644123000287374E-2</v>
      </c>
      <c r="C98" s="75">
        <f t="shared" si="47"/>
        <v>-7.4644123000287374E-2</v>
      </c>
      <c r="D98" s="24">
        <f t="shared" si="48"/>
        <v>0</v>
      </c>
      <c r="H98" s="24">
        <f t="shared" si="49"/>
        <v>0.84848484848484851</v>
      </c>
      <c r="I98" s="22">
        <f t="shared" si="50"/>
        <v>0</v>
      </c>
      <c r="J98" s="24">
        <f t="shared" si="51"/>
        <v>0</v>
      </c>
      <c r="K98" s="22">
        <f t="shared" si="52"/>
        <v>7.4644123000287374E-2</v>
      </c>
      <c r="L98" s="22">
        <f t="shared" si="53"/>
        <v>6.3334407394183223E-2</v>
      </c>
      <c r="M98" s="228">
        <f t="shared" si="45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Other crop: Amadumbe</v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0.84848484848484851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Labour migration(formal employment): no. people per HH</v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0.57212121212121214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7"/>
        <v>1.6911372506945106</v>
      </c>
      <c r="C102" s="75">
        <f t="shared" si="47"/>
        <v>0</v>
      </c>
      <c r="D102" s="24">
        <f t="shared" si="48"/>
        <v>1.6911372506945106</v>
      </c>
      <c r="H102" s="24">
        <f t="shared" si="49"/>
        <v>0.7151515151515152</v>
      </c>
      <c r="I102" s="22">
        <f t="shared" si="50"/>
        <v>1.2094193671633471</v>
      </c>
      <c r="J102" s="24">
        <f>IF(I$32&lt;=1+I131,I102,L102+J$33*(I102-L102))</f>
        <v>1.2094193671633471</v>
      </c>
      <c r="K102" s="22">
        <f t="shared" si="52"/>
        <v>1.6911372506945106</v>
      </c>
      <c r="L102" s="22">
        <f t="shared" si="53"/>
        <v>1.2094193671633471</v>
      </c>
      <c r="M102" s="228">
        <f t="shared" si="45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7"/>
        <v>0.61984479739438636</v>
      </c>
      <c r="C103" s="75">
        <f t="shared" si="47"/>
        <v>0</v>
      </c>
      <c r="D103" s="24">
        <f t="shared" si="48"/>
        <v>0.61984479739438636</v>
      </c>
      <c r="H103" s="24">
        <f t="shared" si="49"/>
        <v>0.7151515151515152</v>
      </c>
      <c r="I103" s="22">
        <f t="shared" si="50"/>
        <v>0.44328294601537938</v>
      </c>
      <c r="J103" s="24">
        <f>IF(I$32&lt;=1+I131,I103,L103+J$33*(I103-L103))</f>
        <v>0.44328294601537938</v>
      </c>
      <c r="K103" s="22">
        <f t="shared" si="52"/>
        <v>0.61984479739438636</v>
      </c>
      <c r="L103" s="22">
        <f t="shared" si="53"/>
        <v>0.44328294601537938</v>
      </c>
      <c r="M103" s="228">
        <f t="shared" si="45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Other income: e.g. Credit (cotton loans)</v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Remittances: no. times per year</v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0.67272727272727284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1.7160367205729097</v>
      </c>
      <c r="M119" s="57">
        <f t="shared" si="45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 t="shared" ref="K124:K130" si="63">(B124)</f>
        <v>0.99982000568417595</v>
      </c>
      <c r="L124" s="29">
        <f>IF(SUMPRODUCT($B$124:$B124,$H$124:$H124)&lt;L$119,($B124*$H124),L$119)</f>
        <v>0.84833212603505836</v>
      </c>
      <c r="M124" s="240">
        <f t="shared" si="62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 t="shared" si="63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2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0.24260662263301591</v>
      </c>
      <c r="K128" s="29">
        <f t="shared" si="63"/>
        <v>0.51235726027397255</v>
      </c>
      <c r="L128" s="29">
        <f>IF(L124=L119,0,(L119-L124)/(B119-B124)*K128)</f>
        <v>0.3208058672870911</v>
      </c>
      <c r="M128" s="240">
        <f t="shared" si="62"/>
        <v>0.24260662263301591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 t="shared" si="63"/>
        <v>2.3856261710891844</v>
      </c>
      <c r="L130" s="29">
        <f>(L119)</f>
        <v>1.7160367205729097</v>
      </c>
      <c r="M130" s="240">
        <f t="shared" si="62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0.1354462020256757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41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>$M6*AB6*4</f>
        <v>4.2545813200498134E-2</v>
      </c>
      <c r="AD6" s="116"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7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0.1336074097135741</v>
      </c>
      <c r="AH7" s="123">
        <f t="shared" ref="AH7:AH30" si="10">SUM(Z7,AB7,AD7,AF7)</f>
        <v>1</v>
      </c>
      <c r="AI7" s="183">
        <f t="shared" ref="AI7:AI30" si="11">SUM(AA7,AC7,AE7,AG7)/4</f>
        <v>3.3401852428393525E-2</v>
      </c>
      <c r="AJ7" s="120">
        <f t="shared" ref="AJ7:AJ31" si="12">(AA7+AC7)/2</f>
        <v>0</v>
      </c>
      <c r="AK7" s="119">
        <f t="shared" ref="AK7:AK31" si="13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7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1.1666666666666669E-2</v>
      </c>
      <c r="AJ8" s="120">
        <f t="shared" si="12"/>
        <v>1.6644793816281589E-2</v>
      </c>
      <c r="AK8" s="119">
        <f t="shared" si="13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7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2.8333333333333332E-2</v>
      </c>
      <c r="AJ9" s="120">
        <f t="shared" si="12"/>
        <v>4.0423070696683855E-2</v>
      </c>
      <c r="AK9" s="119">
        <f t="shared" si="13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7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0.22922252054794517</v>
      </c>
      <c r="AJ10" s="120">
        <f t="shared" si="12"/>
        <v>0.32703099364876431</v>
      </c>
      <c r="AK10" s="119">
        <f t="shared" si="13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7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4.9098007471980079E-2</v>
      </c>
      <c r="AJ11" s="120">
        <f t="shared" si="12"/>
        <v>7.0047960956688096E-2</v>
      </c>
      <c r="AK11" s="119">
        <f t="shared" si="13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2.17240902172409E-2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0"/>
        <v>1</v>
      </c>
      <c r="AI12" s="183">
        <f t="shared" si="11"/>
        <v>5.4310225543102251E-3</v>
      </c>
      <c r="AJ12" s="120">
        <f t="shared" si="12"/>
        <v>0</v>
      </c>
      <c r="AK12" s="119">
        <f t="shared" si="13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6.6002490660024907E-2</v>
      </c>
      <c r="AJ13" s="120">
        <f t="shared" si="12"/>
        <v>0.13200498132004981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2.87809602878096E-2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2"/>
        <v>1.43904801439048E-2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65697.492936981318</v>
      </c>
      <c r="T23" s="179">
        <f>SUM(T7:T22)</f>
        <v>63092.778415088425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 t="shared" si="17"/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14"/>
        <v>0.1322751322751323</v>
      </c>
      <c r="AD26" s="116">
        <v>0.25</v>
      </c>
      <c r="AE26" s="121">
        <f t="shared" si="15"/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14"/>
        <v>0</v>
      </c>
      <c r="AD27" s="116">
        <v>0.25</v>
      </c>
      <c r="AE27" s="121">
        <f t="shared" si="15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 t="shared" si="17"/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7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14"/>
        <v>0.22463677394199708</v>
      </c>
      <c r="AD29" s="116">
        <v>0.25</v>
      </c>
      <c r="AE29" s="121">
        <f t="shared" si="15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0.80987065375703804</v>
      </c>
      <c r="J30" s="231">
        <f>IF(I$32&lt;=1,I30,1-SUM(J6:J29))</f>
        <v>0.15016958769459066</v>
      </c>
      <c r="K30" s="22">
        <f t="shared" si="4"/>
        <v>0.51235726027397255</v>
      </c>
      <c r="L30" s="22">
        <f>IF(L124=L119,0,IF(K30="",0,(L119-L124)/(B119-B124)*K30))</f>
        <v>0.31392481588663146</v>
      </c>
      <c r="M30" s="175">
        <f t="shared" si="6"/>
        <v>0.15016958769459066</v>
      </c>
      <c r="N30" s="166" t="s">
        <v>86</v>
      </c>
      <c r="O30" s="2"/>
      <c r="P30" s="22"/>
      <c r="Q30" s="234" t="s">
        <v>141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0.60067835077836262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0.30125198911051365</v>
      </c>
      <c r="AE30" s="187">
        <f>IF(AE79*4/$I$83+SUM(AE6:AE29)&lt;1,AE79*4/$I$83,1-SUM(AE6:AE29))</f>
        <v>0.1809555479876046</v>
      </c>
      <c r="AF30" s="122">
        <f>IF($Y30=0,0,AG30/($Y$30))</f>
        <v>0.69874801088948579</v>
      </c>
      <c r="AG30" s="187">
        <f>IF(AG79*4/$I$83+SUM(AG6:AG29)&lt;1,AG79*4/$I$83,1-SUM(AG6:AG29))</f>
        <v>0.41972280279075769</v>
      </c>
      <c r="AH30" s="123">
        <f t="shared" si="10"/>
        <v>0.99999999999999944</v>
      </c>
      <c r="AI30" s="183">
        <f t="shared" si="11"/>
        <v>0.15016958769459057</v>
      </c>
      <c r="AJ30" s="120">
        <f t="shared" si="12"/>
        <v>0</v>
      </c>
      <c r="AK30" s="119">
        <f t="shared" si="13"/>
        <v>0.30033917538918115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-4.0122910179198445E-2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32"/>
        <v>0</v>
      </c>
      <c r="S31" s="234">
        <f t="shared" si="32"/>
        <v>0</v>
      </c>
      <c r="T31" s="234">
        <f>IF(T25&gt;T$23,T25-T$23,0)</f>
        <v>1036.4070420799253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1.6597010660624474</v>
      </c>
      <c r="J32" s="17"/>
      <c r="L32" s="22">
        <f>SUM(L6:L30)</f>
        <v>1.0401229101791984</v>
      </c>
      <c r="M32" s="23"/>
      <c r="N32" s="56"/>
      <c r="O32" s="2"/>
      <c r="P32" s="22"/>
      <c r="Q32" s="234" t="s">
        <v>143</v>
      </c>
      <c r="R32" s="234">
        <f t="shared" si="32"/>
        <v>19029.025793478941</v>
      </c>
      <c r="S32" s="234">
        <f t="shared" si="32"/>
        <v>35261.852520187036</v>
      </c>
      <c r="T32" s="234">
        <f t="shared" si="32"/>
        <v>37866.567042079929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0.31302888497649772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1036.4070420799344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2596</v>
      </c>
      <c r="J37" s="38">
        <f t="shared" ref="J37:J49" si="35">J91*I$83</f>
        <v>2596</v>
      </c>
      <c r="K37" s="40">
        <f t="shared" ref="K37:K49" si="36">(B37/B$65)</f>
        <v>6.2470184684582361E-2</v>
      </c>
      <c r="L37" s="22">
        <f t="shared" ref="L37:L49" si="37">(K37*H37)</f>
        <v>5.8971854342245743E-2</v>
      </c>
      <c r="M37" s="24">
        <f t="shared" ref="M37:M49" si="38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2596</v>
      </c>
      <c r="AH37" s="123">
        <f>SUM(Z37,AB37,AD37,AF37)</f>
        <v>1</v>
      </c>
      <c r="AI37" s="112">
        <f>SUM(AA37,AC37,AE37,AG37)</f>
        <v>2596</v>
      </c>
      <c r="AJ37" s="148">
        <f>(AA37+AC37)</f>
        <v>0</v>
      </c>
      <c r="AK37" s="147">
        <f>(AE37+AG37)</f>
        <v>2596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40">SUM(B38,C38)</f>
        <v>825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778.8</v>
      </c>
      <c r="J38" s="38">
        <f t="shared" si="35"/>
        <v>778.8</v>
      </c>
      <c r="K38" s="40">
        <f t="shared" si="36"/>
        <v>7.4964221621498836E-2</v>
      </c>
      <c r="L38" s="22">
        <f t="shared" si="37"/>
        <v>7.0766225210694894E-2</v>
      </c>
      <c r="M38" s="24">
        <f t="shared" si="38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778.8</v>
      </c>
      <c r="AH38" s="123">
        <f t="shared" ref="AH38:AI58" si="43">SUM(Z38,AB38,AD38,AF38)</f>
        <v>1</v>
      </c>
      <c r="AI38" s="112">
        <f t="shared" si="43"/>
        <v>778.8</v>
      </c>
      <c r="AJ38" s="148">
        <f t="shared" ref="AJ38:AJ64" si="44">(AA38+AC38)</f>
        <v>0</v>
      </c>
      <c r="AK38" s="147">
        <f t="shared" ref="AK38:AK64" si="45">(AE38+AG38)</f>
        <v>778.8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40"/>
        <v>11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10.384</v>
      </c>
      <c r="J39" s="38">
        <f t="shared" si="35"/>
        <v>10.383999999999999</v>
      </c>
      <c r="K39" s="40">
        <f t="shared" si="36"/>
        <v>2.4988073873832942E-4</v>
      </c>
      <c r="L39" s="22">
        <f t="shared" si="37"/>
        <v>2.3588741736898296E-4</v>
      </c>
      <c r="M39" s="24">
        <f t="shared" si="38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46">$J39*Z39</f>
        <v>2.7445226445573594</v>
      </c>
      <c r="AB39" s="122">
        <f>AB8</f>
        <v>0.44904527823820833</v>
      </c>
      <c r="AC39" s="147">
        <f t="shared" ref="AC39:AC64" si="47">$J39*AB39</f>
        <v>4.6628861692255548</v>
      </c>
      <c r="AD39" s="122">
        <f>AD8</f>
        <v>0.28665169358793202</v>
      </c>
      <c r="AE39" s="147">
        <f t="shared" ref="AE39:AE64" si="48">$J39*AD39</f>
        <v>2.9765911862170857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10.384</v>
      </c>
      <c r="AJ39" s="148">
        <f t="shared" si="44"/>
        <v>7.4074088137829142</v>
      </c>
      <c r="AK39" s="147">
        <f t="shared" si="45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75">
        <f>E8</f>
        <v>1</v>
      </c>
      <c r="F40" s="26">
        <v>1.4</v>
      </c>
      <c r="G40" s="22">
        <f t="shared" si="41"/>
        <v>1.65</v>
      </c>
      <c r="H40" s="24">
        <f t="shared" si="33"/>
        <v>1.4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46"/>
        <v>0</v>
      </c>
      <c r="AB40" s="122">
        <f>AB9</f>
        <v>0.44904527823820833</v>
      </c>
      <c r="AC40" s="147">
        <f t="shared" si="47"/>
        <v>0</v>
      </c>
      <c r="AD40" s="122">
        <f>AD9</f>
        <v>0.28665169358793191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40"/>
        <v>0</v>
      </c>
      <c r="E41" s="75">
        <f>E10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1.1358215397196792E-2</v>
      </c>
      <c r="L41" s="22">
        <f t="shared" si="37"/>
        <v>1.7332636696122304E-2</v>
      </c>
      <c r="M41" s="24">
        <f t="shared" si="38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46"/>
        <v>0</v>
      </c>
      <c r="AB41" s="122">
        <f>AB11</f>
        <v>0.44904527823820833</v>
      </c>
      <c r="AC41" s="147">
        <f t="shared" si="47"/>
        <v>0</v>
      </c>
      <c r="AD41" s="122">
        <f>AD11</f>
        <v>0.28665169358793202</v>
      </c>
      <c r="AE41" s="147">
        <f t="shared" si="48"/>
        <v>0</v>
      </c>
      <c r="AF41" s="122">
        <f t="shared" si="39"/>
        <v>0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40"/>
        <v>0</v>
      </c>
      <c r="E42" s="75">
        <f>E11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0</v>
      </c>
      <c r="J42" s="38">
        <f t="shared" si="35"/>
        <v>0</v>
      </c>
      <c r="K42" s="40">
        <f t="shared" si="36"/>
        <v>0</v>
      </c>
      <c r="L42" s="22">
        <f t="shared" si="37"/>
        <v>0</v>
      </c>
      <c r="M42" s="24">
        <f t="shared" si="38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0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0</v>
      </c>
      <c r="AF42" s="122">
        <f t="shared" si="39"/>
        <v>0.25</v>
      </c>
      <c r="AG42" s="147">
        <f t="shared" si="42"/>
        <v>0</v>
      </c>
      <c r="AH42" s="123">
        <f t="shared" si="43"/>
        <v>1</v>
      </c>
      <c r="AI42" s="112">
        <f t="shared" si="43"/>
        <v>0</v>
      </c>
      <c r="AJ42" s="148">
        <f t="shared" si="44"/>
        <v>0</v>
      </c>
      <c r="AK42" s="147">
        <f t="shared" si="45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40"/>
        <v>0</v>
      </c>
      <c r="E43" s="75">
        <f>E12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0</v>
      </c>
      <c r="K43" s="40">
        <f t="shared" si="36"/>
        <v>0</v>
      </c>
      <c r="L43" s="22">
        <f t="shared" si="37"/>
        <v>0</v>
      </c>
      <c r="M43" s="24">
        <f t="shared" si="38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0</v>
      </c>
      <c r="AB43" s="116">
        <v>0.25</v>
      </c>
      <c r="AC43" s="147">
        <f t="shared" si="47"/>
        <v>0</v>
      </c>
      <c r="AD43" s="116">
        <v>0.25</v>
      </c>
      <c r="AE43" s="147">
        <f t="shared" si="48"/>
        <v>0</v>
      </c>
      <c r="AF43" s="122">
        <f t="shared" si="39"/>
        <v>0.25</v>
      </c>
      <c r="AG43" s="147">
        <f t="shared" si="42"/>
        <v>0</v>
      </c>
      <c r="AH43" s="123">
        <f t="shared" si="43"/>
        <v>1</v>
      </c>
      <c r="AI43" s="112">
        <f t="shared" si="43"/>
        <v>0</v>
      </c>
      <c r="AJ43" s="148">
        <f t="shared" si="44"/>
        <v>0</v>
      </c>
      <c r="AK43" s="147">
        <f t="shared" si="45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40"/>
        <v>0</v>
      </c>
      <c r="E44" s="75">
        <f>E13</f>
        <v>1</v>
      </c>
      <c r="F44" s="26">
        <v>1.4</v>
      </c>
      <c r="G44" s="22">
        <f t="shared" si="41"/>
        <v>1.65</v>
      </c>
      <c r="H44" s="24">
        <f t="shared" si="33"/>
        <v>1.4</v>
      </c>
      <c r="I44" s="39">
        <f t="shared" si="34"/>
        <v>0</v>
      </c>
      <c r="J44" s="38">
        <f t="shared" si="35"/>
        <v>0</v>
      </c>
      <c r="K44" s="40">
        <f t="shared" si="36"/>
        <v>2.2716430794393585E-2</v>
      </c>
      <c r="L44" s="22">
        <f t="shared" si="37"/>
        <v>3.1803003112151014E-2</v>
      </c>
      <c r="M44" s="24">
        <f t="shared" si="38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0</v>
      </c>
      <c r="AB44" s="116">
        <v>0.25</v>
      </c>
      <c r="AC44" s="147">
        <f t="shared" si="47"/>
        <v>0</v>
      </c>
      <c r="AD44" s="116">
        <v>0.25</v>
      </c>
      <c r="AE44" s="147">
        <f t="shared" si="48"/>
        <v>0</v>
      </c>
      <c r="AF44" s="122">
        <f t="shared" si="39"/>
        <v>0.25</v>
      </c>
      <c r="AG44" s="147">
        <f t="shared" si="42"/>
        <v>0</v>
      </c>
      <c r="AH44" s="123">
        <f t="shared" si="43"/>
        <v>1</v>
      </c>
      <c r="AI44" s="112">
        <f t="shared" si="43"/>
        <v>0</v>
      </c>
      <c r="AJ44" s="148">
        <f t="shared" si="44"/>
        <v>0</v>
      </c>
      <c r="AK44" s="147">
        <f t="shared" si="45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40"/>
        <v>0</v>
      </c>
      <c r="E45" s="75">
        <f>E14</f>
        <v>1</v>
      </c>
      <c r="F45" s="26">
        <v>1.4</v>
      </c>
      <c r="G45" s="22">
        <f t="shared" si="41"/>
        <v>1.65</v>
      </c>
      <c r="H45" s="24">
        <f t="shared" si="33"/>
        <v>1.4</v>
      </c>
      <c r="I45" s="39">
        <f t="shared" si="34"/>
        <v>0</v>
      </c>
      <c r="J45" s="38">
        <f t="shared" si="35"/>
        <v>0</v>
      </c>
      <c r="K45" s="40">
        <f t="shared" si="36"/>
        <v>1.1358215397196792E-2</v>
      </c>
      <c r="L45" s="22">
        <f t="shared" si="37"/>
        <v>1.5901501556075507E-2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0.8</v>
      </c>
      <c r="F46" s="26">
        <v>1.18</v>
      </c>
      <c r="G46" s="22">
        <f t="shared" si="41"/>
        <v>1.65</v>
      </c>
      <c r="H46" s="24">
        <f t="shared" si="33"/>
        <v>0.94399999999999995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41"/>
        <v>1.65</v>
      </c>
      <c r="H48" s="24">
        <f t="shared" si="33"/>
        <v>1.18</v>
      </c>
      <c r="I48" s="39">
        <f t="shared" si="34"/>
        <v>33417.599999999999</v>
      </c>
      <c r="J48" s="38">
        <f t="shared" si="35"/>
        <v>33417.599999999999</v>
      </c>
      <c r="K48" s="40">
        <f t="shared" si="36"/>
        <v>0.64332932009722632</v>
      </c>
      <c r="L48" s="22">
        <f t="shared" si="37"/>
        <v>0.75912859771472707</v>
      </c>
      <c r="M48" s="24">
        <f t="shared" si="38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8354.4</v>
      </c>
      <c r="AB48" s="116">
        <v>0.25</v>
      </c>
      <c r="AC48" s="147">
        <f t="shared" si="47"/>
        <v>8354.4</v>
      </c>
      <c r="AD48" s="116">
        <v>0.25</v>
      </c>
      <c r="AE48" s="147">
        <f t="shared" si="48"/>
        <v>8354.4</v>
      </c>
      <c r="AF48" s="122">
        <f t="shared" si="39"/>
        <v>0.25</v>
      </c>
      <c r="AG48" s="147">
        <f t="shared" si="42"/>
        <v>8354.4</v>
      </c>
      <c r="AH48" s="123">
        <f t="shared" si="43"/>
        <v>1</v>
      </c>
      <c r="AI48" s="112">
        <f t="shared" si="43"/>
        <v>33417.599999999999</v>
      </c>
      <c r="AJ48" s="148">
        <f t="shared" si="44"/>
        <v>16708.8</v>
      </c>
      <c r="AK48" s="147">
        <f t="shared" si="45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49">SUM(B49,C49)</f>
        <v>7640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9015.1999999999989</v>
      </c>
      <c r="J49" s="38">
        <f t="shared" si="35"/>
        <v>9015.2000000000007</v>
      </c>
      <c r="K49" s="40">
        <f t="shared" si="36"/>
        <v>0.17355353126916698</v>
      </c>
      <c r="L49" s="22">
        <f t="shared" si="37"/>
        <v>0.20479316689761703</v>
      </c>
      <c r="M49" s="24">
        <f t="shared" si="38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2253.8000000000002</v>
      </c>
      <c r="AB49" s="116">
        <v>0.25</v>
      </c>
      <c r="AC49" s="147">
        <f t="shared" si="47"/>
        <v>2253.8000000000002</v>
      </c>
      <c r="AD49" s="116">
        <v>0.25</v>
      </c>
      <c r="AE49" s="147">
        <f t="shared" si="48"/>
        <v>2253.8000000000002</v>
      </c>
      <c r="AF49" s="122">
        <f t="shared" si="39"/>
        <v>0.25</v>
      </c>
      <c r="AG49" s="147">
        <f t="shared" si="42"/>
        <v>2253.8000000000002</v>
      </c>
      <c r="AH49" s="123">
        <f t="shared" si="43"/>
        <v>1</v>
      </c>
      <c r="AI49" s="112">
        <f t="shared" si="43"/>
        <v>9015.2000000000007</v>
      </c>
      <c r="AJ49" s="148">
        <f t="shared" si="44"/>
        <v>4507.6000000000004</v>
      </c>
      <c r="AK49" s="147">
        <f t="shared" si="45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1.1100000000000001</v>
      </c>
      <c r="G51" s="22">
        <f t="shared" si="41"/>
        <v>1.65</v>
      </c>
      <c r="H51" s="24">
        <f t="shared" si="50"/>
        <v>1.1100000000000001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45817.983999999997</v>
      </c>
      <c r="J65" s="39">
        <f>SUM(J37:J64)</f>
        <v>45817.983999999997</v>
      </c>
      <c r="K65" s="40">
        <f>SUM(K37:K64)</f>
        <v>1</v>
      </c>
      <c r="L65" s="22">
        <f>SUM(L37:L64)</f>
        <v>1.1589328729470025</v>
      </c>
      <c r="M65" s="24">
        <f>SUM(M37:M64)</f>
        <v>1.0408210626746326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10610.944522644557</v>
      </c>
      <c r="AB65" s="137"/>
      <c r="AC65" s="153">
        <f>SUM(AC37:AC64)</f>
        <v>10612.862886169227</v>
      </c>
      <c r="AD65" s="137"/>
      <c r="AE65" s="153">
        <f>SUM(AE37:AE64)</f>
        <v>10611.176591186217</v>
      </c>
      <c r="AF65" s="137"/>
      <c r="AG65" s="153">
        <f>SUM(AG37:AG64)</f>
        <v>13983</v>
      </c>
      <c r="AH65" s="137"/>
      <c r="AI65" s="153">
        <f>SUM(AI37:AI64)</f>
        <v>45817.983999999997</v>
      </c>
      <c r="AJ65" s="153">
        <f>SUM(AJ37:AJ64)</f>
        <v>21223.80740881378</v>
      </c>
      <c r="AK65" s="153">
        <f>SUM(AK37:AK64)</f>
        <v>24594.176591186217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57">J124*I$83</f>
        <v>23440.358592471795</v>
      </c>
      <c r="K70" s="40">
        <f t="shared" ref="K70:K75" si="58">B70/B$76</f>
        <v>0.3803437741154676</v>
      </c>
      <c r="L70" s="22">
        <f t="shared" ref="L70:L75" si="59">(L124*G$37*F$9/F$7)/B$130</f>
        <v>0.5324812837616546</v>
      </c>
      <c r="M70" s="24">
        <f t="shared" ref="M70:M75" si="60"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19264.68</v>
      </c>
      <c r="J71" s="51">
        <f t="shared" si="57"/>
        <v>19264.68</v>
      </c>
      <c r="K71" s="40">
        <f t="shared" si="58"/>
        <v>0.3708684491492697</v>
      </c>
      <c r="L71" s="22">
        <f t="shared" si="59"/>
        <v>0.43762476999613831</v>
      </c>
      <c r="M71" s="24">
        <f t="shared" si="60"/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0</v>
      </c>
      <c r="K72" s="40">
        <f t="shared" si="58"/>
        <v>0.70902523795461259</v>
      </c>
      <c r="L72" s="22">
        <f t="shared" si="59"/>
        <v>0</v>
      </c>
      <c r="M72" s="24">
        <f t="shared" si="6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0.12450875718407124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22377.625407528201</v>
      </c>
      <c r="J74" s="51">
        <f t="shared" si="57"/>
        <v>4149.3524496081327</v>
      </c>
      <c r="K74" s="40">
        <f t="shared" si="58"/>
        <v>0.19490697621589695</v>
      </c>
      <c r="L74" s="22">
        <f t="shared" si="59"/>
        <v>0.19704439315439354</v>
      </c>
      <c r="M74" s="24">
        <f t="shared" si="60"/>
        <v>9.4258477763070642E-2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1250.0006789650324</v>
      </c>
      <c r="AF74" s="156"/>
      <c r="AG74" s="147">
        <f>AG30*$I$83/4</f>
        <v>2899.3517706430985</v>
      </c>
      <c r="AH74" s="155"/>
      <c r="AI74" s="147">
        <f>SUM(AA74,AC74,AE74,AG74)</f>
        <v>4149.3524496081309</v>
      </c>
      <c r="AJ74" s="148">
        <f>(AA74+AC74)</f>
        <v>0</v>
      </c>
      <c r="AK74" s="147">
        <f>(AE74+AG74)</f>
        <v>4149.3524496081309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9974.4134557655598</v>
      </c>
      <c r="AB75" s="158"/>
      <c r="AC75" s="149">
        <f>AA75+AC65-SUM(AC70,AC74)</f>
        <v>14727.186693816839</v>
      </c>
      <c r="AD75" s="158"/>
      <c r="AE75" s="149">
        <f>AC75+AE65-SUM(AE70,AE74)</f>
        <v>18228.272957920075</v>
      </c>
      <c r="AF75" s="158"/>
      <c r="AG75" s="149">
        <f>IF(SUM(AG6:AG29)+((AG65-AG70-$J$75)*4/I$83)&lt;1,0,AG65-AG70-$J$75-(1-SUM(AG6:AG29))*I$83/4)</f>
        <v>5223.5585812389527</v>
      </c>
      <c r="AH75" s="134"/>
      <c r="AI75" s="149">
        <f>AI76-SUM(AI70,AI74)</f>
        <v>18228.272957920071</v>
      </c>
      <c r="AJ75" s="151">
        <f>AJ76-SUM(AJ70,AJ74)</f>
        <v>9503.628112577886</v>
      </c>
      <c r="AK75" s="149">
        <f>AJ75+AK76-SUM(AK70,AK74)</f>
        <v>18228.272957920071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45817.983999999997</v>
      </c>
      <c r="J76" s="51">
        <f t="shared" si="57"/>
        <v>45817.983999999997</v>
      </c>
      <c r="K76" s="40">
        <f>SUM(K70:K75)</f>
        <v>1.7796531946193184</v>
      </c>
      <c r="L76" s="22">
        <f>SUM(L70:L75)</f>
        <v>1.1671504469121865</v>
      </c>
      <c r="M76" s="24">
        <f>SUM(M70:M75)</f>
        <v>1.0643645315208634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10610.944522644557</v>
      </c>
      <c r="AB76" s="137"/>
      <c r="AC76" s="153">
        <f>AC65</f>
        <v>10612.862886169227</v>
      </c>
      <c r="AD76" s="137"/>
      <c r="AE76" s="153">
        <f>AE65</f>
        <v>10611.176591186217</v>
      </c>
      <c r="AF76" s="137"/>
      <c r="AG76" s="153">
        <f>AG65</f>
        <v>13983</v>
      </c>
      <c r="AH76" s="137"/>
      <c r="AI76" s="153">
        <f>SUM(AA76,AC76,AE76,AG76)</f>
        <v>45817.983999999997</v>
      </c>
      <c r="AJ76" s="154">
        <f>SUM(AA76,AC76)</f>
        <v>21223.807408813784</v>
      </c>
      <c r="AK76" s="154">
        <f>SUM(AE76,AG76)</f>
        <v>24594.176591186217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57"/>
        <v>1036.4070420799344</v>
      </c>
      <c r="K77" s="40"/>
      <c r="L77" s="22">
        <f>-(L131*G$37*F$9/F$7)/B$130</f>
        <v>-0.43762476999613814</v>
      </c>
      <c r="M77" s="24">
        <f>-J77/B$76</f>
        <v>-2.3543468846230989E-2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5223.5585812389527</v>
      </c>
      <c r="AB78" s="112"/>
      <c r="AC78" s="112">
        <f>IF(AA75&lt;0,0,AA75)</f>
        <v>9974.4134557655598</v>
      </c>
      <c r="AD78" s="112"/>
      <c r="AE78" s="112">
        <f>AC75</f>
        <v>14727.186693816839</v>
      </c>
      <c r="AF78" s="112"/>
      <c r="AG78" s="112">
        <f>AE75</f>
        <v>18228.272957920075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9974.4134557655598</v>
      </c>
      <c r="AB79" s="112"/>
      <c r="AC79" s="112">
        <f>AA79-AA74+AC65-AC70</f>
        <v>14727.186693816839</v>
      </c>
      <c r="AD79" s="112"/>
      <c r="AE79" s="112">
        <f>AC79-AC74+AE65-AE70</f>
        <v>19478.273636885107</v>
      </c>
      <c r="AF79" s="112"/>
      <c r="AG79" s="112">
        <f>AE79-AE74+AG65-AG70</f>
        <v>26351.183309802127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0.16421707060063223</v>
      </c>
      <c r="C91" s="60">
        <f t="shared" si="61"/>
        <v>0</v>
      </c>
      <c r="D91" s="24">
        <f>SUM(B91,C91)</f>
        <v>0.16421707060063223</v>
      </c>
      <c r="H91" s="24">
        <f>(E37*F37/G37*F$7/F$9)</f>
        <v>0.57212121212121214</v>
      </c>
      <c r="I91" s="22">
        <f>(D91*H91)</f>
        <v>9.395206948302838E-2</v>
      </c>
      <c r="J91" s="24">
        <f>IF(I$32&lt;=1+I$131,I91,L91+J$33*(I91-L91))</f>
        <v>9.395206948302838E-2</v>
      </c>
      <c r="K91" s="22">
        <f>IF(B91="",0,B91)</f>
        <v>0.16421707060063223</v>
      </c>
      <c r="L91" s="22">
        <f>(K91*H91)</f>
        <v>9.395206948302838E-2</v>
      </c>
      <c r="M91" s="227">
        <f>(J91)</f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0.19706048472075866</v>
      </c>
      <c r="C92" s="60">
        <f t="shared" si="61"/>
        <v>-0.14779536354056899</v>
      </c>
      <c r="D92" s="24">
        <f t="shared" ref="D92:D118" si="63">SUM(B92,C92)</f>
        <v>4.9265121180189664E-2</v>
      </c>
      <c r="H92" s="24">
        <f t="shared" ref="H92:H118" si="64">(E38*F38/G38*F$7/F$9)</f>
        <v>0.57212121212121214</v>
      </c>
      <c r="I92" s="22">
        <f t="shared" ref="I92:I118" si="65">(D92*H92)</f>
        <v>2.8185620844908513E-2</v>
      </c>
      <c r="J92" s="24">
        <f t="shared" ref="J92:J118" si="66">IF(I$32&lt;=1+I$131,I92,L92+J$33*(I92-L92))</f>
        <v>2.8185620844908513E-2</v>
      </c>
      <c r="K92" s="22">
        <f t="shared" ref="K92:K118" si="67">IF(B92="",0,B92)</f>
        <v>0.19706048472075866</v>
      </c>
      <c r="L92" s="22">
        <f t="shared" ref="L92:L118" si="68">(K92*H92)</f>
        <v>0.11274248337963405</v>
      </c>
      <c r="M92" s="227">
        <f t="shared" ref="M92:M118" si="69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Chicken sales: no. sold</v>
      </c>
      <c r="B93" s="60">
        <f t="shared" si="61"/>
        <v>6.5686828240252889E-4</v>
      </c>
      <c r="C93" s="60">
        <f t="shared" si="61"/>
        <v>0</v>
      </c>
      <c r="D93" s="24">
        <f t="shared" si="63"/>
        <v>6.5686828240252889E-4</v>
      </c>
      <c r="H93" s="24">
        <f t="shared" si="64"/>
        <v>0.57212121212121214</v>
      </c>
      <c r="I93" s="22">
        <f t="shared" si="65"/>
        <v>3.7580827793211351E-4</v>
      </c>
      <c r="J93" s="24">
        <f t="shared" si="66"/>
        <v>3.7580827793211351E-4</v>
      </c>
      <c r="K93" s="22">
        <f t="shared" si="67"/>
        <v>6.5686828240252889E-4</v>
      </c>
      <c r="L93" s="22">
        <f t="shared" si="68"/>
        <v>3.7580827793211351E-4</v>
      </c>
      <c r="M93" s="227">
        <f t="shared" si="69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Green maize sold: quantity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0.84848484848484851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7">
        <f t="shared" si="6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2.9857649200114949E-2</v>
      </c>
      <c r="C95" s="60">
        <f t="shared" si="61"/>
        <v>-2.9857649200114949E-2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2.9857649200114949E-2</v>
      </c>
      <c r="L95" s="22">
        <f t="shared" si="68"/>
        <v>2.7613801623863888E-2</v>
      </c>
      <c r="M95" s="227">
        <f t="shared" si="6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</v>
      </c>
      <c r="C96" s="60">
        <f t="shared" si="61"/>
        <v>0</v>
      </c>
      <c r="D96" s="24">
        <f t="shared" si="63"/>
        <v>0</v>
      </c>
      <c r="H96" s="24">
        <f t="shared" si="64"/>
        <v>0.84848484848484851</v>
      </c>
      <c r="I96" s="22">
        <f t="shared" si="65"/>
        <v>0</v>
      </c>
      <c r="J96" s="24">
        <f t="shared" si="66"/>
        <v>0</v>
      </c>
      <c r="K96" s="22">
        <f t="shared" si="67"/>
        <v>0</v>
      </c>
      <c r="L96" s="22">
        <f t="shared" si="68"/>
        <v>0</v>
      </c>
      <c r="M96" s="227">
        <f t="shared" si="6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Potato: kg produced</v>
      </c>
      <c r="B97" s="60">
        <f t="shared" si="61"/>
        <v>0</v>
      </c>
      <c r="C97" s="60">
        <f t="shared" si="61"/>
        <v>0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0</v>
      </c>
      <c r="K97" s="22">
        <f t="shared" si="67"/>
        <v>0</v>
      </c>
      <c r="L97" s="22">
        <f t="shared" si="68"/>
        <v>0</v>
      </c>
      <c r="M97" s="227">
        <f t="shared" si="6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Other root crops: no. local meas( Sweet potato)</v>
      </c>
      <c r="B98" s="60">
        <f t="shared" si="61"/>
        <v>5.9715298400229898E-2</v>
      </c>
      <c r="C98" s="60">
        <f t="shared" si="61"/>
        <v>-5.9715298400229898E-2</v>
      </c>
      <c r="D98" s="24">
        <f t="shared" si="63"/>
        <v>0</v>
      </c>
      <c r="H98" s="24">
        <f t="shared" si="64"/>
        <v>0.84848484848484851</v>
      </c>
      <c r="I98" s="22">
        <f t="shared" si="65"/>
        <v>0</v>
      </c>
      <c r="J98" s="24">
        <f t="shared" si="66"/>
        <v>0</v>
      </c>
      <c r="K98" s="22">
        <f t="shared" si="67"/>
        <v>5.9715298400229898E-2</v>
      </c>
      <c r="L98" s="22">
        <f t="shared" si="68"/>
        <v>5.0667525915346581E-2</v>
      </c>
      <c r="M98" s="227">
        <f t="shared" si="6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Other crop: Amadumbe</v>
      </c>
      <c r="B99" s="60">
        <f t="shared" si="61"/>
        <v>2.9857649200114949E-2</v>
      </c>
      <c r="C99" s="60">
        <f t="shared" si="61"/>
        <v>-2.9857649200114949E-2</v>
      </c>
      <c r="D99" s="24">
        <f t="shared" si="63"/>
        <v>0</v>
      </c>
      <c r="H99" s="24">
        <f t="shared" si="64"/>
        <v>0.84848484848484851</v>
      </c>
      <c r="I99" s="22">
        <f t="shared" si="65"/>
        <v>0</v>
      </c>
      <c r="J99" s="24">
        <f t="shared" si="66"/>
        <v>0</v>
      </c>
      <c r="K99" s="22">
        <f t="shared" si="67"/>
        <v>2.9857649200114949E-2</v>
      </c>
      <c r="L99" s="22">
        <f t="shared" si="68"/>
        <v>2.5333762957673291E-2</v>
      </c>
      <c r="M99" s="227">
        <f t="shared" si="6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Labour migration(formal employment): no. people per HH</v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0.57212121212121214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Small business -- see Data2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Social development -- see Data2</v>
      </c>
      <c r="B102" s="60">
        <f t="shared" si="61"/>
        <v>1.6911372506945106</v>
      </c>
      <c r="C102" s="60">
        <f t="shared" si="61"/>
        <v>0</v>
      </c>
      <c r="D102" s="24">
        <f t="shared" si="63"/>
        <v>1.6911372506945106</v>
      </c>
      <c r="H102" s="24">
        <f t="shared" si="64"/>
        <v>0.7151515151515152</v>
      </c>
      <c r="I102" s="22">
        <f t="shared" si="65"/>
        <v>1.2094193671633471</v>
      </c>
      <c r="J102" s="24">
        <f t="shared" si="66"/>
        <v>1.2094193671633471</v>
      </c>
      <c r="K102" s="22">
        <f t="shared" si="67"/>
        <v>1.6911372506945106</v>
      </c>
      <c r="L102" s="22">
        <f t="shared" si="68"/>
        <v>1.2094193671633471</v>
      </c>
      <c r="M102" s="227">
        <f t="shared" si="6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Public works -- see Data2</v>
      </c>
      <c r="B103" s="60">
        <f t="shared" si="61"/>
        <v>0.45622487977775644</v>
      </c>
      <c r="C103" s="60">
        <f t="shared" si="61"/>
        <v>0</v>
      </c>
      <c r="D103" s="24">
        <f t="shared" si="63"/>
        <v>0.45622487977775644</v>
      </c>
      <c r="H103" s="24">
        <f t="shared" si="64"/>
        <v>0.7151515151515152</v>
      </c>
      <c r="I103" s="22">
        <f t="shared" si="65"/>
        <v>0.32626991402288041</v>
      </c>
      <c r="J103" s="24">
        <f t="shared" si="66"/>
        <v>0.32626991402288041</v>
      </c>
      <c r="K103" s="22">
        <f t="shared" si="67"/>
        <v>0.45622487977775644</v>
      </c>
      <c r="L103" s="22">
        <f t="shared" si="68"/>
        <v>0.32626991402288041</v>
      </c>
      <c r="M103" s="227">
        <f t="shared" si="69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>Other income: e.g. Credit (cotton loans)</v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>Remittances: no. times per year</v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0.67272727272727284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1.6582027797920964</v>
      </c>
      <c r="J119" s="24">
        <f>SUM(J91:J118)</f>
        <v>1.6582027797920964</v>
      </c>
      <c r="K119" s="22">
        <f>SUM(K91:K118)</f>
        <v>2.6287271508765202</v>
      </c>
      <c r="L119" s="22">
        <f>SUM(L91:L118)</f>
        <v>1.8463747328237059</v>
      </c>
      <c r="M119" s="57">
        <f>(J119)</f>
        <v>1.6582027797920964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 t="shared" ref="K124:K130" si="71">(B124)</f>
        <v>0.99982000568417595</v>
      </c>
      <c r="L124" s="29">
        <f>IF(SUMPRODUCT($B$124:$B124,$H$124:$H124)&lt;L$119,($B124*$H124),L$119)</f>
        <v>0.84833212603505836</v>
      </c>
      <c r="M124" s="240">
        <f t="shared" si="7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 t="shared" si="71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70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7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70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0.80987065375703804</v>
      </c>
      <c r="J128" s="228">
        <f>(J30)</f>
        <v>0.15016958769459066</v>
      </c>
      <c r="K128" s="29">
        <f t="shared" si="71"/>
        <v>0.51235726027397255</v>
      </c>
      <c r="L128" s="29">
        <f>IF(L124=L119,0,(L119-L124)/(B119-B124)*K128)</f>
        <v>0.31392481588663146</v>
      </c>
      <c r="M128" s="240">
        <f t="shared" si="70"/>
        <v>0.15016958769459066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1.6582027797920964</v>
      </c>
      <c r="J130" s="228">
        <f>(J119)</f>
        <v>1.6582027797920964</v>
      </c>
      <c r="K130" s="29">
        <f t="shared" si="71"/>
        <v>2.6287271508765202</v>
      </c>
      <c r="L130" s="29">
        <f>(L119)</f>
        <v>1.8463747328237059</v>
      </c>
      <c r="M130" s="240">
        <f t="shared" si="70"/>
        <v>1.6582027797920964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3.7508700473880552E-2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>$M6*AB6*4</f>
        <v>4.2545813200498134E-2</v>
      </c>
      <c r="AD6" s="156">
        <f>Poor!AD6</f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7381.8664534542349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0.12310709838107099</v>
      </c>
      <c r="AH7" s="123">
        <f t="shared" ref="AH7:AH30" si="10">SUM(Z7,AB7,AD7,AF7)</f>
        <v>1</v>
      </c>
      <c r="AI7" s="183">
        <f t="shared" ref="AI7:AI30" si="11">SUM(AA7,AC7,AE7,AG7)/4</f>
        <v>3.0776774595267748E-2</v>
      </c>
      <c r="AJ7" s="120">
        <f t="shared" ref="AJ7:AJ31" si="12">(AA7+AC7)/2</f>
        <v>0</v>
      </c>
      <c r="AK7" s="119">
        <f t="shared" ref="AK7:AK31" si="13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44745.443922921157</v>
      </c>
      <c r="U8" s="223">
        <v>2</v>
      </c>
      <c r="V8" s="56"/>
      <c r="W8" s="115"/>
      <c r="X8" s="118">
        <f>Poor!X8</f>
        <v>1</v>
      </c>
      <c r="Y8" s="183">
        <f t="shared" si="7"/>
        <v>4.6666666666666669E-2</v>
      </c>
      <c r="Z8" s="125">
        <f>IF($Y8=0,0,AA8/$Y8)</f>
        <v>0.53893010850795575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2.515007173037127E-2</v>
      </c>
      <c r="AB8" s="125">
        <f>IF($Y8=0,0,AC8/$Y8)</f>
        <v>0.46106989149204425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2.1516594936295399E-2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1.1666666666666667E-2</v>
      </c>
      <c r="AJ8" s="120">
        <f t="shared" si="12"/>
        <v>2.3333333333333334E-2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0.53893010850795575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6.1078745630901654E-2</v>
      </c>
      <c r="AB9" s="125">
        <f>IF($Y9=0,0,AC9/$Y9)</f>
        <v>0.46106989149204425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5.2254587702431687E-2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5.6666666666666671E-2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0.13509278900494032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0.13509278900494032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0.54037115601976127</v>
      </c>
      <c r="Z10" s="125">
        <f>IF($Y10=0,0,AA10/$Y10)</f>
        <v>0.53893010850795575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0.29122228574829945</v>
      </c>
      <c r="AB10" s="125">
        <f>IF($Y10=0,0,AC10/$Y10)</f>
        <v>0.46106989149204419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0.24914887027146182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0.13509278900494032</v>
      </c>
      <c r="AJ10" s="120">
        <f t="shared" si="12"/>
        <v>0.27018557800988063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7"/>
        <v>0.19639202988792029</v>
      </c>
      <c r="Z11" s="125">
        <f>IF($Y11=0,0,AA11/$Y11)</f>
        <v>0.53893010850795575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0.10584157797759457</v>
      </c>
      <c r="AB11" s="125">
        <f>IF($Y11=0,0,AC11/$Y11)</f>
        <v>0.46106989149204425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9.0550451910325722E-2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4.9098007471980072E-2</v>
      </c>
      <c r="AJ11" s="120">
        <f t="shared" si="12"/>
        <v>9.8196014943960144E-2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4.7330369469616232E-3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4.7330369469616232E-3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1.8932147787846493E-2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1.2684539017857151E-2</v>
      </c>
      <c r="AF12" s="122">
        <f>1-SUM(Z12,AB12,AD12)</f>
        <v>0.32999999999999996</v>
      </c>
      <c r="AG12" s="121">
        <f>$M12*AF12*4</f>
        <v>6.2476087699893422E-3</v>
      </c>
      <c r="AH12" s="123">
        <f t="shared" si="10"/>
        <v>1</v>
      </c>
      <c r="AI12" s="183">
        <f t="shared" si="11"/>
        <v>4.7330369469616232E-3</v>
      </c>
      <c r="AJ12" s="120">
        <f t="shared" si="12"/>
        <v>0</v>
      </c>
      <c r="AK12" s="119">
        <f t="shared" si="13"/>
        <v>9.4660738939232464E-3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3.4475611707209211E-2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3.4475611707209211E-2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0.13790244682883684</v>
      </c>
      <c r="Z13" s="156">
        <f>Poor!Z13</f>
        <v>1</v>
      </c>
      <c r="AA13" s="121">
        <f>$M13*Z13*4</f>
        <v>0.13790244682883684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3.4475611707209211E-2</v>
      </c>
      <c r="AJ13" s="120">
        <f t="shared" si="12"/>
        <v>6.8951223414418422E-2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3.7583476074945043E-3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3.7583476074945043E-3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1.5033390429978017E-2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1.5033390429978017E-2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3.7583476074945043E-3</v>
      </c>
      <c r="AJ14" s="120">
        <f t="shared" si="12"/>
        <v>7.5166952149890087E-3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105343.6238946762</v>
      </c>
      <c r="T23" s="179">
        <f>SUM(T7:T22)</f>
        <v>105553.90157891254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>$M26*AB26*4</f>
        <v>0.1322751322751323</v>
      </c>
      <c r="AD26" s="156">
        <f>Poor!AD26</f>
        <v>0.25</v>
      </c>
      <c r="AE26" s="121">
        <f>$M26*AD26*4</f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>$M27*AB27*4</f>
        <v>0</v>
      </c>
      <c r="AD27" s="156">
        <f>Poor!AD27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0.20398392660836576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0.20398392660836576</v>
      </c>
      <c r="N29" s="229"/>
      <c r="P29" s="22"/>
      <c r="V29" s="56"/>
      <c r="W29" s="110"/>
      <c r="X29" s="118"/>
      <c r="Y29" s="183">
        <f t="shared" si="7"/>
        <v>0.81593570643346303</v>
      </c>
      <c r="Z29" s="156">
        <f>Poor!Z29</f>
        <v>0.25</v>
      </c>
      <c r="AA29" s="121">
        <f t="shared" si="16"/>
        <v>0.20398392660836576</v>
      </c>
      <c r="AB29" s="156">
        <f>Poor!AB29</f>
        <v>0.25</v>
      </c>
      <c r="AC29" s="121">
        <f>$M29*AB29*4</f>
        <v>0.20398392660836576</v>
      </c>
      <c r="AD29" s="156">
        <f>Poor!AD29</f>
        <v>0.25</v>
      </c>
      <c r="AE29" s="121">
        <f>$M29*AD29*4</f>
        <v>0.20398392660836576</v>
      </c>
      <c r="AF29" s="122">
        <f t="shared" si="8"/>
        <v>0.25</v>
      </c>
      <c r="AG29" s="121">
        <f t="shared" si="9"/>
        <v>0.20398392660836576</v>
      </c>
      <c r="AH29" s="123">
        <f t="shared" si="10"/>
        <v>1</v>
      </c>
      <c r="AI29" s="183">
        <f t="shared" si="11"/>
        <v>0.20398392660836576</v>
      </c>
      <c r="AJ29" s="120">
        <f t="shared" si="12"/>
        <v>0.20398392660836576</v>
      </c>
      <c r="AK29" s="119">
        <f t="shared" si="13"/>
        <v>0.20398392660836576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2.16050388999109</v>
      </c>
      <c r="J30" s="231">
        <f>IF(I$32&lt;=1,I30,1-SUM(J6:J29))</f>
        <v>0.30323900142897475</v>
      </c>
      <c r="K30" s="22">
        <f t="shared" si="4"/>
        <v>0.68973576089663757</v>
      </c>
      <c r="L30" s="22">
        <f>IF(L124=L119,0,IF(K30="",0,(L119-L124)/(B119-B124)*K30))</f>
        <v>0.47422804575254124</v>
      </c>
      <c r="M30" s="175">
        <f t="shared" si="6"/>
        <v>0.30323900142897475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1.212956005715899</v>
      </c>
      <c r="Z30" s="122">
        <f>IF($Y30=0,0,AA30/($Y$30))</f>
        <v>9.153036213954781E-17</v>
      </c>
      <c r="AA30" s="187">
        <f>IF(AA79*4/$I$84+SUM(AA6:AA29)&lt;1,AA79*4/$I$84,1-SUM(AA6:AA29))</f>
        <v>1.1102230246251565E-16</v>
      </c>
      <c r="AB30" s="122">
        <f>IF($Y30=0,0,AC30/($Y$30))</f>
        <v>0.15886085872651481</v>
      </c>
      <c r="AC30" s="187">
        <f>IF(AC79*4/$I$84+SUM(AC6:AC29)&lt;1,AC79*4/$I$84,1-SUM(AC6:AC29))</f>
        <v>0.19269123266551114</v>
      </c>
      <c r="AD30" s="122">
        <f>IF($Y30=0,0,AE30/($Y$30))</f>
        <v>0.46866289289386071</v>
      </c>
      <c r="AE30" s="187">
        <f>IF(AE79*4/$I$84+SUM(AE6:AE29)&lt;1,AE79*4/$I$84,1-SUM(AE6:AE29))</f>
        <v>0.56846747059179548</v>
      </c>
      <c r="AF30" s="122">
        <f>IF($Y30=0,0,AG30/($Y$30))</f>
        <v>0.3724762483796244</v>
      </c>
      <c r="AG30" s="187">
        <f>IF(AG79*4/$I$84+SUM(AG6:AG29)&lt;1,AG79*4/$I$84,1-SUM(AG6:AG29))</f>
        <v>0.45179730245859229</v>
      </c>
      <c r="AH30" s="123">
        <f t="shared" si="10"/>
        <v>1</v>
      </c>
      <c r="AI30" s="183">
        <f t="shared" si="11"/>
        <v>0.30323900142897475</v>
      </c>
      <c r="AJ30" s="120">
        <f t="shared" si="12"/>
        <v>9.6345616332755624E-2</v>
      </c>
      <c r="AK30" s="119">
        <f t="shared" si="13"/>
        <v>0.51013238652519388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-0.14751836455043543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3.3591464368613257</v>
      </c>
      <c r="J32" s="17"/>
      <c r="L32" s="22">
        <f>SUM(L6:L30)</f>
        <v>1.1475183645504354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4.4676083052414862E-2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8496</v>
      </c>
      <c r="J37" s="38">
        <f>J91*I$83</f>
        <v>8495.9999999999982</v>
      </c>
      <c r="K37" s="40">
        <f>(B37/B$65)</f>
        <v>0.11615151319610247</v>
      </c>
      <c r="L37" s="22">
        <f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0.24550551203720278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2085.8148302680743</v>
      </c>
      <c r="AF37" s="122">
        <f t="shared" ref="AF37:AF64" si="26">1-SUM(Z37,AB37,AD37)</f>
        <v>0.75449448796279728</v>
      </c>
      <c r="AG37" s="147">
        <f>$J37*AF37</f>
        <v>6410.1851697319244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4078.08</v>
      </c>
      <c r="J38" s="38">
        <f t="shared" ref="J38:J64" si="29">J92*I$83</f>
        <v>4078.0799999999995</v>
      </c>
      <c r="K38" s="40">
        <f t="shared" ref="K38:K64" si="30">(B38/B$65)</f>
        <v>5.5752726334129185E-2</v>
      </c>
      <c r="L38" s="22">
        <f t="shared" ref="L38:L64" si="31">(K38*H38)</f>
        <v>5.2630573659417951E-2</v>
      </c>
      <c r="M38" s="24">
        <f t="shared" ref="M38:M64" si="32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0.24550551203720278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1001.1911185286758</v>
      </c>
      <c r="AF38" s="122">
        <f t="shared" si="26"/>
        <v>0.75449448796279728</v>
      </c>
      <c r="AG38" s="147">
        <f t="shared" ref="AG38:AG64" si="33">$J38*AF38</f>
        <v>3076.8888814713241</v>
      </c>
      <c r="AH38" s="123">
        <f t="shared" ref="AH38:AI58" si="34">SUM(Z38,AB38,AD38,AF38)</f>
        <v>1</v>
      </c>
      <c r="AI38" s="112">
        <f t="shared" si="34"/>
        <v>4078.08</v>
      </c>
      <c r="AJ38" s="148">
        <f t="shared" ref="AJ38:AJ64" si="35">(AA38+AC38)</f>
        <v>0</v>
      </c>
      <c r="AK38" s="147">
        <f t="shared" ref="AK38:AK64" si="36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991.19999999999993</v>
      </c>
      <c r="J39" s="38">
        <f t="shared" si="29"/>
        <v>991.19999999999982</v>
      </c>
      <c r="K39" s="40">
        <f t="shared" si="30"/>
        <v>1.3551009872878621E-2</v>
      </c>
      <c r="L39" s="22">
        <f t="shared" si="31"/>
        <v>1.2792153319997418E-2</v>
      </c>
      <c r="M39" s="24">
        <f t="shared" si="32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0.53893010850795575</v>
      </c>
      <c r="AA39" s="147">
        <f t="shared" ref="AA39:AA64" si="37">$J39*Z39</f>
        <v>534.18752355308561</v>
      </c>
      <c r="AB39" s="122">
        <f>AB8</f>
        <v>0.46106989149204425</v>
      </c>
      <c r="AC39" s="147">
        <f t="shared" ref="AC39:AC64" si="38">$J39*AB39</f>
        <v>457.01247644691415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991.19999999999982</v>
      </c>
      <c r="AJ39" s="148">
        <f t="shared" si="35"/>
        <v>991.19999999999982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27"/>
        <v>1.4</v>
      </c>
      <c r="I40" s="39">
        <f t="shared" si="28"/>
        <v>35945</v>
      </c>
      <c r="J40" s="38">
        <f t="shared" si="29"/>
        <v>35945</v>
      </c>
      <c r="K40" s="40">
        <f t="shared" si="30"/>
        <v>0.33135445570110345</v>
      </c>
      <c r="L40" s="22">
        <f t="shared" si="31"/>
        <v>0.46389623798154478</v>
      </c>
      <c r="M40" s="24">
        <f t="shared" si="32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0.53893010850795575</v>
      </c>
      <c r="AA40" s="147">
        <f t="shared" si="37"/>
        <v>19371.842750318468</v>
      </c>
      <c r="AB40" s="122">
        <f>AB9</f>
        <v>0.46106989149204425</v>
      </c>
      <c r="AC40" s="147">
        <f t="shared" si="38"/>
        <v>16573.157249681532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35945</v>
      </c>
      <c r="AJ40" s="148">
        <f t="shared" si="35"/>
        <v>35945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5831.2971890480594</v>
      </c>
      <c r="K41" s="40">
        <f t="shared" si="30"/>
        <v>5.1622894753823319E-2</v>
      </c>
      <c r="L41" s="22">
        <f t="shared" si="31"/>
        <v>7.8776537394334392E-2</v>
      </c>
      <c r="M41" s="24">
        <f t="shared" si="32"/>
        <v>7.5257110267123437E-2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0.53893010850795575</v>
      </c>
      <c r="AA41" s="147">
        <f t="shared" si="37"/>
        <v>3142.661626835808</v>
      </c>
      <c r="AB41" s="122">
        <f>AB11</f>
        <v>0.46106989149204425</v>
      </c>
      <c r="AC41" s="147">
        <f t="shared" si="38"/>
        <v>2688.6355622122514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5831.2971890480594</v>
      </c>
      <c r="AJ41" s="148">
        <f t="shared" si="35"/>
        <v>5831.2971890480594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962.96650828316592</v>
      </c>
      <c r="K43" s="40">
        <f t="shared" si="30"/>
        <v>9.2921210556881975E-3</v>
      </c>
      <c r="L43" s="22">
        <f t="shared" si="31"/>
        <v>1.3008969477963477E-2</v>
      </c>
      <c r="M43" s="24">
        <f t="shared" si="32"/>
        <v>1.2427779677139652E-2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240.74162707079148</v>
      </c>
      <c r="AB43" s="156">
        <f>Poor!AB43</f>
        <v>0.25</v>
      </c>
      <c r="AC43" s="147">
        <f t="shared" si="38"/>
        <v>240.74162707079148</v>
      </c>
      <c r="AD43" s="156">
        <f>Poor!AD43</f>
        <v>0.25</v>
      </c>
      <c r="AE43" s="147">
        <f t="shared" si="39"/>
        <v>240.74162707079148</v>
      </c>
      <c r="AF43" s="122">
        <f t="shared" si="26"/>
        <v>0.25</v>
      </c>
      <c r="AG43" s="147">
        <f t="shared" si="33"/>
        <v>240.74162707079148</v>
      </c>
      <c r="AH43" s="123">
        <f t="shared" si="34"/>
        <v>1</v>
      </c>
      <c r="AI43" s="112">
        <f t="shared" si="34"/>
        <v>962.96650828316592</v>
      </c>
      <c r="AJ43" s="148">
        <f t="shared" si="35"/>
        <v>481.48325414158296</v>
      </c>
      <c r="AK43" s="147">
        <f t="shared" si="36"/>
        <v>481.48325414158296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27"/>
        <v>1.4</v>
      </c>
      <c r="I44" s="39">
        <f t="shared" si="28"/>
        <v>0</v>
      </c>
      <c r="J44" s="38">
        <f t="shared" si="29"/>
        <v>1337.4534837266192</v>
      </c>
      <c r="K44" s="40">
        <f t="shared" si="30"/>
        <v>1.290572368845583E-2</v>
      </c>
      <c r="L44" s="22">
        <f t="shared" si="31"/>
        <v>1.8068013163838159E-2</v>
      </c>
      <c r="M44" s="24">
        <f t="shared" si="32"/>
        <v>1.7260805107138403E-2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334.3633709316548</v>
      </c>
      <c r="AB44" s="156">
        <f>Poor!AB44</f>
        <v>0.25</v>
      </c>
      <c r="AC44" s="147">
        <f t="shared" si="38"/>
        <v>334.3633709316548</v>
      </c>
      <c r="AD44" s="156">
        <f>Poor!AD44</f>
        <v>0.25</v>
      </c>
      <c r="AE44" s="147">
        <f t="shared" si="39"/>
        <v>334.3633709316548</v>
      </c>
      <c r="AF44" s="122">
        <f t="shared" si="26"/>
        <v>0.25</v>
      </c>
      <c r="AG44" s="147">
        <f t="shared" si="33"/>
        <v>334.3633709316548</v>
      </c>
      <c r="AH44" s="123">
        <f t="shared" si="34"/>
        <v>1</v>
      </c>
      <c r="AI44" s="112">
        <f t="shared" si="34"/>
        <v>1337.4534837266192</v>
      </c>
      <c r="AJ44" s="148">
        <f t="shared" si="35"/>
        <v>668.7267418633096</v>
      </c>
      <c r="AK44" s="147">
        <f t="shared" si="36"/>
        <v>668.7267418633096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27"/>
        <v>1.4</v>
      </c>
      <c r="I45" s="39">
        <f t="shared" si="28"/>
        <v>0</v>
      </c>
      <c r="J45" s="38">
        <f t="shared" si="29"/>
        <v>668.7267418633096</v>
      </c>
      <c r="K45" s="40">
        <f t="shared" si="30"/>
        <v>6.4528618442279148E-3</v>
      </c>
      <c r="L45" s="22">
        <f t="shared" si="31"/>
        <v>9.0340065819190796E-3</v>
      </c>
      <c r="M45" s="24">
        <f t="shared" si="32"/>
        <v>8.6304025535692015E-3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167.1816854658274</v>
      </c>
      <c r="AB45" s="156">
        <f>Poor!AB45</f>
        <v>0.25</v>
      </c>
      <c r="AC45" s="147">
        <f t="shared" si="38"/>
        <v>167.1816854658274</v>
      </c>
      <c r="AD45" s="156">
        <f>Poor!AD45</f>
        <v>0.25</v>
      </c>
      <c r="AE45" s="147">
        <f t="shared" si="39"/>
        <v>167.1816854658274</v>
      </c>
      <c r="AF45" s="122">
        <f t="shared" si="26"/>
        <v>0.25</v>
      </c>
      <c r="AG45" s="147">
        <f t="shared" si="33"/>
        <v>167.1816854658274</v>
      </c>
      <c r="AH45" s="123">
        <f t="shared" si="34"/>
        <v>1</v>
      </c>
      <c r="AI45" s="112">
        <f t="shared" si="34"/>
        <v>668.7267418633096</v>
      </c>
      <c r="AJ45" s="148">
        <f t="shared" si="35"/>
        <v>334.3633709316548</v>
      </c>
      <c r="AK45" s="147">
        <f t="shared" si="36"/>
        <v>334.3633709316548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1416</v>
      </c>
      <c r="J46" s="38">
        <f t="shared" si="29"/>
        <v>1416</v>
      </c>
      <c r="K46" s="40">
        <f t="shared" si="30"/>
        <v>1.9358585532683745E-2</v>
      </c>
      <c r="L46" s="22">
        <f t="shared" si="31"/>
        <v>1.8274504742853456E-2</v>
      </c>
      <c r="M46" s="24">
        <f t="shared" si="32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354</v>
      </c>
      <c r="AB46" s="156">
        <f>Poor!AB46</f>
        <v>0.25</v>
      </c>
      <c r="AC46" s="147">
        <f t="shared" si="38"/>
        <v>354</v>
      </c>
      <c r="AD46" s="156">
        <f>Poor!AD46</f>
        <v>0.25</v>
      </c>
      <c r="AE46" s="147">
        <f t="shared" si="39"/>
        <v>354</v>
      </c>
      <c r="AF46" s="122">
        <f t="shared" si="26"/>
        <v>0.25</v>
      </c>
      <c r="AG46" s="147">
        <f t="shared" si="33"/>
        <v>354</v>
      </c>
      <c r="AH46" s="123">
        <f t="shared" si="34"/>
        <v>1</v>
      </c>
      <c r="AI46" s="112">
        <f t="shared" si="34"/>
        <v>1416</v>
      </c>
      <c r="AJ46" s="148">
        <f t="shared" si="35"/>
        <v>708</v>
      </c>
      <c r="AK46" s="147">
        <f t="shared" si="36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4153.5999999999995</v>
      </c>
      <c r="J47" s="38">
        <f t="shared" si="29"/>
        <v>4153.6000000000004</v>
      </c>
      <c r="K47" s="40">
        <f t="shared" si="30"/>
        <v>5.678518422920565E-2</v>
      </c>
      <c r="L47" s="22">
        <f t="shared" si="31"/>
        <v>5.360521391237013E-2</v>
      </c>
      <c r="M47" s="24">
        <f t="shared" si="32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1038.4000000000001</v>
      </c>
      <c r="AB47" s="156">
        <f>Poor!AB47</f>
        <v>0.25</v>
      </c>
      <c r="AC47" s="147">
        <f t="shared" si="38"/>
        <v>1038.4000000000001</v>
      </c>
      <c r="AD47" s="156">
        <f>Poor!AD47</f>
        <v>0.25</v>
      </c>
      <c r="AE47" s="147">
        <f t="shared" si="39"/>
        <v>1038.4000000000001</v>
      </c>
      <c r="AF47" s="122">
        <f t="shared" si="26"/>
        <v>0.25</v>
      </c>
      <c r="AG47" s="147">
        <f t="shared" si="33"/>
        <v>1038.4000000000001</v>
      </c>
      <c r="AH47" s="123">
        <f t="shared" si="34"/>
        <v>1</v>
      </c>
      <c r="AI47" s="112">
        <f t="shared" si="34"/>
        <v>4153.6000000000004</v>
      </c>
      <c r="AJ47" s="148">
        <f t="shared" si="35"/>
        <v>2076.8000000000002</v>
      </c>
      <c r="AK47" s="147">
        <f t="shared" si="36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10053.6</v>
      </c>
      <c r="J48" s="38">
        <f t="shared" si="29"/>
        <v>10053.6</v>
      </c>
      <c r="K48" s="40">
        <f t="shared" si="30"/>
        <v>0.10995676582564368</v>
      </c>
      <c r="L48" s="22">
        <f t="shared" si="31"/>
        <v>0.12974898367425952</v>
      </c>
      <c r="M48" s="24">
        <f t="shared" si="32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2513.4</v>
      </c>
      <c r="AB48" s="156">
        <f>Poor!AB48</f>
        <v>0.25</v>
      </c>
      <c r="AC48" s="147">
        <f t="shared" si="38"/>
        <v>2513.4</v>
      </c>
      <c r="AD48" s="156">
        <f>Poor!AD48</f>
        <v>0.25</v>
      </c>
      <c r="AE48" s="147">
        <f t="shared" si="39"/>
        <v>2513.4</v>
      </c>
      <c r="AF48" s="122">
        <f t="shared" si="26"/>
        <v>0.25</v>
      </c>
      <c r="AG48" s="147">
        <f t="shared" si="33"/>
        <v>2513.4</v>
      </c>
      <c r="AH48" s="123">
        <f t="shared" si="34"/>
        <v>1</v>
      </c>
      <c r="AI48" s="112">
        <f t="shared" si="34"/>
        <v>10053.6</v>
      </c>
      <c r="AJ48" s="148">
        <f t="shared" si="35"/>
        <v>5026.8</v>
      </c>
      <c r="AK48" s="147">
        <f t="shared" si="36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4720</v>
      </c>
      <c r="J49" s="38">
        <f t="shared" si="29"/>
        <v>4720</v>
      </c>
      <c r="K49" s="40">
        <f t="shared" si="30"/>
        <v>5.1622894753823319E-2</v>
      </c>
      <c r="L49" s="22">
        <f t="shared" si="31"/>
        <v>6.0915015809511516E-2</v>
      </c>
      <c r="M49" s="24">
        <f t="shared" si="32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1180</v>
      </c>
      <c r="AB49" s="156">
        <f>Poor!AB49</f>
        <v>0.25</v>
      </c>
      <c r="AC49" s="147">
        <f t="shared" si="38"/>
        <v>1180</v>
      </c>
      <c r="AD49" s="156">
        <f>Poor!AD49</f>
        <v>0.25</v>
      </c>
      <c r="AE49" s="147">
        <f t="shared" si="39"/>
        <v>1180</v>
      </c>
      <c r="AF49" s="122">
        <f t="shared" si="26"/>
        <v>0.25</v>
      </c>
      <c r="AG49" s="147">
        <f t="shared" si="33"/>
        <v>1180</v>
      </c>
      <c r="AH49" s="123">
        <f t="shared" si="34"/>
        <v>1</v>
      </c>
      <c r="AI49" s="112">
        <f t="shared" si="34"/>
        <v>4720</v>
      </c>
      <c r="AJ49" s="148">
        <f t="shared" si="35"/>
        <v>2360</v>
      </c>
      <c r="AK49" s="147">
        <f t="shared" si="36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8400</v>
      </c>
      <c r="J50" s="38">
        <f t="shared" si="29"/>
        <v>8399.9999999999982</v>
      </c>
      <c r="K50" s="40">
        <f t="shared" si="30"/>
        <v>0.10840807898302897</v>
      </c>
      <c r="L50" s="22">
        <f t="shared" si="31"/>
        <v>0.10840807898302897</v>
      </c>
      <c r="M50" s="24">
        <f t="shared" si="32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2099.9999999999995</v>
      </c>
      <c r="AB50" s="156">
        <f>Poor!AB55</f>
        <v>0.25</v>
      </c>
      <c r="AC50" s="147">
        <f t="shared" si="38"/>
        <v>2099.9999999999995</v>
      </c>
      <c r="AD50" s="156">
        <f>Poor!AD55</f>
        <v>0.25</v>
      </c>
      <c r="AE50" s="147">
        <f t="shared" si="39"/>
        <v>2099.9999999999995</v>
      </c>
      <c r="AF50" s="122">
        <f t="shared" si="26"/>
        <v>0.25</v>
      </c>
      <c r="AG50" s="147">
        <f t="shared" si="33"/>
        <v>2099.9999999999995</v>
      </c>
      <c r="AH50" s="123">
        <f t="shared" si="34"/>
        <v>1</v>
      </c>
      <c r="AI50" s="112">
        <f t="shared" si="34"/>
        <v>8399.9999999999982</v>
      </c>
      <c r="AJ50" s="148">
        <f t="shared" si="35"/>
        <v>4199.9999999999991</v>
      </c>
      <c r="AK50" s="147">
        <f t="shared" si="36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27"/>
        <v>1.1100000000000001</v>
      </c>
      <c r="I51" s="39">
        <f t="shared" si="28"/>
        <v>4884</v>
      </c>
      <c r="J51" s="38">
        <f t="shared" si="29"/>
        <v>4884.0000000000009</v>
      </c>
      <c r="K51" s="40">
        <f t="shared" si="30"/>
        <v>5.678518422920565E-2</v>
      </c>
      <c r="L51" s="22">
        <f t="shared" si="31"/>
        <v>6.3031554494418274E-2</v>
      </c>
      <c r="M51" s="24">
        <f t="shared" si="32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1221.0000000000002</v>
      </c>
      <c r="AB51" s="156">
        <f>Poor!AB56</f>
        <v>0.25</v>
      </c>
      <c r="AC51" s="147">
        <f t="shared" si="38"/>
        <v>1221.0000000000002</v>
      </c>
      <c r="AD51" s="156">
        <f>Poor!AD56</f>
        <v>0.25</v>
      </c>
      <c r="AE51" s="147">
        <f t="shared" si="39"/>
        <v>1221.0000000000002</v>
      </c>
      <c r="AF51" s="122">
        <f t="shared" si="26"/>
        <v>0.25</v>
      </c>
      <c r="AG51" s="147">
        <f t="shared" si="33"/>
        <v>1221.0000000000002</v>
      </c>
      <c r="AH51" s="123">
        <f t="shared" si="34"/>
        <v>1</v>
      </c>
      <c r="AI51" s="112">
        <f t="shared" si="34"/>
        <v>4884.0000000000009</v>
      </c>
      <c r="AJ51" s="148">
        <f t="shared" si="35"/>
        <v>2442.0000000000005</v>
      </c>
      <c r="AK51" s="147">
        <f t="shared" si="36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83137.48</v>
      </c>
      <c r="J65" s="39">
        <f>SUM(J37:J64)</f>
        <v>91937.923922921153</v>
      </c>
      <c r="K65" s="40">
        <f>SUM(K37:K64)</f>
        <v>1</v>
      </c>
      <c r="L65" s="22">
        <f>SUM(L37:L64)</f>
        <v>1.191836871652578</v>
      </c>
      <c r="M65" s="24">
        <f>SUM(M37:M64)</f>
        <v>1.1865254426394933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32197.778584175641</v>
      </c>
      <c r="AB65" s="137"/>
      <c r="AC65" s="153">
        <f>SUM(AC37:AC64)</f>
        <v>28867.891971808975</v>
      </c>
      <c r="AD65" s="137"/>
      <c r="AE65" s="153">
        <f>SUM(AE37:AE64)</f>
        <v>12236.092632265023</v>
      </c>
      <c r="AF65" s="137"/>
      <c r="AG65" s="153">
        <f>SUM(AG37:AG64)</f>
        <v>18636.160734671521</v>
      </c>
      <c r="AH65" s="137"/>
      <c r="AI65" s="153">
        <f>SUM(AI37:AI64)</f>
        <v>91937.923922921153</v>
      </c>
      <c r="AJ65" s="153">
        <f>SUM(AJ37:AJ64)</f>
        <v>61065.670555984616</v>
      </c>
      <c r="AK65" s="153">
        <f>SUM(AK37:AK64)</f>
        <v>30872.253366936544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1">J124*I$83</f>
        <v>23440.358592471795</v>
      </c>
      <c r="K70" s="40">
        <f t="shared" ref="K70:K75" si="42">B70/B$76</f>
        <v>0.21608199368054459</v>
      </c>
      <c r="L70" s="22">
        <f t="shared" ref="L70:L75" si="43">(L124*G$37*F$9/F$7)/B$130</f>
        <v>0.30251479115276236</v>
      </c>
      <c r="M70" s="24">
        <f t="shared" ref="M70:M75" si="44"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1"/>
        <v>19264.68</v>
      </c>
      <c r="K71" s="40">
        <f t="shared" si="42"/>
        <v>0.21069884493772992</v>
      </c>
      <c r="L71" s="22">
        <f t="shared" si="43"/>
        <v>0.24862463702652127</v>
      </c>
      <c r="M71" s="24">
        <f t="shared" si="44"/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36830.159999999996</v>
      </c>
      <c r="K72" s="40">
        <f t="shared" si="42"/>
        <v>0.40281344776408334</v>
      </c>
      <c r="L72" s="22">
        <f t="shared" si="43"/>
        <v>0.47158797111354522</v>
      </c>
      <c r="M72" s="24">
        <f t="shared" si="44"/>
        <v>0.47531986836161833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4023.8950179162093</v>
      </c>
      <c r="K73" s="40">
        <f t="shared" si="42"/>
        <v>7.4440214235013222E-2</v>
      </c>
      <c r="L73" s="22">
        <f t="shared" si="43"/>
        <v>0</v>
      </c>
      <c r="M73" s="24">
        <f t="shared" si="44"/>
        <v>5.1931277252580621E-2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59697.12140752819</v>
      </c>
      <c r="J74" s="51">
        <f t="shared" si="41"/>
        <v>8378.830312533144</v>
      </c>
      <c r="K74" s="40">
        <f t="shared" si="42"/>
        <v>0.14906630941568857</v>
      </c>
      <c r="L74" s="22">
        <f t="shared" si="43"/>
        <v>0.16910947235974882</v>
      </c>
      <c r="M74" s="24">
        <f t="shared" si="44"/>
        <v>0.10813486884601077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2161.2492148675801</v>
      </c>
      <c r="AD74" s="156"/>
      <c r="AE74" s="147">
        <f>AE30*$I$84/4</f>
        <v>6376.0029841470741</v>
      </c>
      <c r="AF74" s="156"/>
      <c r="AG74" s="147">
        <f>AG30*$I$84/4</f>
        <v>5067.415635421863</v>
      </c>
      <c r="AH74" s="155"/>
      <c r="AI74" s="147">
        <f>SUM(AA74,AC74,AE74,AG74)</f>
        <v>13604.667834436519</v>
      </c>
      <c r="AJ74" s="148">
        <f>(AA74+AC74)</f>
        <v>2161.2492148675815</v>
      </c>
      <c r="AK74" s="147">
        <f>(AE74+AG74)</f>
        <v>11443.418619568936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35992.844741989444</v>
      </c>
      <c r="AB75" s="158"/>
      <c r="AC75" s="149">
        <f>AA75+AC65-SUM(AC70,AC74)</f>
        <v>56839.397850812893</v>
      </c>
      <c r="AD75" s="158"/>
      <c r="AE75" s="149">
        <f>AC75+AE65-SUM(AE70,AE74)</f>
        <v>56839.397850812893</v>
      </c>
      <c r="AF75" s="158"/>
      <c r="AG75" s="149">
        <f>IF(SUM(AG6:AG29)+((AG65-AG70-$J$75)*4/I$83)&lt;1,0,AG65-AG70-$J$75-(1-SUM(AG6:AG29))*I$83/4)</f>
        <v>9655.1558059317522</v>
      </c>
      <c r="AH75" s="134"/>
      <c r="AI75" s="149">
        <f>AI76-SUM(AI70,AI74)</f>
        <v>54892.89749601284</v>
      </c>
      <c r="AJ75" s="151">
        <f>AJ76-SUM(AJ70,AJ74)</f>
        <v>47184.242044881139</v>
      </c>
      <c r="AK75" s="149">
        <f>AJ75+AK76-SUM(AK70,AK74)</f>
        <v>54892.897496012847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83137.479999999981</v>
      </c>
      <c r="J76" s="51">
        <f t="shared" si="41"/>
        <v>91937.923922921153</v>
      </c>
      <c r="K76" s="40">
        <f>SUM(K70:K75)</f>
        <v>1.0531008100330597</v>
      </c>
      <c r="L76" s="22">
        <f>SUM(L70:L75)</f>
        <v>1.1918368716525776</v>
      </c>
      <c r="M76" s="24">
        <f>SUM(M70:M75)</f>
        <v>1.1865254426394936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32197.778584175641</v>
      </c>
      <c r="AB76" s="137"/>
      <c r="AC76" s="153">
        <f>AC65</f>
        <v>28867.891971808975</v>
      </c>
      <c r="AD76" s="137"/>
      <c r="AE76" s="153">
        <f>AE65</f>
        <v>12236.092632265023</v>
      </c>
      <c r="AF76" s="137"/>
      <c r="AG76" s="153">
        <f>AG65</f>
        <v>18636.160734671521</v>
      </c>
      <c r="AH76" s="137"/>
      <c r="AI76" s="153">
        <f>SUM(AA76,AC76,AE76,AG76)</f>
        <v>91937.923922921153</v>
      </c>
      <c r="AJ76" s="154">
        <f>SUM(AA76,AC76)</f>
        <v>61065.670555984616</v>
      </c>
      <c r="AK76" s="154">
        <f>SUM(AE76,AG76)</f>
        <v>30872.253366936544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9655.1558059317522</v>
      </c>
      <c r="AB78" s="112"/>
      <c r="AC78" s="112">
        <f>IF(AA75&lt;0,0,AA75)</f>
        <v>35992.844741989444</v>
      </c>
      <c r="AD78" s="112"/>
      <c r="AE78" s="112">
        <f>AC75</f>
        <v>56839.397850812893</v>
      </c>
      <c r="AF78" s="112"/>
      <c r="AG78" s="112">
        <f>AE75</f>
        <v>56839.397850812893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35992.844741989444</v>
      </c>
      <c r="AB79" s="112"/>
      <c r="AC79" s="112">
        <f>AA79-AA74+AC65-AC70</f>
        <v>59000.647065680467</v>
      </c>
      <c r="AD79" s="112"/>
      <c r="AE79" s="112">
        <f>AC79-AC74+AE65-AE70</f>
        <v>63215.400834959961</v>
      </c>
      <c r="AF79" s="112"/>
      <c r="AG79" s="112">
        <f>AE79-AE74+AG65-AG70</f>
        <v>69615.468937366459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0.53743768560206906</v>
      </c>
      <c r="C91" s="75">
        <f t="shared" si="45"/>
        <v>0</v>
      </c>
      <c r="D91" s="24">
        <f>(B91+C91)</f>
        <v>0.53743768560206906</v>
      </c>
      <c r="H91" s="24">
        <f>(E37*F37/G37*F$7/F$9)</f>
        <v>0.57212121212121214</v>
      </c>
      <c r="I91" s="22">
        <f>(D91*H91)</f>
        <v>0.30747950012627467</v>
      </c>
      <c r="J91" s="24">
        <f>IF(I$32&lt;=1+I$131,I91,L91+J$33*(I91-L91))</f>
        <v>0.30747950012627467</v>
      </c>
      <c r="K91" s="22">
        <f>(B91)</f>
        <v>0.53743768560206906</v>
      </c>
      <c r="L91" s="22">
        <f>(K91*H91)</f>
        <v>0.30747950012627467</v>
      </c>
      <c r="M91" s="227">
        <f>(J91)</f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0.25797008908899316</v>
      </c>
      <c r="C92" s="75">
        <f t="shared" si="45"/>
        <v>0</v>
      </c>
      <c r="D92" s="24">
        <f t="shared" ref="D92:D118" si="47">(B92+C92)</f>
        <v>0.25797008908899316</v>
      </c>
      <c r="H92" s="24">
        <f t="shared" ref="H92:H118" si="48">(E38*F38/G38*F$7/F$9)</f>
        <v>0.57212121212121214</v>
      </c>
      <c r="I92" s="22">
        <f t="shared" ref="I92:I118" si="49">(D92*H92)</f>
        <v>0.14759016006061185</v>
      </c>
      <c r="J92" s="24">
        <f t="shared" ref="J92:J118" si="50">IF(I$32&lt;=1+I$131,I92,L92+J$33*(I92-L92))</f>
        <v>0.14759016006061185</v>
      </c>
      <c r="K92" s="22">
        <f t="shared" ref="K92:K118" si="51">(B92)</f>
        <v>0.25797008908899316</v>
      </c>
      <c r="L92" s="22">
        <f t="shared" ref="L92:L118" si="52">(K92*H92)</f>
        <v>0.14759016006061185</v>
      </c>
      <c r="M92" s="227">
        <f t="shared" ref="M92:M118" si="53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Chicken sales: no. sold</v>
      </c>
      <c r="B93" s="75">
        <f t="shared" si="45"/>
        <v>6.270106332024139E-2</v>
      </c>
      <c r="C93" s="75">
        <f t="shared" si="45"/>
        <v>0</v>
      </c>
      <c r="D93" s="24">
        <f t="shared" si="47"/>
        <v>6.270106332024139E-2</v>
      </c>
      <c r="H93" s="24">
        <f t="shared" si="48"/>
        <v>0.57212121212121214</v>
      </c>
      <c r="I93" s="22">
        <f t="shared" si="49"/>
        <v>3.5872608348065375E-2</v>
      </c>
      <c r="J93" s="24">
        <f t="shared" si="50"/>
        <v>3.5872608348065375E-2</v>
      </c>
      <c r="K93" s="22">
        <f t="shared" si="51"/>
        <v>6.270106332024139E-2</v>
      </c>
      <c r="L93" s="22">
        <f t="shared" si="52"/>
        <v>3.5872608348065375E-2</v>
      </c>
      <c r="M93" s="227">
        <f t="shared" si="53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Green maize sold: quantity</v>
      </c>
      <c r="B94" s="75">
        <f t="shared" si="45"/>
        <v>1.5331902864259026</v>
      </c>
      <c r="C94" s="75">
        <f t="shared" si="45"/>
        <v>0</v>
      </c>
      <c r="D94" s="24">
        <f t="shared" si="47"/>
        <v>1.5331902864259026</v>
      </c>
      <c r="H94" s="24">
        <f t="shared" si="48"/>
        <v>0.84848484848484851</v>
      </c>
      <c r="I94" s="22">
        <f t="shared" si="49"/>
        <v>1.3008887278765235</v>
      </c>
      <c r="J94" s="24">
        <f t="shared" si="50"/>
        <v>1.3008887278765235</v>
      </c>
      <c r="K94" s="22">
        <f t="shared" si="51"/>
        <v>1.5331902864259026</v>
      </c>
      <c r="L94" s="22">
        <f t="shared" si="52"/>
        <v>1.3008887278765235</v>
      </c>
      <c r="M94" s="227">
        <f t="shared" si="53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0.23886119360091959</v>
      </c>
      <c r="C95" s="75">
        <f t="shared" si="45"/>
        <v>-0.23886119360091959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0.2110410010329859</v>
      </c>
      <c r="K95" s="22">
        <f t="shared" si="51"/>
        <v>0.23886119360091959</v>
      </c>
      <c r="L95" s="22">
        <f t="shared" si="52"/>
        <v>0.2209104129909111</v>
      </c>
      <c r="M95" s="227">
        <f t="shared" si="53"/>
        <v>0.2110410010329859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0</v>
      </c>
      <c r="C96" s="75">
        <f t="shared" si="45"/>
        <v>0</v>
      </c>
      <c r="D96" s="24">
        <f t="shared" si="47"/>
        <v>0</v>
      </c>
      <c r="H96" s="24">
        <f t="shared" si="48"/>
        <v>0.84848484848484851</v>
      </c>
      <c r="I96" s="22">
        <f t="shared" si="49"/>
        <v>0</v>
      </c>
      <c r="J96" s="24">
        <f t="shared" si="50"/>
        <v>0</v>
      </c>
      <c r="K96" s="22">
        <f t="shared" si="51"/>
        <v>0</v>
      </c>
      <c r="L96" s="22">
        <f t="shared" si="52"/>
        <v>0</v>
      </c>
      <c r="M96" s="227">
        <f t="shared" si="5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Potato: kg produced</v>
      </c>
      <c r="B97" s="75">
        <f t="shared" si="45"/>
        <v>4.2995014848165529E-2</v>
      </c>
      <c r="C97" s="75">
        <f t="shared" si="45"/>
        <v>-4.2995014848165529E-2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3.4850807510034373E-2</v>
      </c>
      <c r="K97" s="22">
        <f t="shared" si="51"/>
        <v>4.2995014848165529E-2</v>
      </c>
      <c r="L97" s="22">
        <f t="shared" si="52"/>
        <v>3.6480618659049543E-2</v>
      </c>
      <c r="M97" s="227">
        <f t="shared" si="53"/>
        <v>3.4850807510034373E-2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Other root crops: no. local meas( Sweet potato)</v>
      </c>
      <c r="B98" s="75">
        <f t="shared" si="45"/>
        <v>5.9715298400229898E-2</v>
      </c>
      <c r="C98" s="75">
        <f t="shared" si="45"/>
        <v>-5.9715298400229898E-2</v>
      </c>
      <c r="D98" s="24">
        <f t="shared" si="47"/>
        <v>0</v>
      </c>
      <c r="H98" s="24">
        <f t="shared" si="48"/>
        <v>0.84848484848484851</v>
      </c>
      <c r="I98" s="22">
        <f t="shared" si="49"/>
        <v>0</v>
      </c>
      <c r="J98" s="24">
        <f t="shared" si="50"/>
        <v>4.8403899319492176E-2</v>
      </c>
      <c r="K98" s="22">
        <f t="shared" si="51"/>
        <v>5.9715298400229898E-2</v>
      </c>
      <c r="L98" s="22">
        <f t="shared" si="52"/>
        <v>5.0667525915346581E-2</v>
      </c>
      <c r="M98" s="227">
        <f t="shared" si="53"/>
        <v>4.8403899319492176E-2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Other crop: Amadumbe</v>
      </c>
      <c r="B99" s="75">
        <f t="shared" si="45"/>
        <v>2.9857649200114949E-2</v>
      </c>
      <c r="C99" s="75">
        <f t="shared" si="45"/>
        <v>-2.9857649200114949E-2</v>
      </c>
      <c r="D99" s="24">
        <f t="shared" si="47"/>
        <v>0</v>
      </c>
      <c r="H99" s="24">
        <f t="shared" si="48"/>
        <v>0.84848484848484851</v>
      </c>
      <c r="I99" s="22">
        <f t="shared" si="49"/>
        <v>0</v>
      </c>
      <c r="J99" s="24">
        <f t="shared" si="50"/>
        <v>2.4201949659746088E-2</v>
      </c>
      <c r="K99" s="22">
        <f t="shared" si="51"/>
        <v>2.9857649200114949E-2</v>
      </c>
      <c r="L99" s="22">
        <f t="shared" si="52"/>
        <v>2.5333762957673291E-2</v>
      </c>
      <c r="M99" s="227">
        <f t="shared" si="53"/>
        <v>2.4201949659746088E-2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Labour migration(formal employment): no. people per HH</v>
      </c>
      <c r="B100" s="75">
        <f t="shared" si="45"/>
        <v>8.9572947600344843E-2</v>
      </c>
      <c r="C100" s="75">
        <f t="shared" si="45"/>
        <v>0</v>
      </c>
      <c r="D100" s="24">
        <f t="shared" si="47"/>
        <v>8.9572947600344843E-2</v>
      </c>
      <c r="H100" s="24">
        <f t="shared" si="48"/>
        <v>0.57212121212121214</v>
      </c>
      <c r="I100" s="22">
        <f t="shared" si="49"/>
        <v>5.1246583354379115E-2</v>
      </c>
      <c r="J100" s="24">
        <f t="shared" si="50"/>
        <v>5.1246583354379115E-2</v>
      </c>
      <c r="K100" s="22">
        <f t="shared" si="51"/>
        <v>8.9572947600344843E-2</v>
      </c>
      <c r="L100" s="22">
        <f t="shared" si="52"/>
        <v>5.1246583354379115E-2</v>
      </c>
      <c r="M100" s="227">
        <f t="shared" si="53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5"/>
        <v>0.26274731296101156</v>
      </c>
      <c r="C101" s="75">
        <f t="shared" si="45"/>
        <v>0</v>
      </c>
      <c r="D101" s="24">
        <f t="shared" si="47"/>
        <v>0.26274731296101156</v>
      </c>
      <c r="H101" s="24">
        <f t="shared" si="48"/>
        <v>0.57212121212121214</v>
      </c>
      <c r="I101" s="22">
        <f t="shared" si="49"/>
        <v>0.15032331117284542</v>
      </c>
      <c r="J101" s="24">
        <f t="shared" si="50"/>
        <v>0.15032331117284542</v>
      </c>
      <c r="K101" s="22">
        <f t="shared" si="51"/>
        <v>0.26274731296101156</v>
      </c>
      <c r="L101" s="22">
        <f t="shared" si="52"/>
        <v>0.15032331117284542</v>
      </c>
      <c r="M101" s="227">
        <f t="shared" si="53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5"/>
        <v>0.50877434236995878</v>
      </c>
      <c r="C102" s="75">
        <f t="shared" si="45"/>
        <v>0</v>
      </c>
      <c r="D102" s="24">
        <f t="shared" si="47"/>
        <v>0.50877434236995878</v>
      </c>
      <c r="H102" s="24">
        <f t="shared" si="48"/>
        <v>0.7151515151515152</v>
      </c>
      <c r="I102" s="22">
        <f t="shared" si="49"/>
        <v>0.36385074181609178</v>
      </c>
      <c r="J102" s="24">
        <f t="shared" si="50"/>
        <v>0.36385074181609178</v>
      </c>
      <c r="K102" s="22">
        <f t="shared" si="51"/>
        <v>0.50877434236995878</v>
      </c>
      <c r="L102" s="22">
        <f t="shared" si="52"/>
        <v>0.36385074181609178</v>
      </c>
      <c r="M102" s="227">
        <f t="shared" si="5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5"/>
        <v>0.23886119360091959</v>
      </c>
      <c r="C103" s="75">
        <f t="shared" si="45"/>
        <v>0</v>
      </c>
      <c r="D103" s="24">
        <f t="shared" si="47"/>
        <v>0.23886119360091959</v>
      </c>
      <c r="H103" s="24">
        <f t="shared" si="48"/>
        <v>0.7151515151515152</v>
      </c>
      <c r="I103" s="22">
        <f t="shared" si="49"/>
        <v>0.17082194451459706</v>
      </c>
      <c r="J103" s="24">
        <f t="shared" si="50"/>
        <v>0.17082194451459706</v>
      </c>
      <c r="K103" s="22">
        <f t="shared" si="51"/>
        <v>0.23886119360091959</v>
      </c>
      <c r="L103" s="22">
        <f t="shared" si="52"/>
        <v>0.17082194451459706</v>
      </c>
      <c r="M103" s="227">
        <f t="shared" si="53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Other income: e.g. Credit (cotton loans)</v>
      </c>
      <c r="B104" s="75">
        <f t="shared" si="45"/>
        <v>0.50160850656193112</v>
      </c>
      <c r="C104" s="75">
        <f t="shared" si="45"/>
        <v>0</v>
      </c>
      <c r="D104" s="24">
        <f t="shared" si="47"/>
        <v>0.50160850656193112</v>
      </c>
      <c r="H104" s="24">
        <f t="shared" si="48"/>
        <v>0.60606060606060608</v>
      </c>
      <c r="I104" s="22">
        <f t="shared" si="49"/>
        <v>0.30400515549207946</v>
      </c>
      <c r="J104" s="24">
        <f t="shared" si="50"/>
        <v>0.30400515549207946</v>
      </c>
      <c r="K104" s="22">
        <f t="shared" si="51"/>
        <v>0.50160850656193112</v>
      </c>
      <c r="L104" s="22">
        <f t="shared" si="52"/>
        <v>0.30400515549207946</v>
      </c>
      <c r="M104" s="227">
        <f t="shared" si="53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Remittances: no. times per year</v>
      </c>
      <c r="B105" s="75">
        <f t="shared" si="45"/>
        <v>0.26274731296101156</v>
      </c>
      <c r="C105" s="75">
        <f t="shared" si="45"/>
        <v>0</v>
      </c>
      <c r="D105" s="24">
        <f t="shared" si="47"/>
        <v>0.26274731296101156</v>
      </c>
      <c r="H105" s="24">
        <f t="shared" si="48"/>
        <v>0.67272727272727284</v>
      </c>
      <c r="I105" s="22">
        <f t="shared" si="49"/>
        <v>0.17675728326468054</v>
      </c>
      <c r="J105" s="24">
        <f t="shared" si="50"/>
        <v>0.17675728326468054</v>
      </c>
      <c r="K105" s="22">
        <f t="shared" si="51"/>
        <v>0.26274731296101156</v>
      </c>
      <c r="L105" s="22">
        <f t="shared" si="52"/>
        <v>0.17675728326468054</v>
      </c>
      <c r="M105" s="227">
        <f t="shared" si="53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3.0088360160261485</v>
      </c>
      <c r="J119" s="24">
        <f>SUM(J91:J118)</f>
        <v>3.3273336735484071</v>
      </c>
      <c r="K119" s="22">
        <f>SUM(K91:K118)</f>
        <v>4.627039896541814</v>
      </c>
      <c r="L119" s="22">
        <f>SUM(L91:L118)</f>
        <v>3.342228336549129</v>
      </c>
      <c r="M119" s="57">
        <f>(J119)</f>
        <v>3.3273336735484071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 t="shared" ref="K124:K130" si="55">(B124)</f>
        <v>0.99982000568417595</v>
      </c>
      <c r="L124" s="29">
        <f>IF(SUMPRODUCT($B$124:$B124,$H$124:$H124)&lt;L$119,($B124*$H124),L$119)</f>
        <v>0.84833212603505836</v>
      </c>
      <c r="M124" s="57">
        <f t="shared" si="54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si="55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55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1.3224583982252014</v>
      </c>
      <c r="M126" s="57">
        <f>(J126)</f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0.1456291465006454</v>
      </c>
      <c r="K127" s="22">
        <f t="shared" si="55"/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4"/>
        <v>0.1456291465006454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2.16050388999109</v>
      </c>
      <c r="J128" s="228">
        <f>(J30)</f>
        <v>0.30323900142897475</v>
      </c>
      <c r="K128" s="22">
        <f t="shared" si="55"/>
        <v>0.68973576089663757</v>
      </c>
      <c r="L128" s="22">
        <f>IF(L124=L119,0,(L119-L124)/(B119-B124)*K128)</f>
        <v>0.47422804575254124</v>
      </c>
      <c r="M128" s="57">
        <f t="shared" si="54"/>
        <v>0.30323900142897475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5"/>
        <v>0</v>
      </c>
      <c r="L129" s="60">
        <f>IF(SUM(L124:L128)&gt;L130,0,L130-SUM(L124:L128))</f>
        <v>0</v>
      </c>
      <c r="M129" s="57">
        <f t="shared" si="5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3.0088360160261485</v>
      </c>
      <c r="J130" s="228">
        <f>(J119)</f>
        <v>3.3273336735484071</v>
      </c>
      <c r="K130" s="22">
        <f t="shared" si="55"/>
        <v>4.627039896541814</v>
      </c>
      <c r="L130" s="22">
        <f>(L119)</f>
        <v>3.342228336549129</v>
      </c>
      <c r="M130" s="57">
        <f t="shared" si="54"/>
        <v>3.3273336735484071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>$M6*AB6*4</f>
        <v>4.2545813200498134E-2</v>
      </c>
      <c r="AD6" s="156">
        <f>Poor!AD6</f>
        <v>0.33</v>
      </c>
      <c r="AE6" s="121">
        <f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6683.2604437951959</v>
      </c>
      <c r="U7" s="223">
        <v>1</v>
      </c>
      <c r="V7" s="56"/>
      <c r="W7" s="115"/>
      <c r="X7" s="118">
        <f>Poor!X7</f>
        <v>4</v>
      </c>
      <c r="Y7" s="183">
        <f t="shared" ref="Y7:Y29" si="7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0.12310709838107099</v>
      </c>
      <c r="AH7" s="123">
        <f t="shared" ref="AH7:AH30" si="10">SUM(Z7,AB7,AD7,AF7)</f>
        <v>1</v>
      </c>
      <c r="AI7" s="183">
        <f t="shared" ref="AI7:AI30" si="11">SUM(AA7,AC7,AE7,AG7)/4</f>
        <v>3.0776774595267748E-2</v>
      </c>
      <c r="AJ7" s="120">
        <f t="shared" ref="AJ7:AJ31" si="12">(AA7+AC7)/2</f>
        <v>0</v>
      </c>
      <c r="AK7" s="119">
        <f t="shared" ref="AK7:AK31" si="13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63781.573334649642</v>
      </c>
      <c r="U8" s="223">
        <v>2</v>
      </c>
      <c r="V8" s="56"/>
      <c r="W8" s="115"/>
      <c r="X8" s="118">
        <f>Poor!X8</f>
        <v>1</v>
      </c>
      <c r="Y8" s="183">
        <f t="shared" si="7"/>
        <v>4.6666666666666669E-2</v>
      </c>
      <c r="Z8" s="125">
        <f>IF($Y8=0,0,AA8/$Y8)</f>
        <v>0.59219918485270251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2.7635961959792787E-2</v>
      </c>
      <c r="AB8" s="125">
        <f>IF($Y8=0,0,AC8/$Y8)</f>
        <v>0.40780081514729744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1.9030704706873881E-2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1.1666666666666667E-2</v>
      </c>
      <c r="AJ8" s="120">
        <f t="shared" si="12"/>
        <v>2.3333333333333334E-2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0.59219918485270251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6.7115907616639617E-2</v>
      </c>
      <c r="AB9" s="125">
        <f>IF($Y9=0,0,AC9/$Y9)</f>
        <v>0.40780081514729755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4.6217425716693725E-2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5.6666666666666671E-2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0.10359210991270519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0.10359210991270519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7"/>
        <v>0.41436843965082076</v>
      </c>
      <c r="Z10" s="125">
        <f>IF($Y10=0,0,AA10/$Y10)</f>
        <v>0.59219918485270251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0.24538865218990233</v>
      </c>
      <c r="AB10" s="125">
        <f>IF($Y10=0,0,AC10/$Y10)</f>
        <v>0.40780081514729744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0.16897978746091843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0.10359210991270519</v>
      </c>
      <c r="AJ10" s="120">
        <f t="shared" si="12"/>
        <v>0.20718421982541038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19211.916812236381</v>
      </c>
      <c r="U11" s="223">
        <v>5</v>
      </c>
      <c r="V11" s="56"/>
      <c r="W11" s="115"/>
      <c r="X11" s="118">
        <f>Poor!X11</f>
        <v>1</v>
      </c>
      <c r="Y11" s="183">
        <f t="shared" si="7"/>
        <v>0.19639202988792029</v>
      </c>
      <c r="Z11" s="125">
        <f>IF($Y11=0,0,AA11/$Y11)</f>
        <v>0.59219918485270262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0.116303200011194</v>
      </c>
      <c r="AB11" s="125">
        <f>IF($Y11=0,0,AC11/$Y11)</f>
        <v>0.40780081514729738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8.0088829876726289E-2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4.9098007471980072E-2</v>
      </c>
      <c r="AJ11" s="120">
        <f t="shared" si="12"/>
        <v>9.8196014943960144E-2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8.1814399393740703E-3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8.1814399393740703E-3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7"/>
        <v>3.2725759757496281E-2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2.1926259037522509E-2</v>
      </c>
      <c r="AF12" s="122">
        <f>1-SUM(Z12,AB12,AD12)</f>
        <v>0.32999999999999996</v>
      </c>
      <c r="AG12" s="121">
        <f>$M12*AF12*4</f>
        <v>1.0799500719973772E-2</v>
      </c>
      <c r="AH12" s="123">
        <f t="shared" si="10"/>
        <v>1</v>
      </c>
      <c r="AI12" s="183">
        <f t="shared" si="11"/>
        <v>8.1814399393740703E-3</v>
      </c>
      <c r="AJ12" s="120">
        <f t="shared" si="12"/>
        <v>0</v>
      </c>
      <c r="AK12" s="119">
        <f t="shared" si="13"/>
        <v>1.6362879878748141E-2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3.6161394776645657E-2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3.6161394776645657E-2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7"/>
        <v>0.14464557910658263</v>
      </c>
      <c r="Z13" s="156">
        <f>Poor!Z13</f>
        <v>1</v>
      </c>
      <c r="AA13" s="121">
        <f>$M13*Z13*4</f>
        <v>0.14464557910658263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3.6161394776645657E-2</v>
      </c>
      <c r="AJ13" s="120">
        <f t="shared" si="12"/>
        <v>7.2322789553291314E-2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4.841527710012024E-3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4.841527710012024E-3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1.9366110840048096E-2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1.9366110840048096E-2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4.841527710012024E-3</v>
      </c>
      <c r="AJ14" s="120">
        <f t="shared" si="12"/>
        <v>9.683055420024048E-3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169133.06577205413</v>
      </c>
      <c r="T23" s="179">
        <f>SUM(T7:T22)</f>
        <v>168935.46979321836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7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>$M26*AB26*4</f>
        <v>0.1322751322751323</v>
      </c>
      <c r="AD26" s="156">
        <f>Poor!AD26</f>
        <v>0.25</v>
      </c>
      <c r="AE26" s="121">
        <f>$M26*AD26*4</f>
        <v>0.1322751322751323</v>
      </c>
      <c r="AF26" s="122">
        <f t="shared" si="8"/>
        <v>0.25</v>
      </c>
      <c r="AG26" s="121">
        <f t="shared" si="9"/>
        <v>0.1322751322751323</v>
      </c>
      <c r="AH26" s="123">
        <f t="shared" si="10"/>
        <v>1</v>
      </c>
      <c r="AI26" s="183">
        <f t="shared" si="11"/>
        <v>0.1322751322751323</v>
      </c>
      <c r="AJ26" s="120">
        <f t="shared" si="12"/>
        <v>0.1322751322751323</v>
      </c>
      <c r="AK26" s="119">
        <f t="shared" si="13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>$M27*AB27*4</f>
        <v>0</v>
      </c>
      <c r="AD27" s="156">
        <f>Poor!AD27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0.22408975364025827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0.22408975364025827</v>
      </c>
      <c r="N29" s="229"/>
      <c r="P29" s="22"/>
      <c r="V29" s="56"/>
      <c r="W29" s="110"/>
      <c r="X29" s="118"/>
      <c r="Y29" s="183">
        <f t="shared" si="7"/>
        <v>0.89635901456103306</v>
      </c>
      <c r="Z29" s="156">
        <f>Poor!Z29</f>
        <v>0.25</v>
      </c>
      <c r="AA29" s="121">
        <f t="shared" si="16"/>
        <v>0.22408975364025827</v>
      </c>
      <c r="AB29" s="156">
        <f>Poor!AB29</f>
        <v>0.25</v>
      </c>
      <c r="AC29" s="121">
        <f>$M29*AB29*4</f>
        <v>0.22408975364025827</v>
      </c>
      <c r="AD29" s="156">
        <f>Poor!AD29</f>
        <v>0.25</v>
      </c>
      <c r="AE29" s="121">
        <f>$M29*AD29*4</f>
        <v>0.22408975364025827</v>
      </c>
      <c r="AF29" s="122">
        <f t="shared" si="8"/>
        <v>0.25</v>
      </c>
      <c r="AG29" s="121">
        <f t="shared" si="9"/>
        <v>0.22408975364025827</v>
      </c>
      <c r="AH29" s="123">
        <f t="shared" si="10"/>
        <v>1</v>
      </c>
      <c r="AI29" s="183">
        <f t="shared" si="11"/>
        <v>0.22408975364025827</v>
      </c>
      <c r="AJ29" s="120">
        <f t="shared" si="12"/>
        <v>0.22408975364025827</v>
      </c>
      <c r="AK29" s="119">
        <f t="shared" si="13"/>
        <v>0.22408975364025827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4.1938470049593768</v>
      </c>
      <c r="J30" s="231">
        <f>IF(I$32&lt;=1,I30,1-SUM(J6:J29))</f>
        <v>0.30841648732495097</v>
      </c>
      <c r="K30" s="22">
        <f t="shared" si="4"/>
        <v>0.78202263511830628</v>
      </c>
      <c r="L30" s="22">
        <f>IF(L124=L119,0,IF(K30="",0,(L119-L124)/(B119-B124)*K30))</f>
        <v>0.5162962795759255</v>
      </c>
      <c r="M30" s="175">
        <f t="shared" si="6"/>
        <v>0.30841648732495097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1.2336659492998039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0.2167575772311976</v>
      </c>
      <c r="AC30" s="187">
        <f>IF(AC79*4/$I$83+SUM(AC6:AC29)&lt;1,AC79*4/$I$83,1-SUM(AC6:AC29))</f>
        <v>0.26740644228285093</v>
      </c>
      <c r="AD30" s="122">
        <f>IF($Y30=0,0,AE30/($Y$30))</f>
        <v>0.437006406674536</v>
      </c>
      <c r="AE30" s="187">
        <f>IF(AE79*4/$I$83+SUM(AE6:AE29)&lt;1,AE79*4/$I$83,1-SUM(AE6:AE29))</f>
        <v>0.53911992354023763</v>
      </c>
      <c r="AF30" s="122">
        <f>IF($Y30=0,0,AG30/($Y$30))</f>
        <v>0.34623601609426641</v>
      </c>
      <c r="AG30" s="187">
        <f>IF(AG79*4/$I$83+SUM(AG6:AG29)&lt;1,AG79*4/$I$83,1-SUM(AG6:AG29))</f>
        <v>0.42713958347671532</v>
      </c>
      <c r="AH30" s="123">
        <f t="shared" si="10"/>
        <v>1</v>
      </c>
      <c r="AI30" s="183">
        <f t="shared" si="11"/>
        <v>0.30841648732495097</v>
      </c>
      <c r="AJ30" s="120">
        <f t="shared" si="12"/>
        <v>0.13370322114142547</v>
      </c>
      <c r="AK30" s="119">
        <f t="shared" si="13"/>
        <v>0.48312975350847648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-0.25017865214440205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5.6133240029158173</v>
      </c>
      <c r="J32" s="17"/>
      <c r="L32" s="22">
        <f>SUM(L6:L30)</f>
        <v>1.250178652144402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-6.1696603688355375E-2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11153.275218354576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8.1081117052237084E-2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11153.275218354576</v>
      </c>
      <c r="AH37" s="123">
        <f>SUM(Z37,AB37,AD37,AF37)</f>
        <v>1</v>
      </c>
      <c r="AI37" s="112">
        <f>SUM(AA37,AC37,AE37,AG37)</f>
        <v>11153.275218354576</v>
      </c>
      <c r="AJ37" s="148">
        <f>(AA37+AC37)</f>
        <v>0</v>
      </c>
      <c r="AK37" s="147">
        <f>(AE37+AG37)</f>
        <v>11153.275218354576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5722.2415938818067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4.1599057800633971E-2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5722.2415938818067</v>
      </c>
      <c r="AH38" s="123">
        <f t="shared" ref="AH38:AI58" si="35">SUM(Z38,AB38,AD38,AF38)</f>
        <v>1</v>
      </c>
      <c r="AI38" s="112">
        <f t="shared" si="35"/>
        <v>5722.2415938818067</v>
      </c>
      <c r="AJ38" s="148">
        <f t="shared" ref="AJ38:AJ64" si="36">(AA38+AC38)</f>
        <v>0</v>
      </c>
      <c r="AK38" s="147">
        <f t="shared" ref="AK38:AK64" si="37">(AE38+AG38)</f>
        <v>5722.2415938818067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0.59219918485270251</v>
      </c>
      <c r="AA39" s="147">
        <f>$J39*Z39</f>
        <v>1383.614175489854</v>
      </c>
      <c r="AB39" s="122">
        <f>AB8</f>
        <v>0.40780081514729744</v>
      </c>
      <c r="AC39" s="147">
        <f>$J39*AB39</f>
        <v>952.78582451014563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0.59219918485270251</v>
      </c>
      <c r="AA40" s="147">
        <f>$J40*Z40</f>
        <v>24872.365763813501</v>
      </c>
      <c r="AB40" s="122">
        <f>AB9</f>
        <v>0.40780081514729755</v>
      </c>
      <c r="AC40" s="147">
        <f>$J40*AB40</f>
        <v>17127.634236186495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42000</v>
      </c>
      <c r="AJ40" s="148">
        <f t="shared" si="36"/>
        <v>42000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7776.7152826964648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5.6534493211515699E-2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0.59219918485270262</v>
      </c>
      <c r="AA41" s="147">
        <f>$J41*Z41</f>
        <v>4605.3644512444016</v>
      </c>
      <c r="AB41" s="122">
        <f>AB11</f>
        <v>0.40780081514729738</v>
      </c>
      <c r="AC41" s="147">
        <f>$J41*AB41</f>
        <v>3171.3508314520636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7776.7152826964648</v>
      </c>
      <c r="AJ41" s="148">
        <f t="shared" si="36"/>
        <v>7776.7152826964648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5350.9508825893099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3.8899880650125472E-2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1337.7377206473275</v>
      </c>
      <c r="AB43" s="156">
        <f>Poor!AB43</f>
        <v>0.25</v>
      </c>
      <c r="AC43" s="147">
        <f t="shared" si="39"/>
        <v>1337.7377206473275</v>
      </c>
      <c r="AD43" s="156">
        <f>Poor!AD43</f>
        <v>0.25</v>
      </c>
      <c r="AE43" s="147">
        <f t="shared" si="40"/>
        <v>1337.7377206473275</v>
      </c>
      <c r="AF43" s="122">
        <f t="shared" si="31"/>
        <v>0.25</v>
      </c>
      <c r="AG43" s="147">
        <f t="shared" si="34"/>
        <v>1337.7377206473275</v>
      </c>
      <c r="AH43" s="123">
        <f t="shared" si="35"/>
        <v>1</v>
      </c>
      <c r="AI43" s="112">
        <f t="shared" si="35"/>
        <v>5350.9508825893099</v>
      </c>
      <c r="AJ43" s="148">
        <f t="shared" si="36"/>
        <v>2675.475441294655</v>
      </c>
      <c r="AK43" s="147">
        <f t="shared" si="37"/>
        <v>2675.475441294655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3715.9381129092435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2.7013806007031585E-2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928.98452822731088</v>
      </c>
      <c r="AB44" s="156">
        <f>Poor!AB44</f>
        <v>0.25</v>
      </c>
      <c r="AC44" s="147">
        <f t="shared" si="39"/>
        <v>928.98452822731088</v>
      </c>
      <c r="AD44" s="156">
        <f>Poor!AD44</f>
        <v>0.25</v>
      </c>
      <c r="AE44" s="147">
        <f t="shared" si="40"/>
        <v>928.98452822731088</v>
      </c>
      <c r="AF44" s="122">
        <f t="shared" si="31"/>
        <v>0.25</v>
      </c>
      <c r="AG44" s="147">
        <f t="shared" si="34"/>
        <v>928.98452822731088</v>
      </c>
      <c r="AH44" s="123">
        <f t="shared" si="35"/>
        <v>1</v>
      </c>
      <c r="AI44" s="112">
        <f t="shared" si="35"/>
        <v>3715.9381129092435</v>
      </c>
      <c r="AJ44" s="148">
        <f t="shared" si="36"/>
        <v>1857.9690564546218</v>
      </c>
      <c r="AK44" s="147">
        <f t="shared" si="37"/>
        <v>1857.9690564546218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1857.9690564546218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1.3506903003515792E-2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464.49226411365544</v>
      </c>
      <c r="AB45" s="156">
        <f>Poor!AB45</f>
        <v>0.25</v>
      </c>
      <c r="AC45" s="147">
        <f t="shared" si="39"/>
        <v>464.49226411365544</v>
      </c>
      <c r="AD45" s="156">
        <f>Poor!AD45</f>
        <v>0.25</v>
      </c>
      <c r="AE45" s="147">
        <f t="shared" si="40"/>
        <v>464.49226411365544</v>
      </c>
      <c r="AF45" s="122">
        <f t="shared" si="31"/>
        <v>0.25</v>
      </c>
      <c r="AG45" s="147">
        <f t="shared" si="34"/>
        <v>464.49226411365544</v>
      </c>
      <c r="AH45" s="123">
        <f t="shared" si="35"/>
        <v>1</v>
      </c>
      <c r="AI45" s="112">
        <f t="shared" si="35"/>
        <v>1857.9690564546218</v>
      </c>
      <c r="AJ45" s="148">
        <f t="shared" si="36"/>
        <v>928.98452822731088</v>
      </c>
      <c r="AK45" s="147">
        <f t="shared" si="37"/>
        <v>928.98452822731088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139321.008</v>
      </c>
      <c r="J65" s="39">
        <f>SUM(J37:J64)</f>
        <v>156018.09814688601</v>
      </c>
      <c r="K65" s="40">
        <f>SUM(K37:K64)</f>
        <v>1</v>
      </c>
      <c r="L65" s="22">
        <f>SUM(L37:L64)</f>
        <v>1.1271531655968072</v>
      </c>
      <c r="M65" s="24">
        <f>SUM(M37:M64)</f>
        <v>1.1342068971181838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52618.710903536048</v>
      </c>
      <c r="AB65" s="137"/>
      <c r="AC65" s="153">
        <f>SUM(AC37:AC64)</f>
        <v>42239.137405137</v>
      </c>
      <c r="AD65" s="137"/>
      <c r="AE65" s="153">
        <f>SUM(AE37:AE64)</f>
        <v>22527.366512988294</v>
      </c>
      <c r="AF65" s="137"/>
      <c r="AG65" s="153">
        <f>SUM(AG37:AG64)</f>
        <v>38632.883325224677</v>
      </c>
      <c r="AH65" s="137"/>
      <c r="AI65" s="153">
        <f>SUM(AI37:AI64)</f>
        <v>156018.09814688601</v>
      </c>
      <c r="AJ65" s="153">
        <f>SUM(AJ37:AJ64)</f>
        <v>94857.84830867307</v>
      </c>
      <c r="AK65" s="153">
        <f>SUM(AK37:AK64)</f>
        <v>61160.249838212978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7"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19264.68</v>
      </c>
      <c r="J71" s="51">
        <f t="shared" si="47"/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115880.64940752821</v>
      </c>
      <c r="J74" s="51">
        <f t="shared" si="47"/>
        <v>8521.8899966881836</v>
      </c>
      <c r="K74" s="40">
        <f>B74/B$76</f>
        <v>9.5203084875859878E-2</v>
      </c>
      <c r="L74" s="22">
        <f>(L128*G$37*F$9/F$7)/B$130</f>
        <v>0.10370856791747533</v>
      </c>
      <c r="M74" s="24">
        <f>J74/B$76</f>
        <v>6.1951699998460154E-2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1847.1842291129092</v>
      </c>
      <c r="AD74" s="156"/>
      <c r="AE74" s="147">
        <f>AE30*$I$83/4</f>
        <v>3724.1205255283767</v>
      </c>
      <c r="AF74" s="156"/>
      <c r="AG74" s="147">
        <f>AG30*$I$83/4</f>
        <v>2950.5852420468977</v>
      </c>
      <c r="AH74" s="155"/>
      <c r="AI74" s="147">
        <f>SUM(AA74,AC74,AE74,AG74)</f>
        <v>8521.8899966881836</v>
      </c>
      <c r="AJ74" s="148">
        <f>(AA74+AC74)</f>
        <v>1847.1842291129092</v>
      </c>
      <c r="AK74" s="147">
        <f>(AE74+AG74)</f>
        <v>6674.7057675752749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 t="shared" si="47"/>
        <v>59446.129557726046</v>
      </c>
      <c r="K75" s="40">
        <f>B75/B$76</f>
        <v>0.38503337506193319</v>
      </c>
      <c r="L75" s="22">
        <f>(L129*G$37*F$9/F$7)/B$130</f>
        <v>0.38334573980607334</v>
      </c>
      <c r="M75" s="24">
        <f>J75/B$76</f>
        <v>0.43215633924646546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46758.621255418097</v>
      </c>
      <c r="AB75" s="158"/>
      <c r="AC75" s="149">
        <f>AA75+AC65-SUM(AC70,AC74)</f>
        <v>81290.484783324238</v>
      </c>
      <c r="AD75" s="158"/>
      <c r="AE75" s="149">
        <f>AC75+AE65-SUM(AE70,AE74)</f>
        <v>94233.641122666202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124055.84955772603</v>
      </c>
      <c r="AJ75" s="151">
        <f>AJ76-SUM(AJ70,AJ74)</f>
        <v>81290.484783324238</v>
      </c>
      <c r="AK75" s="149">
        <f>AJ75+AK76-SUM(AK70,AK74)</f>
        <v>124055.84955772603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139321.008</v>
      </c>
      <c r="J76" s="51">
        <f t="shared" si="47"/>
        <v>156018.09814688601</v>
      </c>
      <c r="K76" s="40">
        <f>SUM(K70:K75)</f>
        <v>0.65441235269742726</v>
      </c>
      <c r="L76" s="22">
        <f>SUM(L70:L75)</f>
        <v>0.71935974177977113</v>
      </c>
      <c r="M76" s="24">
        <f>SUM(M70:M75)</f>
        <v>0.72641347330114803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52618.710903536048</v>
      </c>
      <c r="AB76" s="137"/>
      <c r="AC76" s="153">
        <f>AC65</f>
        <v>42239.137405137</v>
      </c>
      <c r="AD76" s="137"/>
      <c r="AE76" s="153">
        <f>AE65</f>
        <v>22527.366512988294</v>
      </c>
      <c r="AF76" s="137"/>
      <c r="AG76" s="153">
        <f>AG65</f>
        <v>38632.883325224677</v>
      </c>
      <c r="AH76" s="137"/>
      <c r="AI76" s="153">
        <f>SUM(AA76,AC76,AE76,AG76)</f>
        <v>156018.09814688601</v>
      </c>
      <c r="AJ76" s="154">
        <f>SUM(AA76,AC76)</f>
        <v>94857.848308673041</v>
      </c>
      <c r="AK76" s="154">
        <f>SUM(AE76,AG76)</f>
        <v>61160.249838212971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46758.621255418097</v>
      </c>
      <c r="AD78" s="112"/>
      <c r="AE78" s="112">
        <f>AC75</f>
        <v>81290.484783324238</v>
      </c>
      <c r="AF78" s="112"/>
      <c r="AG78" s="112">
        <f>AE75</f>
        <v>94233.641122666202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46758.621255418097</v>
      </c>
      <c r="AB79" s="112"/>
      <c r="AC79" s="112">
        <f>AA79-AA74+AC65-AC70</f>
        <v>83137.669012437138</v>
      </c>
      <c r="AD79" s="112"/>
      <c r="AE79" s="112">
        <f>AC79-AC74+AE65-AE70</f>
        <v>97957.761648194573</v>
      </c>
      <c r="AF79" s="112"/>
      <c r="AG79" s="112">
        <f>AE79-AE74+AG65-AG70</f>
        <v>127006.43479977292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0.71658358080275875</v>
      </c>
      <c r="C91" s="75">
        <f t="shared" si="48"/>
        <v>0.17914589520068969</v>
      </c>
      <c r="D91" s="24">
        <f>(B91+C91)</f>
        <v>0.89572947600344843</v>
      </c>
      <c r="H91" s="24">
        <f>(E37*F37/G37*F$7/F$9)</f>
        <v>0.57212121212121214</v>
      </c>
      <c r="I91" s="22">
        <f>(D91*H91)</f>
        <v>0.51246583354379116</v>
      </c>
      <c r="J91" s="24">
        <f>IF(I$32&lt;=1+I$131,I91,L91+J$33*(I91-L91))</f>
        <v>0.4036491865478381</v>
      </c>
      <c r="K91" s="22">
        <f>(B91)</f>
        <v>0.71658358080275875</v>
      </c>
      <c r="L91" s="22">
        <f>(K91*H91)</f>
        <v>0.40997266683503292</v>
      </c>
      <c r="M91" s="227">
        <f>(J91)</f>
        <v>0.4036491865478381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0.35829179040137937</v>
      </c>
      <c r="C92" s="75">
        <f t="shared" si="48"/>
        <v>-5.9715298400229898E-2</v>
      </c>
      <c r="D92" s="24">
        <f t="shared" ref="D92:D118" si="50">(B92+C92)</f>
        <v>0.2985764920011495</v>
      </c>
      <c r="H92" s="24">
        <f t="shared" ref="H92:H118" si="51">(E38*F38/G38*F$7/F$9)</f>
        <v>0.57212121212121214</v>
      </c>
      <c r="I92" s="22">
        <f t="shared" ref="I92:I118" si="52">(D92*H92)</f>
        <v>0.17082194451459706</v>
      </c>
      <c r="J92" s="24">
        <f t="shared" ref="J92:J118" si="53">IF(I$32&lt;=1+I$131,I92,L92+J$33*(I92-L92))</f>
        <v>0.20709416017991472</v>
      </c>
      <c r="K92" s="22">
        <f t="shared" ref="K92:K118" si="54">(B92)</f>
        <v>0.35829179040137937</v>
      </c>
      <c r="L92" s="22">
        <f t="shared" ref="L92:L118" si="55">(K92*H92)</f>
        <v>0.20498633341751646</v>
      </c>
      <c r="M92" s="227">
        <f t="shared" ref="M92:M118" si="56">(J92)</f>
        <v>0.20709416017991472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Chicken sales: no. sold</v>
      </c>
      <c r="B93" s="75">
        <f t="shared" si="48"/>
        <v>0.14779536354056899</v>
      </c>
      <c r="C93" s="75">
        <f t="shared" si="48"/>
        <v>0</v>
      </c>
      <c r="D93" s="24">
        <f t="shared" si="50"/>
        <v>0.14779536354056899</v>
      </c>
      <c r="H93" s="24">
        <f t="shared" si="51"/>
        <v>0.57212121212121214</v>
      </c>
      <c r="I93" s="22">
        <f t="shared" si="52"/>
        <v>8.4556862534725538E-2</v>
      </c>
      <c r="J93" s="24">
        <f t="shared" si="53"/>
        <v>8.4556862534725538E-2</v>
      </c>
      <c r="K93" s="22">
        <f t="shared" si="54"/>
        <v>0.14779536354056899</v>
      </c>
      <c r="L93" s="22">
        <f t="shared" si="55"/>
        <v>8.4556862534725538E-2</v>
      </c>
      <c r="M93" s="227">
        <f t="shared" si="56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Green maize sold: quantity</v>
      </c>
      <c r="B94" s="75">
        <f t="shared" si="48"/>
        <v>1.7914589520068969</v>
      </c>
      <c r="C94" s="75">
        <f t="shared" si="48"/>
        <v>0</v>
      </c>
      <c r="D94" s="24">
        <f t="shared" si="50"/>
        <v>1.7914589520068969</v>
      </c>
      <c r="H94" s="24">
        <f t="shared" si="51"/>
        <v>0.84848484848484851</v>
      </c>
      <c r="I94" s="22">
        <f t="shared" si="52"/>
        <v>1.5200257774603974</v>
      </c>
      <c r="J94" s="24">
        <f t="shared" si="53"/>
        <v>1.5200257774603974</v>
      </c>
      <c r="K94" s="22">
        <f t="shared" si="54"/>
        <v>1.7914589520068969</v>
      </c>
      <c r="L94" s="22">
        <f t="shared" si="55"/>
        <v>1.5200257774603974</v>
      </c>
      <c r="M94" s="227">
        <f t="shared" si="56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0.2866334323211035</v>
      </c>
      <c r="C95" s="75">
        <f t="shared" si="48"/>
        <v>-0.2866334323211035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0.28144780223021071</v>
      </c>
      <c r="K95" s="22">
        <f t="shared" si="54"/>
        <v>0.2866334323211035</v>
      </c>
      <c r="L95" s="22">
        <f t="shared" si="55"/>
        <v>0.26509249558909331</v>
      </c>
      <c r="M95" s="227">
        <f t="shared" si="56"/>
        <v>0.28144780223021071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0.13137365648050578</v>
      </c>
      <c r="C96" s="75">
        <f t="shared" si="48"/>
        <v>0</v>
      </c>
      <c r="D96" s="24">
        <f t="shared" si="50"/>
        <v>0.13137365648050578</v>
      </c>
      <c r="H96" s="24">
        <f t="shared" si="51"/>
        <v>0.84848484848484851</v>
      </c>
      <c r="I96" s="22">
        <f t="shared" si="52"/>
        <v>0.11146855701376249</v>
      </c>
      <c r="J96" s="24">
        <f t="shared" si="53"/>
        <v>0.11146855701376249</v>
      </c>
      <c r="K96" s="22">
        <f t="shared" si="54"/>
        <v>0.13137365648050578</v>
      </c>
      <c r="L96" s="22">
        <f t="shared" si="55"/>
        <v>0.11146855701376249</v>
      </c>
      <c r="M96" s="227">
        <f t="shared" si="56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Potato: kg produced</v>
      </c>
      <c r="B97" s="75">
        <f t="shared" si="48"/>
        <v>0.21497507424082762</v>
      </c>
      <c r="C97" s="75">
        <f t="shared" si="48"/>
        <v>-0.21497507424082762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0.19365674465381469</v>
      </c>
      <c r="K97" s="22">
        <f t="shared" si="54"/>
        <v>0.21497507424082762</v>
      </c>
      <c r="L97" s="22">
        <f t="shared" si="55"/>
        <v>0.18240309329524768</v>
      </c>
      <c r="M97" s="227">
        <f t="shared" si="56"/>
        <v>0.19365674465381469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Other root crops: no. local meas( Sweet potato)</v>
      </c>
      <c r="B98" s="75">
        <f t="shared" si="48"/>
        <v>0.14928824600057475</v>
      </c>
      <c r="C98" s="75">
        <f t="shared" si="48"/>
        <v>-0.14928824600057475</v>
      </c>
      <c r="D98" s="24">
        <f t="shared" si="50"/>
        <v>0</v>
      </c>
      <c r="H98" s="24">
        <f t="shared" si="51"/>
        <v>0.84848484848484851</v>
      </c>
      <c r="I98" s="22">
        <f t="shared" si="52"/>
        <v>0</v>
      </c>
      <c r="J98" s="24">
        <f t="shared" si="53"/>
        <v>0.13448385045403799</v>
      </c>
      <c r="K98" s="22">
        <f t="shared" si="54"/>
        <v>0.14928824600057475</v>
      </c>
      <c r="L98" s="22">
        <f t="shared" si="55"/>
        <v>0.12666881478836645</v>
      </c>
      <c r="M98" s="227">
        <f t="shared" si="56"/>
        <v>0.13448385045403799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Other crop: Amadumbe</v>
      </c>
      <c r="B99" s="75">
        <f t="shared" si="48"/>
        <v>7.4644123000287374E-2</v>
      </c>
      <c r="C99" s="75">
        <f t="shared" si="48"/>
        <v>-7.4644123000287374E-2</v>
      </c>
      <c r="D99" s="24">
        <f t="shared" si="50"/>
        <v>0</v>
      </c>
      <c r="H99" s="24">
        <f t="shared" si="51"/>
        <v>0.84848484848484851</v>
      </c>
      <c r="I99" s="22">
        <f t="shared" si="52"/>
        <v>0</v>
      </c>
      <c r="J99" s="24">
        <f t="shared" si="53"/>
        <v>6.7241925227018995E-2</v>
      </c>
      <c r="K99" s="22">
        <f t="shared" si="54"/>
        <v>7.4644123000287374E-2</v>
      </c>
      <c r="L99" s="22">
        <f t="shared" si="55"/>
        <v>6.3334407394183223E-2</v>
      </c>
      <c r="M99" s="227">
        <f t="shared" si="56"/>
        <v>6.7241925227018995E-2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Labour migration(formal employment): no. people per HH</v>
      </c>
      <c r="B100" s="75">
        <f t="shared" si="48"/>
        <v>1.4331671616055175</v>
      </c>
      <c r="C100" s="75">
        <f t="shared" si="48"/>
        <v>0</v>
      </c>
      <c r="D100" s="24">
        <f t="shared" si="50"/>
        <v>1.4331671616055175</v>
      </c>
      <c r="H100" s="24">
        <f t="shared" si="51"/>
        <v>0.57212121212121214</v>
      </c>
      <c r="I100" s="22">
        <f t="shared" si="52"/>
        <v>0.81994533367006583</v>
      </c>
      <c r="J100" s="24">
        <f t="shared" si="53"/>
        <v>0.81994533367006583</v>
      </c>
      <c r="K100" s="22">
        <f t="shared" si="54"/>
        <v>1.4331671616055175</v>
      </c>
      <c r="L100" s="22">
        <f t="shared" si="55"/>
        <v>0.81994533367006583</v>
      </c>
      <c r="M100" s="227">
        <f t="shared" si="56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Small business -- see Data2</v>
      </c>
      <c r="B101" s="75">
        <f t="shared" si="48"/>
        <v>1.2977328648337962</v>
      </c>
      <c r="C101" s="75">
        <f t="shared" si="48"/>
        <v>0</v>
      </c>
      <c r="D101" s="24">
        <f t="shared" si="50"/>
        <v>1.2977328648337962</v>
      </c>
      <c r="H101" s="24">
        <f t="shared" si="51"/>
        <v>0.57212121212121214</v>
      </c>
      <c r="I101" s="22">
        <f t="shared" si="52"/>
        <v>0.74246049963824468</v>
      </c>
      <c r="J101" s="24">
        <f t="shared" si="53"/>
        <v>0.74246049963824468</v>
      </c>
      <c r="K101" s="22">
        <f t="shared" si="54"/>
        <v>1.2977328648337962</v>
      </c>
      <c r="L101" s="22">
        <f t="shared" si="55"/>
        <v>0.74246049963824468</v>
      </c>
      <c r="M101" s="227">
        <f t="shared" si="56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Social development -- see Data2</v>
      </c>
      <c r="B102" s="75">
        <f t="shared" si="48"/>
        <v>0.50877434236995878</v>
      </c>
      <c r="C102" s="75">
        <f t="shared" si="48"/>
        <v>0</v>
      </c>
      <c r="D102" s="24">
        <f t="shared" si="50"/>
        <v>0.50877434236995878</v>
      </c>
      <c r="H102" s="24">
        <f t="shared" si="51"/>
        <v>0.7151515151515152</v>
      </c>
      <c r="I102" s="22">
        <f t="shared" si="52"/>
        <v>0.36385074181609178</v>
      </c>
      <c r="J102" s="24">
        <f t="shared" si="53"/>
        <v>0.36385074181609178</v>
      </c>
      <c r="K102" s="22">
        <f t="shared" si="54"/>
        <v>0.50877434236995878</v>
      </c>
      <c r="L102" s="22">
        <f t="shared" si="55"/>
        <v>0.36385074181609178</v>
      </c>
      <c r="M102" s="227">
        <f t="shared" si="56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Public works -- see Data2</v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0.7151515151515152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>Other income: e.g. Credit (cotton loans)</v>
      </c>
      <c r="B104" s="75">
        <f t="shared" si="48"/>
        <v>0.38695513363348971</v>
      </c>
      <c r="C104" s="75">
        <f t="shared" si="48"/>
        <v>0</v>
      </c>
      <c r="D104" s="24">
        <f t="shared" si="50"/>
        <v>0.38695513363348971</v>
      </c>
      <c r="H104" s="24">
        <f t="shared" si="51"/>
        <v>0.60606060606060608</v>
      </c>
      <c r="I104" s="22">
        <f t="shared" si="52"/>
        <v>0.23451826280817559</v>
      </c>
      <c r="J104" s="24">
        <f t="shared" si="53"/>
        <v>0.23451826280817559</v>
      </c>
      <c r="K104" s="22">
        <f t="shared" si="54"/>
        <v>0.38695513363348971</v>
      </c>
      <c r="L104" s="22">
        <f t="shared" si="55"/>
        <v>0.23451826280817559</v>
      </c>
      <c r="M104" s="227">
        <f t="shared" si="56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>Remittances: no. times per year</v>
      </c>
      <c r="B105" s="75">
        <f t="shared" si="48"/>
        <v>0.71658358080275875</v>
      </c>
      <c r="C105" s="75">
        <f t="shared" si="48"/>
        <v>0</v>
      </c>
      <c r="D105" s="24">
        <f t="shared" si="50"/>
        <v>0.71658358080275875</v>
      </c>
      <c r="H105" s="24">
        <f t="shared" si="51"/>
        <v>0.67272727272727284</v>
      </c>
      <c r="I105" s="22">
        <f t="shared" si="52"/>
        <v>0.48206531799458324</v>
      </c>
      <c r="J105" s="24">
        <f t="shared" si="53"/>
        <v>0.48206531799458324</v>
      </c>
      <c r="K105" s="22">
        <f t="shared" si="54"/>
        <v>0.71658358080275875</v>
      </c>
      <c r="L105" s="22">
        <f t="shared" si="55"/>
        <v>0.48206531799458324</v>
      </c>
      <c r="M105" s="227">
        <f t="shared" si="56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5.0421791309944348</v>
      </c>
      <c r="J119" s="24">
        <f>SUM(J91:J118)</f>
        <v>5.6464650222288819</v>
      </c>
      <c r="K119" s="22">
        <f>SUM(K91:K118)</f>
        <v>8.2142573020404246</v>
      </c>
      <c r="L119" s="22">
        <f>SUM(L91:L118)</f>
        <v>5.6113491642554862</v>
      </c>
      <c r="M119" s="57">
        <f>(J119)</f>
        <v>5.6464650222288819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 t="shared" ref="K124:K130" si="58">(B124)</f>
        <v>0.99982000568417595</v>
      </c>
      <c r="L124" s="29">
        <f>IF(SUMPRODUCT($B$124:$B124,$H$124:$H124)&lt;L$119,($B124*$H124),L$119)</f>
        <v>0.84833212603505836</v>
      </c>
      <c r="M124" s="57">
        <f t="shared" si="57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si="58"/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58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>(J126)</f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 t="shared" si="58"/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57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4.1938470049593768</v>
      </c>
      <c r="J128" s="228">
        <f>(J30)</f>
        <v>0.30841648732495097</v>
      </c>
      <c r="K128" s="22">
        <f t="shared" si="58"/>
        <v>0.78202263511830628</v>
      </c>
      <c r="L128" s="22">
        <f>IF(L124=L119,0,(L119-L124)/(B119-B124)*K128)</f>
        <v>0.5162962795759255</v>
      </c>
      <c r="M128" s="57">
        <f t="shared" si="57"/>
        <v>0.30841648732495097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2.1514202213808109</v>
      </c>
      <c r="K129" s="29">
        <f t="shared" si="58"/>
        <v>3.162763212631754</v>
      </c>
      <c r="L129" s="60">
        <f>IF(SUM(L124:L128)&gt;L130,0,L130-SUM(L124:L128))</f>
        <v>1.9084245711564405</v>
      </c>
      <c r="M129" s="57">
        <f t="shared" si="57"/>
        <v>2.1514202213808109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5.0421791309944348</v>
      </c>
      <c r="J130" s="228">
        <f>(J119)</f>
        <v>5.6464650222288819</v>
      </c>
      <c r="K130" s="22">
        <f t="shared" si="58"/>
        <v>8.2142573020404246</v>
      </c>
      <c r="L130" s="22">
        <f>(L119)</f>
        <v>5.6113491642554862</v>
      </c>
      <c r="M130" s="57">
        <f t="shared" si="57"/>
        <v>5.6464650222288819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4" workbookViewId="0">
      <selection activeCell="U64" sqref="U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7381.8664534542349</v>
      </c>
      <c r="I72" s="109">
        <f>Rich!T7</f>
        <v>6683.2604437951959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44745.443922921157</v>
      </c>
      <c r="I73" s="109">
        <f>Rich!T8</f>
        <v>63781.573334649642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19211.916812236381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60386.656501782534</v>
      </c>
      <c r="G88" s="109">
        <f>Poor!T23</f>
        <v>63092.778415088425</v>
      </c>
      <c r="H88" s="109">
        <f>Middle!T23</f>
        <v>105553.90157891254</v>
      </c>
      <c r="I88" s="109">
        <f>Rich!T23</f>
        <v>168935.46979321836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3742.5289553858165</v>
      </c>
      <c r="G99" s="239">
        <f t="shared" si="0"/>
        <v>1036.4070420799253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40572.68895538582</v>
      </c>
      <c r="G100" s="239">
        <f t="shared" si="0"/>
        <v>37866.567042079929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2016-08-08T21:31:30Z</dcterms:modified>
  <cp:category/>
</cp:coreProperties>
</file>