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0540" windowHeight="168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<sst xmlns="http://schemas.openxmlformats.org/spreadsheetml/2006/main" count="790" uniqueCount="145">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</sst>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0.0133607409713574</c:v>
                </c:pt>
                <c:pt idx="2" formatCode="0.0%">
                  <c:v>0.0133607409713574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0.0630887671232876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0.264154693005194</c:v>
                </c:pt>
                <c:pt idx="2" formatCode="0.0%">
                  <c:v>0.508066284595103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578568"/>
        <c:axId val="-2063587192"/>
      </c:barChart>
      <c:catAx>
        <c:axId val="-206357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8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58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7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0.0685293927857004</c:v>
                </c:pt>
                <c:pt idx="2">
                  <c:v>0.0685293927857004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0.0328941085371362</c:v>
                </c:pt>
                <c:pt idx="2">
                  <c:v>0.0328941085371362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0.0159901916499968</c:v>
                </c:pt>
                <c:pt idx="2">
                  <c:v>0.0159901916499968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0.0927792475963089</c:v>
                </c:pt>
                <c:pt idx="2">
                  <c:v>0.0927792475963089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0.0216816157966058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0.00260179389559269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0.00361360263276763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0.00180680131638382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0.00913725237142673</c:v>
                </c:pt>
                <c:pt idx="2">
                  <c:v>0.00913725237142673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502792"/>
        <c:axId val="-2138186296"/>
      </c:barChart>
      <c:catAx>
        <c:axId val="-213850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18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18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50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0.0514695726135347</c:v>
                </c:pt>
                <c:pt idx="2">
                  <c:v>0.0547046818720996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0.0257347863067674</c:v>
                </c:pt>
                <c:pt idx="2">
                  <c:v>0.0246564165539124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0.0212311987030831</c:v>
                </c:pt>
                <c:pt idx="2">
                  <c:v>0.0212311987030831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0.0610655946262276</c:v>
                </c:pt>
                <c:pt idx="2">
                  <c:v>0.0610655946262276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0.0146557427102946</c:v>
                </c:pt>
                <c:pt idx="2">
                  <c:v>0.0109710080971496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0.00447814360592336</c:v>
                </c:pt>
                <c:pt idx="2">
                  <c:v>0.00447814360592336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0.00732787135514732</c:v>
                </c:pt>
                <c:pt idx="2">
                  <c:v>0.00548550404857477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0.00508879955218564</c:v>
                </c:pt>
                <c:pt idx="2">
                  <c:v>0.00380937781151026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0.00254439977609282</c:v>
                </c:pt>
                <c:pt idx="2">
                  <c:v>0.00190468890575513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0.0823513161816556</c:v>
                </c:pt>
                <c:pt idx="2">
                  <c:v>0.0823513161816556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94024"/>
        <c:axId val="-2138103496"/>
      </c:barChart>
      <c:catAx>
        <c:axId val="-213809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10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10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09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0.00876095118898623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389896"/>
        <c:axId val="-2138397640"/>
      </c:barChart>
      <c:catAx>
        <c:axId val="-213838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39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39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38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 with Grants</a:t>
            </a:r>
          </a:p>
        </c:rich>
      </c:tx>
      <c:layout>
        <c:manualLayout>
          <c:xMode val="edge"/>
          <c:yMode val="edge"/>
          <c:x val="0.333988957338882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2256.561783729675</c:v>
                </c:pt>
                <c:pt idx="5">
                  <c:v>2670.108013778912</c:v>
                </c:pt>
                <c:pt idx="6">
                  <c:v>5326.945295021025</c:v>
                </c:pt>
                <c:pt idx="7">
                  <c:v>3095.473997662478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7188.999999999998</c:v>
                </c:pt>
                <c:pt idx="7">
                  <c:v>12065.71831665628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627.8927238805971</c:v>
                </c:pt>
                <c:pt idx="5">
                  <c:v>1060.694496268657</c:v>
                </c:pt>
                <c:pt idx="6">
                  <c:v>1031.680970149254</c:v>
                </c:pt>
                <c:pt idx="7">
                  <c:v>1031.680970149254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2122.23</c:v>
                </c:pt>
                <c:pt idx="6">
                  <c:v>9097.799999999999</c:v>
                </c:pt>
                <c:pt idx="7">
                  <c:v>13837.17461618694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708.0</c:v>
                </c:pt>
                <c:pt idx="7">
                  <c:v>11328.0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736408"/>
        <c:axId val="-21387443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36408"/>
        <c:axId val="-2138744328"/>
      </c:lineChart>
      <c:catAx>
        <c:axId val="-213873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4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74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3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036840"/>
        <c:axId val="-21343781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36840"/>
        <c:axId val="-2134378136"/>
      </c:lineChart>
      <c:catAx>
        <c:axId val="-214103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37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37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3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650984"/>
        <c:axId val="20836472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50984"/>
        <c:axId val="2083647256"/>
      </c:lineChart>
      <c:catAx>
        <c:axId val="2083650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4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4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5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0.165804672163575</c:v>
                </c:pt>
                <c:pt idx="2">
                  <c:v>0.31890315025749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-0.276877948478153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873352"/>
        <c:axId val="-2138798312"/>
      </c:barChart>
      <c:catAx>
        <c:axId val="-213887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9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79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87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0.0447237720739956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0.0688796532022283</c:v>
                </c:pt>
                <c:pt idx="2">
                  <c:v>0.147262203295635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-0.203900864952526</c:v>
                </c:pt>
                <c:pt idx="2">
                  <c:v>-0.0633625916607609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093352"/>
        <c:axId val="2122251208"/>
      </c:barChart>
      <c:catAx>
        <c:axId val="-213909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25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25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09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0.0127829695916375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0.0511316942024857</c:v>
                </c:pt>
                <c:pt idx="2">
                  <c:v>0.0992515120616628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378872"/>
        <c:axId val="-2138978664"/>
      </c:barChart>
      <c:catAx>
        <c:axId val="212137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97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97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37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0.208926591928256</c:v>
                </c:pt>
                <c:pt idx="2">
                  <c:v>0.372585321149494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-0.298468640109989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601576"/>
        <c:axId val="2121534440"/>
      </c:barChart>
      <c:catAx>
        <c:axId val="212160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5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5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0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0.000868963608689636</c:v>
                </c:pt>
                <c:pt idx="2" formatCode="0.0%">
                  <c:v>0.00260689082606891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0.00660024906600249</c:v>
                </c:pt>
                <c:pt idx="2" formatCode="0.0%">
                  <c:v>0.013200498132005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0.00071952400719524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0.193156911167681</c:v>
                </c:pt>
                <c:pt idx="2" formatCode="0.0%">
                  <c:v>0.412962478728214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038936"/>
        <c:axId val="-2065424120"/>
      </c:barChart>
      <c:catAx>
        <c:axId val="-206503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42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42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03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607880"/>
        <c:axId val="-2046604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07880"/>
        <c:axId val="-2046604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607880"/>
        <c:axId val="-2046604536"/>
      </c:scatterChart>
      <c:catAx>
        <c:axId val="-20466078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604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6604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6078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7714280"/>
        <c:axId val="-2097863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14280"/>
        <c:axId val="-2097863864"/>
      </c:lineChart>
      <c:catAx>
        <c:axId val="-2097714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863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7863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714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542168"/>
        <c:axId val="-20466130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03400"/>
        <c:axId val="-2097522168"/>
      </c:scatterChart>
      <c:valAx>
        <c:axId val="-2046542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613016"/>
        <c:crosses val="autoZero"/>
        <c:crossBetween val="midCat"/>
      </c:valAx>
      <c:valAx>
        <c:axId val="-2046613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6542168"/>
        <c:crosses val="autoZero"/>
        <c:crossBetween val="midCat"/>
      </c:valAx>
      <c:valAx>
        <c:axId val="2100703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7522168"/>
        <c:crosses val="autoZero"/>
        <c:crossBetween val="midCat"/>
      </c:valAx>
      <c:valAx>
        <c:axId val="-20975221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703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055752"/>
        <c:axId val="-20981496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55752"/>
        <c:axId val="-2098149656"/>
      </c:lineChart>
      <c:catAx>
        <c:axId val="-209805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8149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8149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80557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0.0123107098381071</c:v>
                </c:pt>
                <c:pt idx="2" formatCode="0.0%">
                  <c:v>0.0123107098381071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0.00233333333333333</c:v>
                </c:pt>
                <c:pt idx="2" formatCode="0.0%">
                  <c:v>0.00233333333333333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0.0759214008272104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0.00435715008179541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0.00825031133250311</c:v>
                </c:pt>
                <c:pt idx="2" formatCode="0.0%">
                  <c:v>0.0123988841257118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0.00107928601079286</c:v>
                </c:pt>
                <c:pt idx="2" formatCode="0.0%">
                  <c:v>0.00153154132577578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0.224251080974603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0.254550843920283</c:v>
                </c:pt>
                <c:pt idx="2" formatCode="0.0%">
                  <c:v>0.494107550115798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822888"/>
        <c:axId val="-2064851048"/>
      </c:barChart>
      <c:catAx>
        <c:axId val="-206482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85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85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82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0.0125134744707347</c:v>
                </c:pt>
                <c:pt idx="2" formatCode="0.0%">
                  <c:v>0.0125134744707347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0.0102106475716065</c:v>
                </c:pt>
                <c:pt idx="2" formatCode="0.0%">
                  <c:v>0.0102106475716065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0.0125</c:v>
                </c:pt>
                <c:pt idx="2" formatCode="0.0%">
                  <c:v>0.0125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0.00490980074719801</c:v>
                </c:pt>
                <c:pt idx="2" formatCode="0.0%">
                  <c:v>0.00490980074719801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0.00108620451086204</c:v>
                </c:pt>
                <c:pt idx="2" formatCode="0.0%">
                  <c:v>0.00108620451086204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0.00165006226650062</c:v>
                </c:pt>
                <c:pt idx="2" formatCode="0.0%">
                  <c:v>0.00990037359900373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0.000287809602878096</c:v>
                </c:pt>
                <c:pt idx="2" formatCode="0.0%">
                  <c:v>0.000287809602878096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0.302073179115466</c:v>
                </c:pt>
                <c:pt idx="2" formatCode="0.0%">
                  <c:v>0.538696541271455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580088"/>
        <c:axId val="-2065585848"/>
      </c:barChart>
      <c:catAx>
        <c:axId val="-206558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58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58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580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0.0534429638854296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0.252355068493151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0.249634301503917</c:v>
                </c:pt>
                <c:pt idx="1">
                  <c:v>0.620313576445109</c:v>
                </c:pt>
                <c:pt idx="2">
                  <c:v>0.607141493091021</c:v>
                </c:pt>
                <c:pt idx="3">
                  <c:v>0.555175767340363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551544"/>
        <c:axId val="2084546520"/>
      </c:barChart>
      <c:catAx>
        <c:axId val="2084551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46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5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5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0.00850916264009963</c:v>
                </c:pt>
                <c:pt idx="1">
                  <c:v>0.00850916264009963</c:v>
                </c:pt>
                <c:pt idx="2">
                  <c:v>0.0165177863013699</c:v>
                </c:pt>
                <c:pt idx="3">
                  <c:v>0.0165177863013699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0.0408425902864259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0.189266301369863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0.019639202988792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0.00291102808911028</c:v>
                </c:pt>
                <c:pt idx="3">
                  <c:v>0.0014337899543379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0.0396014943960149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0.00115123841151238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0.313405265721434</c:v>
                </c:pt>
                <c:pt idx="1">
                  <c:v>0.633427692731259</c:v>
                </c:pt>
                <c:pt idx="2">
                  <c:v>0.62365927939239</c:v>
                </c:pt>
                <c:pt idx="3">
                  <c:v>0.584293927240737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847416"/>
        <c:axId val="-2055844104"/>
      </c:barChart>
      <c:catAx>
        <c:axId val="-2055847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844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84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847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0.00761999107630825</c:v>
                </c:pt>
                <c:pt idx="1">
                  <c:v>0.00171334225702508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0.0185056926138915</c:v>
                </c:pt>
                <c:pt idx="1">
                  <c:v>0.0041609740527752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0.515074116958651</c:v>
                </c:pt>
                <c:pt idx="1">
                  <c:v>0.115813554274225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0.0320679753258003</c:v>
                </c:pt>
                <c:pt idx="1">
                  <c:v>0.00721043065178372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0.00698646741386467</c:v>
                </c:pt>
                <c:pt idx="3">
                  <c:v>0.00344109589041096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0.0528019925280199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0.4914152752093</c:v>
                </c:pt>
                <c:pt idx="2">
                  <c:v>0.603066053766266</c:v>
                </c:pt>
                <c:pt idx="3">
                  <c:v>0.557368585937291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404296"/>
        <c:axId val="-2137431048"/>
      </c:barChart>
      <c:catAx>
        <c:axId val="-2137404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431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743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404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0.0170183252801993</c:v>
                </c:pt>
                <c:pt idx="1">
                  <c:v>0.0170183252801993</c:v>
                </c:pt>
                <c:pt idx="2">
                  <c:v>0.0330355726027397</c:v>
                </c:pt>
                <c:pt idx="3">
                  <c:v>0.0330355726027397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0.0492428393524284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0.00933333333333333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0.303685603308841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0.0116771622192117</c:v>
                </c:pt>
                <c:pt idx="3">
                  <c:v>0.00575143810796994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0.0495955365028472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0.0061261653031031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0.224251080974603</c:v>
                </c:pt>
                <c:pt idx="1">
                  <c:v>0.224251080974603</c:v>
                </c:pt>
                <c:pt idx="2">
                  <c:v>0.224251080974603</c:v>
                </c:pt>
                <c:pt idx="3">
                  <c:v>0.224251080974603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0.201895915680792</c:v>
                </c:pt>
                <c:pt idx="1">
                  <c:v>0.620329296166962</c:v>
                </c:pt>
                <c:pt idx="2">
                  <c:v>0.598761051928313</c:v>
                </c:pt>
                <c:pt idx="3">
                  <c:v>0.555443936687126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697816"/>
        <c:axId val="-2137709912"/>
      </c:barChart>
      <c:catAx>
        <c:axId val="-213769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709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770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69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0.0368574089639036</c:v>
                </c:pt>
                <c:pt idx="2">
                  <c:v>0.0368574089639036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0.0442288907566843</c:v>
                </c:pt>
                <c:pt idx="2">
                  <c:v>0.0110572226891711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0.000294859271711229</c:v>
                </c:pt>
                <c:pt idx="2">
                  <c:v>0.000294859271711229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0.00477045046682265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0.0063606006224302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0.0031803003112151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212696"/>
        <c:axId val="2084208424"/>
      </c:barChart>
      <c:catAx>
        <c:axId val="208421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0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0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1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1.2513474470734746E-2</v>
      </c>
      <c r="J6" s="24">
        <f t="shared" ref="J6:J13" si="3">IF(I$32&lt;=1+I$131,I6,B6*H6+J$33*(I6-B6*H6))</f>
        <v>1.2513474470734746E-2</v>
      </c>
      <c r="K6" s="22">
        <f t="shared" ref="K6:K31" si="4">B6</f>
        <v>6.2567372353673725E-2</v>
      </c>
      <c r="L6" s="22">
        <f t="shared" ref="L6:L29" si="5">IF(K6="","",K6*H6)</f>
        <v>1.2513474470734746E-2</v>
      </c>
      <c r="M6" s="177">
        <f t="shared" ref="M6:M31" si="6">J6</f>
        <v>1.2513474470734746E-2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5.0053897882938986E-2</v>
      </c>
      <c r="Z6" s="156">
        <f>Poor!Z6</f>
        <v>0.17</v>
      </c>
      <c r="AA6" s="121">
        <f>$M6*Z6*4</f>
        <v>8.5091626400996285E-3</v>
      </c>
      <c r="AB6" s="156">
        <f>Poor!AB6</f>
        <v>0.17</v>
      </c>
      <c r="AC6" s="121">
        <f t="shared" ref="AC6:AC29" si="7">$M6*AB6*4</f>
        <v>8.5091626400996285E-3</v>
      </c>
      <c r="AD6" s="156">
        <f>Poor!AD6</f>
        <v>0.33</v>
      </c>
      <c r="AE6" s="121">
        <f t="shared" ref="AE6:AE29" si="8">$M6*AD6*4</f>
        <v>1.6517786301369866E-2</v>
      </c>
      <c r="AF6" s="122">
        <f>1-SUM(Z6,AB6,AD6)</f>
        <v>0.32999999999999996</v>
      </c>
      <c r="AG6" s="121">
        <f>$M6*AF6*4</f>
        <v>1.6517786301369863E-2</v>
      </c>
      <c r="AH6" s="123">
        <f>SUM(Z6,AB6,AD6,AF6)</f>
        <v>1</v>
      </c>
      <c r="AI6" s="183">
        <f>SUM(AA6,AC6,AE6,AG6)/4</f>
        <v>1.2513474470734746E-2</v>
      </c>
      <c r="AJ6" s="120">
        <f>(AA6+AC6)/2</f>
        <v>8.5091626400996285E-3</v>
      </c>
      <c r="AK6" s="119">
        <f>(AE6+AG6)/2</f>
        <v>1.6517786301369866E-2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1.0210647571606477E-2</v>
      </c>
      <c r="J7" s="24">
        <f t="shared" si="3"/>
        <v>1.0210647571606477E-2</v>
      </c>
      <c r="K7" s="22">
        <f t="shared" si="4"/>
        <v>5.1053237858032383E-2</v>
      </c>
      <c r="L7" s="22">
        <f t="shared" si="5"/>
        <v>1.0210647571606477E-2</v>
      </c>
      <c r="M7" s="177">
        <f t="shared" si="6"/>
        <v>1.0210647571606477E-2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2028.5965208352047</v>
      </c>
      <c r="T7" s="222">
        <f>IF($B$81=0,0,(SUMIF($N$6:$N$28,$U7,M$6:M$28)+SUMIF($N$91:$N$118,$U7,M$91:M$118))*$I$83*Poor!$B$81/$B$81)</f>
        <v>2256.5617837296745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4.0842590286425909E-2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4.0842590286425909E-2</v>
      </c>
      <c r="AH7" s="123">
        <f t="shared" ref="AH7:AH30" si="12">SUM(Z7,AB7,AD7,AF7)</f>
        <v>1</v>
      </c>
      <c r="AI7" s="183">
        <f t="shared" ref="AI7:AI30" si="13">SUM(AA7,AC7,AE7,AG7)/4</f>
        <v>1.0210647571606477E-2</v>
      </c>
      <c r="AJ7" s="120">
        <f t="shared" ref="AJ7:AJ31" si="14">(AA7+AC7)/2</f>
        <v>0</v>
      </c>
      <c r="AK7" s="119">
        <f t="shared" ref="AK7:AK31" si="15">(AE7+AG7)/2</f>
        <v>2.0421295143212954E-2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4">
        <f t="shared" si="6"/>
        <v>5.6666666666666671E-3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349.99999999999994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1.2500000000000001E-2</v>
      </c>
      <c r="J9" s="24">
        <f t="shared" si="3"/>
        <v>1.2500000000000001E-2</v>
      </c>
      <c r="K9" s="22">
        <f t="shared" si="4"/>
        <v>6.25E-2</v>
      </c>
      <c r="L9" s="22">
        <f t="shared" si="5"/>
        <v>1.2500000000000001E-2</v>
      </c>
      <c r="M9" s="224">
        <f t="shared" si="6"/>
        <v>1.2500000000000001E-2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627.89272388059715</v>
      </c>
      <c r="T9" s="222">
        <f>IF($B$81=0,0,(SUMIF($N$6:$N$28,$U9,M$6:M$28)+SUMIF($N$91:$N$118,$U9,M$91:M$118))*$I$83*Poor!$B$81/$B$81)</f>
        <v>627.89272388059715</v>
      </c>
      <c r="U9" s="223">
        <v>3</v>
      </c>
      <c r="V9" s="56"/>
      <c r="W9" s="115"/>
      <c r="X9" s="118">
        <f>Poor!X9</f>
        <v>1</v>
      </c>
      <c r="Y9" s="183">
        <f t="shared" si="9"/>
        <v>0.05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1.2500000000000001E-2</v>
      </c>
      <c r="AJ9" s="120">
        <f t="shared" si="14"/>
        <v>2.5000000000000001E-2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0.3</v>
      </c>
      <c r="H10" s="24">
        <f t="shared" si="1"/>
        <v>0.3</v>
      </c>
      <c r="I10" s="22">
        <f t="shared" si="2"/>
        <v>4.7316575342465743E-2</v>
      </c>
      <c r="J10" s="24">
        <f t="shared" si="3"/>
        <v>4.7316575342465743E-2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4.7316575342465743E-2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0.18926630136986297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0.18926630136986297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4.7316575342465743E-2</v>
      </c>
      <c r="AJ10" s="120">
        <f t="shared" si="14"/>
        <v>9.4633150684931486E-2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0.2</v>
      </c>
      <c r="H11" s="24">
        <f t="shared" si="1"/>
        <v>0.2</v>
      </c>
      <c r="I11" s="22">
        <f t="shared" si="2"/>
        <v>4.9098007471980072E-3</v>
      </c>
      <c r="J11" s="24">
        <f t="shared" si="3"/>
        <v>4.9098007471980072E-3</v>
      </c>
      <c r="K11" s="22">
        <f t="shared" si="4"/>
        <v>2.4549003735990036E-2</v>
      </c>
      <c r="L11" s="22">
        <f t="shared" si="5"/>
        <v>4.9098007471980072E-3</v>
      </c>
      <c r="M11" s="224">
        <f t="shared" si="6"/>
        <v>4.9098007471980072E-3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1.9639202988792029E-2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1.9639202988792029E-2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4.9098007471980072E-3</v>
      </c>
      <c r="AJ11" s="120">
        <f t="shared" si="14"/>
        <v>9.8196014943960144E-3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4.3448180434481802E-3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0.2</v>
      </c>
      <c r="H13" s="24">
        <f t="shared" si="1"/>
        <v>0.2</v>
      </c>
      <c r="I13" s="22">
        <f t="shared" si="2"/>
        <v>9.9003735990037377E-3</v>
      </c>
      <c r="J13" s="24">
        <f t="shared" si="3"/>
        <v>9.9003735990037377E-3</v>
      </c>
      <c r="K13" s="22">
        <f t="shared" si="4"/>
        <v>8.2503113325031133E-3</v>
      </c>
      <c r="L13" s="22">
        <f t="shared" si="5"/>
        <v>1.6500622665006227E-3</v>
      </c>
      <c r="M13" s="225">
        <f t="shared" si="6"/>
        <v>9.9003735990037377E-3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3.9601494396014951E-2</v>
      </c>
      <c r="Z13" s="156">
        <f>Poor!Z13</f>
        <v>1</v>
      </c>
      <c r="AA13" s="121">
        <f>$M13*Z13*4</f>
        <v>3.9601494396014951E-2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9.9003735990037377E-3</v>
      </c>
      <c r="AJ13" s="120">
        <f t="shared" si="14"/>
        <v>1.9800747198007475E-2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0.2</v>
      </c>
      <c r="F14" s="22"/>
      <c r="H14" s="24">
        <f t="shared" si="1"/>
        <v>0.2</v>
      </c>
      <c r="I14" s="22">
        <f t="shared" si="2"/>
        <v>2.8780960287809606E-4</v>
      </c>
      <c r="J14" s="24">
        <f>IF(I$32&lt;=1+I131,I14,B14*H14+J$33*(I14-B14*H14))</f>
        <v>2.8780960287809606E-4</v>
      </c>
      <c r="K14" s="22">
        <f t="shared" si="4"/>
        <v>1.4390480143904802E-3</v>
      </c>
      <c r="L14" s="22">
        <f t="shared" si="5"/>
        <v>2.8780960287809606E-4</v>
      </c>
      <c r="M14" s="225">
        <f t="shared" si="6"/>
        <v>2.8780960287809606E-4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1.1512384115123842E-3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1.1512384115123842E-3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2.8780960287809606E-4</v>
      </c>
      <c r="AJ14" s="120">
        <f t="shared" si="14"/>
        <v>5.7561920575619212E-4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52327.39802187981</v>
      </c>
      <c r="T23" s="179">
        <f>SUM(T7:T22)</f>
        <v>52205.363284774285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0.53869654127145505</v>
      </c>
      <c r="K30" s="22">
        <f t="shared" si="4"/>
        <v>0.51235726027397255</v>
      </c>
      <c r="L30" s="22">
        <f>IF(L124=L119,0,IF(K30="",0,(L119-L124)/(B119-B124)*K30))</f>
        <v>0.302073179115466</v>
      </c>
      <c r="M30" s="175">
        <f t="shared" si="6"/>
        <v>0.53869654127145505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2.1547861650858202</v>
      </c>
      <c r="Z30" s="122">
        <f>IF($Y30=0,0,AA30/($Y$30))</f>
        <v>0.14544611005934879</v>
      </c>
      <c r="AA30" s="187">
        <f>IF(AA79*4/$I$83+SUM(AA6:AA29)&lt;1,AA79*4/$I$83,1-SUM(AA6:AA29))</f>
        <v>0.31340526572143435</v>
      </c>
      <c r="AB30" s="122">
        <f>IF($Y30=0,0,AC30/($Y$30))</f>
        <v>0.29396313332373314</v>
      </c>
      <c r="AC30" s="187">
        <f>IF(AC79*4/$I$83+SUM(AC6:AC29)&lt;1,AC79*4/$I$83,1-SUM(AC6:AC29))</f>
        <v>0.63342769273125865</v>
      </c>
      <c r="AD30" s="122">
        <f>IF($Y30=0,0,AE30/($Y$30))</f>
        <v>0.28942977706910961</v>
      </c>
      <c r="AE30" s="187">
        <f>IF(AE79*4/$I$83+SUM(AE6:AE29)&lt;1,AE79*4/$I$83,1-SUM(AE6:AE29))</f>
        <v>0.62365927939239052</v>
      </c>
      <c r="AF30" s="122">
        <f>IF($Y30=0,0,AG30/($Y$30))</f>
        <v>0.27116097954780854</v>
      </c>
      <c r="AG30" s="187">
        <f>IF(AG79*4/$I$83+SUM(AG6:AG29)&lt;1,AG79*4/$I$83,1-SUM(AG6:AG29))</f>
        <v>0.58429392724073692</v>
      </c>
      <c r="AH30" s="123">
        <f t="shared" si="12"/>
        <v>1</v>
      </c>
      <c r="AI30" s="183">
        <f t="shared" si="13"/>
        <v>0.53869654127145505</v>
      </c>
      <c r="AJ30" s="120">
        <f t="shared" si="14"/>
        <v>0.4734164792263465</v>
      </c>
      <c r="AK30" s="119">
        <f t="shared" si="15"/>
        <v>0.60397660331656366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0.27399320210047695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11801.787435288541</v>
      </c>
      <c r="T31" s="234">
        <f>IF(T25&gt;T$23,T25-T$23,0)</f>
        <v>11923.822172394066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1.2656736458722129</v>
      </c>
      <c r="J32" s="17"/>
      <c r="L32" s="22">
        <f>SUM(L6:L30)</f>
        <v>0.72600679789952305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48631.947435288545</v>
      </c>
      <c r="T32" s="234">
        <f t="shared" si="24"/>
        <v>48753.982172394069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0.82677252428477888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11923.82217239407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8.7609511889862324E-3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1.1518397997496872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14884.783579922272</v>
      </c>
      <c r="K74" s="40">
        <f>B74/B$76</f>
        <v>0.21476846057571966</v>
      </c>
      <c r="L74" s="22">
        <f t="shared" si="45"/>
        <v>0.20892659192825644</v>
      </c>
      <c r="M74" s="24">
        <f>J74/B$76</f>
        <v>0.37258532114949366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2164.9338707749625</v>
      </c>
      <c r="AB74" s="156"/>
      <c r="AC74" s="147">
        <f>AC30*$I$83/4</f>
        <v>4375.5776199996053</v>
      </c>
      <c r="AD74" s="156"/>
      <c r="AE74" s="147">
        <f>AE30*$I$83/4</f>
        <v>4308.0995932588467</v>
      </c>
      <c r="AF74" s="156"/>
      <c r="AG74" s="147">
        <f>AG30*$I$83/4</f>
        <v>4036.1724958888599</v>
      </c>
      <c r="AH74" s="155"/>
      <c r="AI74" s="147">
        <f>SUM(AA74,AC74,AE74,AG74)</f>
        <v>14884.783579922274</v>
      </c>
      <c r="AJ74" s="148">
        <f>(AA74+AC74)</f>
        <v>6540.5114907745683</v>
      </c>
      <c r="AK74" s="147">
        <f>(AE74+AG74)</f>
        <v>8344.2720891477074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4911.7143371002803</v>
      </c>
      <c r="AB75" s="158"/>
      <c r="AC75" s="149">
        <f>AA75+AC65-SUM(AC70,AC74)</f>
        <v>6092.5470689827252</v>
      </c>
      <c r="AD75" s="158"/>
      <c r="AE75" s="149">
        <f>AC75+AE65-SUM(AE70,AE74)</f>
        <v>7340.8578276059307</v>
      </c>
      <c r="AF75" s="158"/>
      <c r="AG75" s="149">
        <f>IF(SUM(AG6:AG29)+((AG65-AG70-$J$75)*4/I$83)&lt;1,0,AG65-AG70-$J$75-(1-SUM(AG6:AG29))*I$83/4)</f>
        <v>1520.2378559931913</v>
      </c>
      <c r="AH75" s="134"/>
      <c r="AI75" s="149">
        <f>AI76-SUM(AI70,AI74)</f>
        <v>7340.857827605927</v>
      </c>
      <c r="AJ75" s="151">
        <f>AJ76-SUM(AJ70,AJ74)</f>
        <v>4572.309212989534</v>
      </c>
      <c r="AK75" s="149">
        <f>AJ75+AK76-SUM(AK70,AK74)</f>
        <v>7340.8578276059307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1.2778887594494528</v>
      </c>
      <c r="M76" s="24">
        <f>SUM(M70:M75)</f>
        <v>1.44154748867069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11923.82217239407</v>
      </c>
      <c r="K77" s="40"/>
      <c r="L77" s="22">
        <f>-(L131*G$37*F$9/F$7)/B$130</f>
        <v>-0.48221977471839805</v>
      </c>
      <c r="M77" s="24">
        <f>-J77/B$76</f>
        <v>-0.29846864010998925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1520.2378559931913</v>
      </c>
      <c r="AB78" s="112"/>
      <c r="AC78" s="112">
        <f>IF(AA75&lt;0,0,AA75)</f>
        <v>4911.7143371002803</v>
      </c>
      <c r="AD78" s="112"/>
      <c r="AE78" s="112">
        <f>AC75</f>
        <v>6092.5470689827252</v>
      </c>
      <c r="AF78" s="112"/>
      <c r="AG78" s="112">
        <f>AE75</f>
        <v>7340.8578276059307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7076.6482078752424</v>
      </c>
      <c r="AB79" s="112"/>
      <c r="AC79" s="112">
        <f>AA79-AA74+AC65-AC70</f>
        <v>10468.124688982331</v>
      </c>
      <c r="AD79" s="112"/>
      <c r="AE79" s="112">
        <f>AC79-AC74+AE65-AE70</f>
        <v>11648.957420864779</v>
      </c>
      <c r="AF79" s="112"/>
      <c r="AG79" s="112">
        <f>AE79-AE74+AG65-AG70</f>
        <v>12897.268179487986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1.2666881478836644E-2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1.6653691946575631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0.53869654127145505</v>
      </c>
      <c r="K128" s="29">
        <f>(B128)</f>
        <v>0.51235726027397255</v>
      </c>
      <c r="L128" s="29">
        <f>IF(L124=L119,0,(L119-L124)/(B119-B124)*K128)</f>
        <v>0.302073179115466</v>
      </c>
      <c r="M128" s="240">
        <f t="shared" si="66"/>
        <v>0.53869654127145505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1.6653691946575631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0.43153612066411484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16">
        <v>0.17</v>
      </c>
      <c r="AA6" s="121">
        <f>$M6*Z6*4</f>
        <v>1.7018325280199257E-2</v>
      </c>
      <c r="AB6" s="116">
        <v>0.17</v>
      </c>
      <c r="AC6" s="121">
        <f t="shared" ref="AC6:AC29" si="7">$M6*AB6*4</f>
        <v>1.7018325280199257E-2</v>
      </c>
      <c r="AD6" s="116"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1.3360740971357411E-2</v>
      </c>
      <c r="J7" s="24">
        <f t="shared" si="3"/>
        <v>1.3360740971357411E-2</v>
      </c>
      <c r="K7" s="22">
        <f t="shared" si="4"/>
        <v>6.680370485678705E-2</v>
      </c>
      <c r="L7" s="22">
        <f t="shared" si="5"/>
        <v>1.3360740971357411E-2</v>
      </c>
      <c r="M7" s="224">
        <f t="shared" si="6"/>
        <v>1.3360740971357411E-2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2032.0513845754035</v>
      </c>
      <c r="T7" s="222">
        <f>IF($B$81=0,0,(SUMIF($N$6:$N$28,$U7,M$6:M$28)+SUMIF($N$91:$N$118,$U7,M$91:M$118))*$I$83*Poor!$B$81/$B$81)</f>
        <v>2670.1080137789122</v>
      </c>
      <c r="U7" s="223">
        <v>1</v>
      </c>
      <c r="V7" s="56"/>
      <c r="W7" s="115"/>
      <c r="X7" s="124">
        <v>4</v>
      </c>
      <c r="Y7" s="183">
        <f t="shared" ref="Y7:Y29" si="9">M7*4</f>
        <v>5.3442963885429642E-2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5.3442963885429642E-2</v>
      </c>
      <c r="AH7" s="123">
        <f t="shared" ref="AH7:AH30" si="12">SUM(Z7,AB7,AD7,AF7)</f>
        <v>1</v>
      </c>
      <c r="AI7" s="183">
        <f t="shared" ref="AI7:AI30" si="13">SUM(AA7,AC7,AE7,AG7)/4</f>
        <v>1.3360740971357411E-2</v>
      </c>
      <c r="AJ7" s="120">
        <f t="shared" ref="AJ7:AJ31" si="14">(AA7+AC7)/2</f>
        <v>0</v>
      </c>
      <c r="AK7" s="119">
        <f t="shared" ref="AK7:AK31" si="15">(AE7+AG7)/2</f>
        <v>2.6721481942714821E-2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629.99999999999989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1060.6944962686568</v>
      </c>
      <c r="T9" s="222">
        <f>IF($B$81=0,0,(SUMIF($N$6:$N$28,$U9,M$6:M$28)+SUMIF($N$91:$N$118,$U9,M$91:M$118))*$I$83*Poor!$B$81/$B$81)</f>
        <v>1060.6944962686568</v>
      </c>
      <c r="U9" s="223">
        <v>3</v>
      </c>
      <c r="V9" s="56"/>
      <c r="W9" s="115"/>
      <c r="X9" s="124"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0.3</v>
      </c>
      <c r="H10" s="24">
        <f t="shared" si="1"/>
        <v>0.3</v>
      </c>
      <c r="I10" s="22">
        <f t="shared" si="2"/>
        <v>6.3088767123287662E-2</v>
      </c>
      <c r="J10" s="24">
        <f t="shared" si="3"/>
        <v>6.3088767123287662E-2</v>
      </c>
      <c r="K10" s="22">
        <f t="shared" si="4"/>
        <v>0.15772191780821915</v>
      </c>
      <c r="L10" s="22">
        <f t="shared" si="5"/>
        <v>4.7316575342465743E-2</v>
      </c>
      <c r="M10" s="224">
        <f t="shared" si="6"/>
        <v>6.3088767123287662E-2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0.25235506849315065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0.25235506849315065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6.3088767123287662E-2</v>
      </c>
      <c r="AJ10" s="120">
        <f t="shared" si="14"/>
        <v>0.12617753424657532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3582.4800000000005</v>
      </c>
      <c r="T11" s="222">
        <f>IF($B$81=0,0,(SUMIF($N$6:$N$28,$U11,M$6:M$28)+SUMIF($N$91:$N$118,$U11,M$91:M$118))*$I$83*Poor!$B$81/$B$81)</f>
        <v>2122.23</v>
      </c>
      <c r="U11" s="223">
        <v>5</v>
      </c>
      <c r="V11" s="56"/>
      <c r="W11" s="115"/>
      <c r="X11" s="124"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0.2</v>
      </c>
      <c r="H12" s="24">
        <f t="shared" si="1"/>
        <v>0.2</v>
      </c>
      <c r="I12" s="22">
        <f t="shared" si="2"/>
        <v>1.0862045108620451E-3</v>
      </c>
      <c r="J12" s="24">
        <f t="shared" si="3"/>
        <v>1.0862045108620451E-3</v>
      </c>
      <c r="K12" s="22">
        <f t="shared" si="4"/>
        <v>5.4310225543102251E-3</v>
      </c>
      <c r="L12" s="22">
        <f t="shared" si="5"/>
        <v>1.0862045108620451E-3</v>
      </c>
      <c r="M12" s="224">
        <f t="shared" si="6"/>
        <v>1.0862045108620451E-3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4.3448180434481802E-3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2.9110280891102808E-3</v>
      </c>
      <c r="AF12" s="122">
        <f>1-SUM(Z12,AB12,AD12)</f>
        <v>0.32999999999999996</v>
      </c>
      <c r="AG12" s="121">
        <f>$M12*AF12*4</f>
        <v>1.4337899543378993E-3</v>
      </c>
      <c r="AH12" s="123">
        <f t="shared" si="12"/>
        <v>1</v>
      </c>
      <c r="AI12" s="183">
        <f t="shared" si="13"/>
        <v>1.0862045108620451E-3</v>
      </c>
      <c r="AJ12" s="120">
        <f t="shared" si="14"/>
        <v>0</v>
      </c>
      <c r="AK12" s="119">
        <f t="shared" si="15"/>
        <v>2.1724090217240901E-3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16">
        <v>1</v>
      </c>
      <c r="AA13" s="121">
        <f>$M13*Z13*4</f>
        <v>5.2801992528019925E-2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5.7561920575619208E-3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53392.934658008075</v>
      </c>
      <c r="T23" s="179">
        <f>SUM(T7:T22)</f>
        <v>51940.741287211582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0.76416297195354488</v>
      </c>
      <c r="J30" s="231">
        <f>IF(I$32&lt;=1,I30,1-SUM(J6:J29))</f>
        <v>0.5080662845951025</v>
      </c>
      <c r="K30" s="22">
        <f t="shared" si="4"/>
        <v>0.51235726027397255</v>
      </c>
      <c r="L30" s="22">
        <f>IF(L124=L119,0,IF(K30="",0,(L119-L124)/(B119-B124)*K30))</f>
        <v>0.26415469300519384</v>
      </c>
      <c r="M30" s="175">
        <f t="shared" si="6"/>
        <v>0.5080662845951025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2.03226513838041</v>
      </c>
      <c r="Z30" s="122">
        <f>IF($Y30=0,0,AA30/($Y$30))</f>
        <v>0.12283549857222857</v>
      </c>
      <c r="AA30" s="187">
        <f>IF(AA79*4/$I$83+SUM(AA6:AA29)&lt;1,AA79*4/$I$83,1-SUM(AA6:AA29))</f>
        <v>0.24963430150391674</v>
      </c>
      <c r="AB30" s="122">
        <f>IF($Y30=0,0,AC30/($Y$30))</f>
        <v>0.30523260214927522</v>
      </c>
      <c r="AC30" s="187">
        <f>IF(AC79*4/$I$83+SUM(AC6:AC29)&lt;1,AC79*4/$I$83,1-SUM(AC6:AC29))</f>
        <v>0.62031357644510943</v>
      </c>
      <c r="AD30" s="122">
        <f>IF($Y30=0,0,AE30/($Y$30))</f>
        <v>0.29875112337697973</v>
      </c>
      <c r="AE30" s="187">
        <f>IF(AE79*4/$I$83+SUM(AE6:AE29)&lt;1,AE79*4/$I$83,1-SUM(AE6:AE29))</f>
        <v>0.60714149309102061</v>
      </c>
      <c r="AF30" s="122">
        <f>IF($Y30=0,0,AG30/($Y$30))</f>
        <v>0.27318077590151657</v>
      </c>
      <c r="AG30" s="187">
        <f>IF(AG79*4/$I$83+SUM(AG6:AG29)&lt;1,AG79*4/$I$83,1-SUM(AG6:AG29))</f>
        <v>0.55517576734036334</v>
      </c>
      <c r="AH30" s="123">
        <f t="shared" si="12"/>
        <v>1</v>
      </c>
      <c r="AI30" s="183">
        <f t="shared" si="13"/>
        <v>0.5080662845951025</v>
      </c>
      <c r="AJ30" s="120">
        <f t="shared" si="14"/>
        <v>0.43497393897451309</v>
      </c>
      <c r="AK30" s="119">
        <f t="shared" si="15"/>
        <v>0.58115863021569192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0.29673137895379598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10736.250799160276</v>
      </c>
      <c r="T31" s="234">
        <f>IF(T25&gt;T$23,T25-T$23,0)</f>
        <v>12188.444169956769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1.2560966873584425</v>
      </c>
      <c r="J32" s="17"/>
      <c r="L32" s="22">
        <f>SUM(L6:L30)</f>
        <v>0.70326862104620402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47566.41079916028</v>
      </c>
      <c r="T32" s="234">
        <f t="shared" si="50"/>
        <v>49018.604169956772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0.96015412525225419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12188.444169956769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1622.5</v>
      </c>
      <c r="J37" s="38">
        <f t="shared" ref="J37:J49" si="53">J91*I$83</f>
        <v>1622.5</v>
      </c>
      <c r="K37" s="40">
        <f t="shared" ref="K37:K49" si="54">(B37/B$65)</f>
        <v>6.2470184684582361E-2</v>
      </c>
      <c r="L37" s="22">
        <f t="shared" ref="L37:L49" si="55">(K37*H37)</f>
        <v>3.685740896390359E-2</v>
      </c>
      <c r="M37" s="24">
        <f t="shared" ref="M37:M49" si="56">J37/B$65</f>
        <v>3.685740896390359E-2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1622.5</v>
      </c>
      <c r="AH37" s="123">
        <f>SUM(Z37,AB37,AD37,AF37)</f>
        <v>1</v>
      </c>
      <c r="AI37" s="112">
        <f>SUM(AA37,AC37,AE37,AG37)</f>
        <v>1622.5</v>
      </c>
      <c r="AJ37" s="148">
        <f>(AA37+AC37)</f>
        <v>0</v>
      </c>
      <c r="AK37" s="147">
        <f>(AE37+AG37)</f>
        <v>1622.5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486.75</v>
      </c>
      <c r="J38" s="38">
        <f t="shared" si="53"/>
        <v>486.75</v>
      </c>
      <c r="K38" s="40">
        <f t="shared" si="54"/>
        <v>7.4964221621498836E-2</v>
      </c>
      <c r="L38" s="22">
        <f t="shared" si="55"/>
        <v>4.4228890756684312E-2</v>
      </c>
      <c r="M38" s="24">
        <f t="shared" si="56"/>
        <v>1.1057222689171078E-2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486.75</v>
      </c>
      <c r="AH38" s="123">
        <f t="shared" ref="AH38:AI58" si="61">SUM(Z38,AB38,AD38,AF38)</f>
        <v>1</v>
      </c>
      <c r="AI38" s="112">
        <f t="shared" si="61"/>
        <v>486.75</v>
      </c>
      <c r="AJ38" s="148">
        <f t="shared" ref="AJ38:AJ64" si="62">(AA38+AC38)</f>
        <v>0</v>
      </c>
      <c r="AK38" s="147">
        <f t="shared" ref="AK38:AK64" si="63">(AE38+AG38)</f>
        <v>486.75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12.98</v>
      </c>
      <c r="K39" s="40">
        <f t="shared" si="54"/>
        <v>2.4988073873832942E-4</v>
      </c>
      <c r="L39" s="22">
        <f t="shared" si="55"/>
        <v>2.9485927171122867E-4</v>
      </c>
      <c r="M39" s="24">
        <f t="shared" si="56"/>
        <v>2.9485927171122873E-4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12.98</v>
      </c>
      <c r="AJ39" s="148">
        <f t="shared" si="62"/>
        <v>12.98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4.7704504668226524E-3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6.360600622430203E-3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3.1803003112151015E-3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44555.03</v>
      </c>
      <c r="J65" s="39">
        <f>SUM(J37:J64)</f>
        <v>44555.03</v>
      </c>
      <c r="K65" s="40">
        <f>SUM(K37:K64)</f>
        <v>1</v>
      </c>
      <c r="L65" s="22">
        <f>SUM(L37:L64)</f>
        <v>1.0596142750051112</v>
      </c>
      <c r="M65" s="24">
        <f>SUM(M37:M64)</f>
        <v>1.01213125553713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10621.18</v>
      </c>
      <c r="AB65" s="137"/>
      <c r="AC65" s="153">
        <f>SUM(AC37:AC64)</f>
        <v>10608.2</v>
      </c>
      <c r="AD65" s="137"/>
      <c r="AE65" s="153">
        <f>SUM(AE37:AE64)</f>
        <v>10608.2</v>
      </c>
      <c r="AF65" s="137"/>
      <c r="AG65" s="153">
        <f>SUM(AG37:AG64)</f>
        <v>12717.45</v>
      </c>
      <c r="AH65" s="137"/>
      <c r="AI65" s="153">
        <f>SUM(AI37:AI64)</f>
        <v>44555.03</v>
      </c>
      <c r="AJ65" s="153">
        <f>SUM(AJ37:AJ64)</f>
        <v>21229.379999999997</v>
      </c>
      <c r="AK65" s="153">
        <f>SUM(AK37:AK64)</f>
        <v>23325.65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21114.671407528203</v>
      </c>
      <c r="J74" s="51">
        <f t="shared" si="75"/>
        <v>14038.435577484976</v>
      </c>
      <c r="K74" s="40">
        <f>B74/B$76</f>
        <v>0.19490697621589695</v>
      </c>
      <c r="L74" s="22">
        <f t="shared" si="76"/>
        <v>0.16580467216357492</v>
      </c>
      <c r="M74" s="24">
        <f>J74/B$76</f>
        <v>0.31890315025749016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1724.4182333344784</v>
      </c>
      <c r="AB74" s="156"/>
      <c r="AC74" s="147">
        <f>AC30*$I$83/4</f>
        <v>4284.9882214207018</v>
      </c>
      <c r="AD74" s="156"/>
      <c r="AE74" s="147">
        <f>AE30*$I$83/4</f>
        <v>4193.9983992289954</v>
      </c>
      <c r="AF74" s="156"/>
      <c r="AG74" s="147">
        <f>AG30*$I$83/4</f>
        <v>3835.0307235008004</v>
      </c>
      <c r="AH74" s="155"/>
      <c r="AI74" s="147">
        <f>SUM(AA74,AC74,AE74,AG74)</f>
        <v>14038.435577484976</v>
      </c>
      <c r="AJ74" s="148">
        <f>(AA74+AC74)</f>
        <v>6009.4064547551807</v>
      </c>
      <c r="AK74" s="147">
        <f>(AE74+AG74)</f>
        <v>8029.0291227297957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6059.001746928825</v>
      </c>
      <c r="AB75" s="158"/>
      <c r="AC75" s="149">
        <f>AA75+AC65-SUM(AC70,AC74)</f>
        <v>6522.123877390175</v>
      </c>
      <c r="AD75" s="158"/>
      <c r="AE75" s="149">
        <f>AC75+AE65-SUM(AE70,AE74)</f>
        <v>7076.2358300432315</v>
      </c>
      <c r="AF75" s="158"/>
      <c r="AG75" s="149">
        <f>IF(SUM(AG6:AG29)+((AG65-AG70-$J$75)*4/I$83)&lt;1,0,AG65-AG70-$J$75-(1-SUM(AG6:AG29))*I$83/4)</f>
        <v>3022.3296283812515</v>
      </c>
      <c r="AH75" s="134"/>
      <c r="AI75" s="149">
        <f>AI76-SUM(AI70,AI74)</f>
        <v>7076.2358300432243</v>
      </c>
      <c r="AJ75" s="151">
        <f>AJ76-SUM(AJ70,AJ74)</f>
        <v>3499.7942490089226</v>
      </c>
      <c r="AK75" s="149">
        <f>AJ75+AK76-SUM(AK70,AK74)</f>
        <v>7076.2358300432315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44555.03</v>
      </c>
      <c r="J76" s="51">
        <f t="shared" si="75"/>
        <v>44555.03</v>
      </c>
      <c r="K76" s="40">
        <f>SUM(K70:K75)</f>
        <v>1.7796531946193184</v>
      </c>
      <c r="L76" s="22">
        <f>SUM(L70:L75)</f>
        <v>1.1359107259213679</v>
      </c>
      <c r="M76" s="24">
        <f>SUM(M70:M75)</f>
        <v>1.289009204015283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10621.18</v>
      </c>
      <c r="AB76" s="137"/>
      <c r="AC76" s="153">
        <f>AC65</f>
        <v>10608.2</v>
      </c>
      <c r="AD76" s="137"/>
      <c r="AE76" s="153">
        <f>AE65</f>
        <v>10608.2</v>
      </c>
      <c r="AF76" s="137"/>
      <c r="AG76" s="153">
        <f>AG65</f>
        <v>12717.45</v>
      </c>
      <c r="AH76" s="137"/>
      <c r="AI76" s="153">
        <f>SUM(AA76,AC76,AE76,AG76)</f>
        <v>44555.03</v>
      </c>
      <c r="AJ76" s="154">
        <f>SUM(AA76,AC76)</f>
        <v>21229.38</v>
      </c>
      <c r="AK76" s="154">
        <f>SUM(AE76,AG76)</f>
        <v>23325.65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19264.68</v>
      </c>
      <c r="J77" s="100">
        <f t="shared" si="75"/>
        <v>12188.444169956769</v>
      </c>
      <c r="K77" s="40"/>
      <c r="L77" s="22">
        <f>-(L131*G$37*F$9/F$7)/B$130</f>
        <v>-0.43762476999613831</v>
      </c>
      <c r="M77" s="24">
        <f>-J77/B$76</f>
        <v>-0.27687794847815289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3022.3296283812515</v>
      </c>
      <c r="AB78" s="112"/>
      <c r="AC78" s="112">
        <f>IF(AA75&lt;0,0,AA75)</f>
        <v>6059.001746928825</v>
      </c>
      <c r="AD78" s="112"/>
      <c r="AE78" s="112">
        <f>AC75</f>
        <v>6522.123877390175</v>
      </c>
      <c r="AF78" s="112"/>
      <c r="AG78" s="112">
        <f>AE75</f>
        <v>7076.2358300432315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7783.4199802633029</v>
      </c>
      <c r="AB79" s="112"/>
      <c r="AC79" s="112">
        <f>AA79-AA74+AC65-AC70</f>
        <v>10807.112098810878</v>
      </c>
      <c r="AD79" s="112"/>
      <c r="AE79" s="112">
        <f>AC79-AC74+AE65-AE70</f>
        <v>11270.234229272228</v>
      </c>
      <c r="AF79" s="112"/>
      <c r="AG79" s="112">
        <f>AE79-AE74+AG65-AG70</f>
        <v>13933.596181925284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0.3575757575757576</v>
      </c>
      <c r="I91" s="22">
        <f t="shared" ref="I91" si="82">(D91*H91)</f>
        <v>5.8720043426892743E-2</v>
      </c>
      <c r="J91" s="24">
        <f>IF(I$32&lt;=1+I$131,I91,L91+J$33*(I91-L91))</f>
        <v>5.8720043426892743E-2</v>
      </c>
      <c r="K91" s="22">
        <f t="shared" ref="K91" si="83">IF(B91="",0,B91)</f>
        <v>0.16421707060063223</v>
      </c>
      <c r="L91" s="22">
        <f t="shared" ref="L91" si="84">(K91*H91)</f>
        <v>5.8720043426892743E-2</v>
      </c>
      <c r="M91" s="227">
        <f t="shared" si="80"/>
        <v>5.8720043426892743E-2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0.3575757575757576</v>
      </c>
      <c r="I92" s="22">
        <f t="shared" ref="I92:I118" si="88">(D92*H92)</f>
        <v>1.7616013028067822E-2</v>
      </c>
      <c r="J92" s="24">
        <f t="shared" ref="J92:J118" si="89">IF(I$32&lt;=1+I$131,I92,L92+J$33*(I92-L92))</f>
        <v>1.7616013028067822E-2</v>
      </c>
      <c r="K92" s="22">
        <f t="shared" ref="K92:K118" si="90">IF(B92="",0,B92)</f>
        <v>0.19706048472075866</v>
      </c>
      <c r="L92" s="22">
        <f t="shared" ref="L92:L118" si="91">(K92*H92)</f>
        <v>7.0464052112271289E-2</v>
      </c>
      <c r="M92" s="227">
        <f t="shared" ref="M92:M118" si="92">(J92)</f>
        <v>1.7616013028067822E-2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0.7151515151515152</v>
      </c>
      <c r="I93" s="22">
        <f t="shared" si="88"/>
        <v>4.697603474151419E-4</v>
      </c>
      <c r="J93" s="24">
        <f t="shared" si="89"/>
        <v>4.697603474151419E-4</v>
      </c>
      <c r="K93" s="22">
        <f t="shared" si="90"/>
        <v>6.5686828240252889E-4</v>
      </c>
      <c r="L93" s="22">
        <f t="shared" si="91"/>
        <v>4.697603474151419E-4</v>
      </c>
      <c r="M93" s="227">
        <f t="shared" si="92"/>
        <v>4.697603474151419E-4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7.6001288873019882E-3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1.0133505183069314E-2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5.0667525915346571E-3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0.28606060606060607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1.6124950979886032</v>
      </c>
      <c r="J119" s="24">
        <f>SUM(J91:J118)</f>
        <v>1.6124950979886032</v>
      </c>
      <c r="K119" s="22">
        <f>SUM(K91:K118)</f>
        <v>2.6287271508765202</v>
      </c>
      <c r="L119" s="22">
        <f>SUM(L91:L118)</f>
        <v>1.6881435237347127</v>
      </c>
      <c r="M119" s="57">
        <f t="shared" si="80"/>
        <v>1.6124950979886032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0.76416297195354488</v>
      </c>
      <c r="J128" s="228">
        <f>(J30)</f>
        <v>0.5080662845951025</v>
      </c>
      <c r="K128" s="29">
        <f>(B128)</f>
        <v>0.51235726027397255</v>
      </c>
      <c r="L128" s="29">
        <f>IF(L124=L119,0,(L119-L124)/(B119-B124)*K128)</f>
        <v>0.26415469300519384</v>
      </c>
      <c r="M128" s="240">
        <f t="shared" si="93"/>
        <v>0.5080662845951025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1.6124950979886032</v>
      </c>
      <c r="J130" s="228">
        <f>(J119)</f>
        <v>1.6124950979886032</v>
      </c>
      <c r="K130" s="29">
        <f>(B130)</f>
        <v>2.6287271508765202</v>
      </c>
      <c r="L130" s="29">
        <f>(L119)</f>
        <v>1.6881435237347127</v>
      </c>
      <c r="M130" s="240">
        <f t="shared" si="93"/>
        <v>1.6124950979886032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0.44111307917788545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224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224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1590.2456055919881</v>
      </c>
      <c r="T7" s="222">
        <f>IF($B$81=0,0,(SUMIF($N$6:$N$28,$U7,M$6:M$28)+SUMIF($N$91:$N$118,$U7,M$91:M$118))*$I$83*Poor!$B$81/$B$81)</f>
        <v>5326.9452950210252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9490.5999999999985</v>
      </c>
      <c r="T8" s="222">
        <f>IF($B$81=0,0,(SUMIF($N$6:$N$28,$U8,M$6:M$28)+SUMIF($N$91:$N$118,$U8,M$91:M$118))*$I$83*Poor!$B$81/$B$81)</f>
        <v>7188.9999999999982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0.81642761531874108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7.619991076308251E-3</v>
      </c>
      <c r="AB8" s="125">
        <f>IF($Y8=0,0,AC8/$Y8)</f>
        <v>0.18357238468125889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1.7133422570250832E-3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0.81642761531874108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1.8505692613891466E-2</v>
      </c>
      <c r="AB9" s="125">
        <f>IF($Y9=0,0,AC9/$Y9)</f>
        <v>0.18357238468125892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4.1609740527752022E-3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0.3</v>
      </c>
      <c r="H10" s="24">
        <f t="shared" si="1"/>
        <v>0.3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0.10514794520547943</v>
      </c>
      <c r="L10" s="22">
        <f t="shared" si="5"/>
        <v>3.1544383561643831E-2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0.81642761531874108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0.51507411695865135</v>
      </c>
      <c r="AB10" s="125">
        <f>IF($Y10=0,0,AC10/$Y10)</f>
        <v>0.18357238468125894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0.11581355427422524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9097.7999999999993</v>
      </c>
      <c r="T11" s="222">
        <f>IF($B$81=0,0,(SUMIF($N$6:$N$28,$U11,M$6:M$28)+SUMIF($N$91:$N$118,$U11,M$91:M$118))*$I$83*Poor!$B$81/$B$81)</f>
        <v>9097.7999999999993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0.81642761531874108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3.2067975325800337E-2</v>
      </c>
      <c r="AB11" s="125">
        <f>IF($Y11=0,0,AC11/$Y11)</f>
        <v>0.18357238468125894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7.2104306517837211E-3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0.2</v>
      </c>
      <c r="H12" s="24">
        <f t="shared" si="1"/>
        <v>0.2</v>
      </c>
      <c r="I12" s="22">
        <f t="shared" si="2"/>
        <v>2.6068908260689083E-3</v>
      </c>
      <c r="J12" s="24">
        <f t="shared" si="3"/>
        <v>2.6068908260689083E-3</v>
      </c>
      <c r="K12" s="22">
        <f t="shared" si="4"/>
        <v>4.3448180434481802E-3</v>
      </c>
      <c r="L12" s="22">
        <f t="shared" si="5"/>
        <v>8.6896360868963607E-4</v>
      </c>
      <c r="M12" s="224">
        <f t="shared" si="6"/>
        <v>2.6068908260689083E-3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1.0427563304275633E-2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6.9864674138646748E-3</v>
      </c>
      <c r="AF12" s="122">
        <f>1-SUM(Z12,AB12,AD12)</f>
        <v>0.32999999999999996</v>
      </c>
      <c r="AG12" s="121">
        <f>$M12*AF12*4</f>
        <v>3.4410958904109584E-3</v>
      </c>
      <c r="AH12" s="123">
        <f t="shared" si="12"/>
        <v>1</v>
      </c>
      <c r="AI12" s="183">
        <f t="shared" si="13"/>
        <v>2.6068908260689083E-3</v>
      </c>
      <c r="AJ12" s="120">
        <f t="shared" si="14"/>
        <v>0</v>
      </c>
      <c r="AK12" s="119">
        <f t="shared" si="15"/>
        <v>5.2137816521378166E-3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0.2</v>
      </c>
      <c r="H13" s="24">
        <f t="shared" si="1"/>
        <v>0.2</v>
      </c>
      <c r="I13" s="22">
        <f t="shared" si="2"/>
        <v>1.3200498132004981E-2</v>
      </c>
      <c r="J13" s="24">
        <f t="shared" si="3"/>
        <v>1.3200498132004981E-2</v>
      </c>
      <c r="K13" s="22">
        <f t="shared" si="4"/>
        <v>3.3001245330012453E-2</v>
      </c>
      <c r="L13" s="22">
        <f t="shared" si="5"/>
        <v>6.6002490660024907E-3</v>
      </c>
      <c r="M13" s="225">
        <f t="shared" si="6"/>
        <v>1.3200498132004981E-2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5.2801992528019925E-2</v>
      </c>
      <c r="Z13" s="156">
        <f>Poor!Z13</f>
        <v>1</v>
      </c>
      <c r="AA13" s="121">
        <f>$M13*Z13*4</f>
        <v>5.2801992528019925E-2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1.3200498132004981E-2</v>
      </c>
      <c r="AJ13" s="120">
        <f t="shared" si="14"/>
        <v>2.6400996264009963E-2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3.5976200359762E-3</v>
      </c>
      <c r="L14" s="22">
        <f t="shared" si="5"/>
        <v>7.195240071952401E-4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708</v>
      </c>
      <c r="T14" s="222">
        <f>IF($B$81=0,0,(SUMIF($N$6:$N$28,$U14,M$6:M$28)+SUMIF($N$91:$N$118,$U14,M$91:M$118))*$I$83*Poor!$B$81/$B$81)</f>
        <v>708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57784.435352905253</v>
      </c>
      <c r="T23" s="179">
        <f>SUM(T7:T22)</f>
        <v>59219.53504233429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0.93248664552961602</v>
      </c>
      <c r="J30" s="231">
        <f>IF(I$32&lt;=1,I30,1-SUM(J6:J29))</f>
        <v>0.41296247872821445</v>
      </c>
      <c r="K30" s="22">
        <f t="shared" si="4"/>
        <v>0.68973576089663757</v>
      </c>
      <c r="L30" s="22">
        <f>IF(L124=L119,0,IF(K30="",0,(L119-L124)/(B119-B124)*K30))</f>
        <v>0.19315691116768152</v>
      </c>
      <c r="M30" s="175">
        <f t="shared" si="6"/>
        <v>0.41296247872821445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1.6518499149128578</v>
      </c>
      <c r="Z30" s="122">
        <f>IF($Y30=0,0,AA30/($Y$30))</f>
        <v>6.7210889718375263E-17</v>
      </c>
      <c r="AA30" s="187">
        <f>IF(AA79*4/$I$84+SUM(AA6:AA29)&lt;1,AA79*4/$I$84,1-SUM(AA6:AA29))</f>
        <v>1.1102230246251565E-16</v>
      </c>
      <c r="AB30" s="122">
        <f>IF($Y30=0,0,AC30/($Y$30))</f>
        <v>0.29749390109404972</v>
      </c>
      <c r="AC30" s="187">
        <f>IF(AC79*4/$I$84+SUM(AC6:AC29)&lt;1,AC79*4/$I$84,1-SUM(AC6:AC29))</f>
        <v>0.49141527520930017</v>
      </c>
      <c r="AD30" s="122">
        <f>IF($Y30=0,0,AE30/($Y$30))</f>
        <v>0.36508525884936738</v>
      </c>
      <c r="AE30" s="187">
        <f>IF(AE79*4/$I$84+SUM(AE6:AE29)&lt;1,AE79*4/$I$84,1-SUM(AE6:AE29))</f>
        <v>0.60306605376626621</v>
      </c>
      <c r="AF30" s="122">
        <f>IF($Y30=0,0,AG30/($Y$30))</f>
        <v>0.3374208400565829</v>
      </c>
      <c r="AG30" s="187">
        <f>IF(AG79*4/$I$84+SUM(AG6:AG29)&lt;1,AG79*4/$I$84,1-SUM(AG6:AG29))</f>
        <v>0.55736858593729144</v>
      </c>
      <c r="AH30" s="123">
        <f t="shared" si="12"/>
        <v>1</v>
      </c>
      <c r="AI30" s="183">
        <f t="shared" si="13"/>
        <v>0.41296247872821445</v>
      </c>
      <c r="AJ30" s="120">
        <f t="shared" si="14"/>
        <v>0.24570763760465014</v>
      </c>
      <c r="AK30" s="119">
        <f t="shared" si="15"/>
        <v>0.58021731985177882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0.37665948762125145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6344.7501042630975</v>
      </c>
      <c r="T31" s="234">
        <f>IF(T25&gt;T$23,T25-T$23,0)</f>
        <v>4909.6504148340609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1.5195241668014017</v>
      </c>
      <c r="J32" s="17"/>
      <c r="L32" s="22">
        <f>SUM(L6:L30)</f>
        <v>0.62334051237874855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43174.910104263101</v>
      </c>
      <c r="T32" s="234">
        <f t="shared" si="24"/>
        <v>41739.810414834064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0.69515297287211153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4909.6504148340582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5309.9999999999991</v>
      </c>
      <c r="K37" s="40">
        <f>(B37/B$65)</f>
        <v>0.11615151319610247</v>
      </c>
      <c r="L37" s="22">
        <f t="shared" ref="L37" si="28">(K37*H37)</f>
        <v>6.8529392785700458E-2</v>
      </c>
      <c r="M37" s="24">
        <f>J37/B$65</f>
        <v>6.8529392785700444E-2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0.20294668576820657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1077.6469014291768</v>
      </c>
      <c r="AD37" s="122">
        <f>IF($J37=0,0,AE37/($J37))</f>
        <v>0.5591635762680508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2969.1585899833494</v>
      </c>
      <c r="AF37" s="122">
        <f t="shared" ref="AF37:AF64" si="29">1-SUM(Z37,AB37,AD37)</f>
        <v>0.23788973796374258</v>
      </c>
      <c r="AG37" s="147">
        <f>$J37*AF37</f>
        <v>1263.1945085874729</v>
      </c>
      <c r="AH37" s="123">
        <f>SUM(Z37,AB37,AD37,AF37)</f>
        <v>1</v>
      </c>
      <c r="AI37" s="112">
        <f>SUM(AA37,AC37,AE37,AG37)</f>
        <v>5309.9999999999991</v>
      </c>
      <c r="AJ37" s="148">
        <f>(AA37+AC37)</f>
        <v>1077.6469014291768</v>
      </c>
      <c r="AK37" s="147">
        <f>(AE37+AG37)</f>
        <v>4232.3530985708221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2548.7999999999997</v>
      </c>
      <c r="J38" s="38">
        <f t="shared" ref="J38:J64" si="32">J92*I$83</f>
        <v>2548.7999999999997</v>
      </c>
      <c r="K38" s="40">
        <f t="shared" ref="K38:K64" si="33">(B38/B$65)</f>
        <v>5.5752726334129185E-2</v>
      </c>
      <c r="L38" s="22">
        <f t="shared" ref="L38:L64" si="34">(K38*H38)</f>
        <v>3.2894108537136216E-2</v>
      </c>
      <c r="M38" s="24">
        <f t="shared" ref="M38:M64" si="35">J38/B$65</f>
        <v>3.2894108537136216E-2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0.20294668576820657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517.27051268600485</v>
      </c>
      <c r="AD38" s="122">
        <f>IF($J38=0,0,AE38/($J38))</f>
        <v>0.55916357626805091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1425.1961231920079</v>
      </c>
      <c r="AF38" s="122">
        <f t="shared" si="29"/>
        <v>0.23788973796374258</v>
      </c>
      <c r="AG38" s="147">
        <f t="shared" ref="AG38:AG64" si="36">$J38*AF38</f>
        <v>606.33336412198696</v>
      </c>
      <c r="AH38" s="123">
        <f t="shared" ref="AH38:AI58" si="37">SUM(Z38,AB38,AD38,AF38)</f>
        <v>1</v>
      </c>
      <c r="AI38" s="112">
        <f t="shared" si="37"/>
        <v>2548.7999999999997</v>
      </c>
      <c r="AJ38" s="148">
        <f t="shared" ref="AJ38:AJ64" si="38">(AA38+AC38)</f>
        <v>517.27051268600485</v>
      </c>
      <c r="AK38" s="147">
        <f t="shared" ref="AK38:AK64" si="39">(AE38+AG38)</f>
        <v>2031.5294873139949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1239</v>
      </c>
      <c r="J39" s="38">
        <f t="shared" si="32"/>
        <v>1239</v>
      </c>
      <c r="K39" s="40">
        <f t="shared" si="33"/>
        <v>1.3551009872878621E-2</v>
      </c>
      <c r="L39" s="22">
        <f t="shared" si="34"/>
        <v>1.5990191649996773E-2</v>
      </c>
      <c r="M39" s="24">
        <f t="shared" si="35"/>
        <v>1.5990191649996773E-2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0.81642761531874108</v>
      </c>
      <c r="AA39" s="147">
        <f t="shared" ref="AA39:AA64" si="40">$J39*Z39</f>
        <v>1011.5538153799203</v>
      </c>
      <c r="AB39" s="122">
        <f>AB8</f>
        <v>0.18357238468125889</v>
      </c>
      <c r="AC39" s="147">
        <f t="shared" ref="AC39:AC64" si="41">$J39*AB39</f>
        <v>227.44618462007975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1239</v>
      </c>
      <c r="AJ39" s="148">
        <f t="shared" si="38"/>
        <v>1239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7188.9999999999991</v>
      </c>
      <c r="J40" s="38">
        <f t="shared" si="32"/>
        <v>7188.9999999999982</v>
      </c>
      <c r="K40" s="40">
        <f t="shared" si="33"/>
        <v>0.33135445570110345</v>
      </c>
      <c r="L40" s="22">
        <f t="shared" si="34"/>
        <v>9.2779247596308956E-2</v>
      </c>
      <c r="M40" s="24">
        <f t="shared" si="35"/>
        <v>9.2779247596308942E-2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0.81642761531874108</v>
      </c>
      <c r="AA40" s="147">
        <f t="shared" si="40"/>
        <v>5869.298126526428</v>
      </c>
      <c r="AB40" s="122">
        <f>AB9</f>
        <v>0.18357238468125892</v>
      </c>
      <c r="AC40" s="147">
        <f t="shared" si="41"/>
        <v>1319.70187347357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7188.9999999999982</v>
      </c>
      <c r="AJ40" s="148">
        <f t="shared" si="38"/>
        <v>7188.9999999999982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5.1622894753823319E-2</v>
      </c>
      <c r="L41" s="22">
        <f t="shared" si="34"/>
        <v>2.1681615796605793E-2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0.81642761531874108</v>
      </c>
      <c r="AA41" s="147">
        <f t="shared" si="40"/>
        <v>0</v>
      </c>
      <c r="AB41" s="122">
        <f>AB11</f>
        <v>0.18357238468125894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9.2921210556881975E-3</v>
      </c>
      <c r="L43" s="22">
        <f t="shared" si="34"/>
        <v>2.6017938955926949E-3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1.290572368845583E-2</v>
      </c>
      <c r="L44" s="22">
        <f t="shared" si="34"/>
        <v>3.6136026327676317E-3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6.4528618442279148E-3</v>
      </c>
      <c r="L45" s="22">
        <f t="shared" si="34"/>
        <v>1.8068013163838159E-3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708</v>
      </c>
      <c r="J46" s="38">
        <f t="shared" si="32"/>
        <v>708</v>
      </c>
      <c r="K46" s="40">
        <f t="shared" si="33"/>
        <v>1.9358585532683745E-2</v>
      </c>
      <c r="L46" s="22">
        <f t="shared" si="34"/>
        <v>9.1372523714267281E-3</v>
      </c>
      <c r="M46" s="24">
        <f t="shared" si="35"/>
        <v>9.1372523714267281E-3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177</v>
      </c>
      <c r="AB46" s="156">
        <f>Poor!AB46</f>
        <v>0.25</v>
      </c>
      <c r="AC46" s="147">
        <f t="shared" si="41"/>
        <v>177</v>
      </c>
      <c r="AD46" s="156">
        <f>Poor!AD46</f>
        <v>0.25</v>
      </c>
      <c r="AE46" s="147">
        <f t="shared" si="42"/>
        <v>177</v>
      </c>
      <c r="AF46" s="122">
        <f t="shared" si="29"/>
        <v>0.25</v>
      </c>
      <c r="AG46" s="147">
        <f t="shared" si="36"/>
        <v>177</v>
      </c>
      <c r="AH46" s="123">
        <f t="shared" si="37"/>
        <v>1</v>
      </c>
      <c r="AI46" s="112">
        <f t="shared" si="37"/>
        <v>708</v>
      </c>
      <c r="AJ46" s="148">
        <f t="shared" si="38"/>
        <v>354</v>
      </c>
      <c r="AK46" s="147">
        <f t="shared" si="39"/>
        <v>354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49206</v>
      </c>
      <c r="J65" s="39">
        <f>SUM(J37:J64)</f>
        <v>49205.999999999993</v>
      </c>
      <c r="K65" s="40">
        <f>SUM(K37:K64)</f>
        <v>1</v>
      </c>
      <c r="L65" s="22">
        <f>SUM(L37:L64)</f>
        <v>0.66474285345550754</v>
      </c>
      <c r="M65" s="24">
        <f>SUM(M37:M64)</f>
        <v>0.63503903981415766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15110.651941906348</v>
      </c>
      <c r="AB65" s="137"/>
      <c r="AC65" s="153">
        <f>SUM(AC37:AC64)</f>
        <v>11371.86547220883</v>
      </c>
      <c r="AD65" s="137"/>
      <c r="AE65" s="153">
        <f>SUM(AE37:AE64)</f>
        <v>12624.154713175358</v>
      </c>
      <c r="AF65" s="137"/>
      <c r="AG65" s="153">
        <f>SUM(AG37:AG64)</f>
        <v>10099.32787270946</v>
      </c>
      <c r="AH65" s="137"/>
      <c r="AI65" s="153">
        <f>SUM(AI37:AI64)</f>
        <v>49205.999999999993</v>
      </c>
      <c r="AJ65" s="153">
        <f>SUM(AJ37:AJ64)</f>
        <v>26482.51741411518</v>
      </c>
      <c r="AK65" s="153">
        <f>SUM(AK37:AK64)</f>
        <v>22723.482585884816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0.40281344776408334</v>
      </c>
      <c r="L72" s="22">
        <f t="shared" si="45"/>
        <v>4.4723772073995624E-2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25765.641407528205</v>
      </c>
      <c r="J74" s="51">
        <f t="shared" si="44"/>
        <v>11410.611822362265</v>
      </c>
      <c r="K74" s="40">
        <f>B74/B$76</f>
        <v>0.14906630941568857</v>
      </c>
      <c r="L74" s="22">
        <f t="shared" si="45"/>
        <v>6.8879653202228316E-2</v>
      </c>
      <c r="M74" s="24">
        <f>J74/B$76</f>
        <v>0.14726220329563483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5511.7758240908834</v>
      </c>
      <c r="AD74" s="156"/>
      <c r="AE74" s="147">
        <f>AE30*$I$84/4</f>
        <v>6764.065065057408</v>
      </c>
      <c r="AF74" s="156"/>
      <c r="AG74" s="147">
        <f>AG30*$I$84/4</f>
        <v>6251.5164913594544</v>
      </c>
      <c r="AH74" s="155"/>
      <c r="AI74" s="147">
        <f>SUM(AA74,AC74,AE74,AG74)</f>
        <v>18527.357380507747</v>
      </c>
      <c r="AJ74" s="148">
        <f>(AA74+AC74)</f>
        <v>5511.7758240908843</v>
      </c>
      <c r="AK74" s="147">
        <f>(AE74+AG74)</f>
        <v>13015.581556416862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9639.6222917188588</v>
      </c>
      <c r="AB75" s="158"/>
      <c r="AC75" s="149">
        <f>AA75+AC65-SUM(AC70,AC74)</f>
        <v>9639.622291718857</v>
      </c>
      <c r="AD75" s="158"/>
      <c r="AE75" s="149">
        <f>AC75+AE65-SUM(AE70,AE74)</f>
        <v>9639.622291718857</v>
      </c>
      <c r="AF75" s="158"/>
      <c r="AG75" s="149">
        <f>IF(SUM(AG6:AG29)+((AG65-AG70-$J$75)*4/I$83)&lt;1,0,AG65-AG70-$J$75-(1-SUM(AG6:AG29))*I$83/4)</f>
        <v>389.05999793045976</v>
      </c>
      <c r="AH75" s="134"/>
      <c r="AI75" s="149">
        <f>AI76-SUM(AI70,AI74)</f>
        <v>7238.2840270204615</v>
      </c>
      <c r="AJ75" s="151">
        <f>AJ76-SUM(AJ70,AJ74)</f>
        <v>9250.5622937883963</v>
      </c>
      <c r="AK75" s="149">
        <f>AJ75+AK76-SUM(AK70,AK74)</f>
        <v>7238.2840270204542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49206</v>
      </c>
      <c r="J76" s="51">
        <f t="shared" si="44"/>
        <v>49206</v>
      </c>
      <c r="K76" s="40">
        <f>SUM(K70:K75)</f>
        <v>1.0531008100330597</v>
      </c>
      <c r="L76" s="22">
        <f>SUM(L70:L75)</f>
        <v>0.66474285345550754</v>
      </c>
      <c r="M76" s="24">
        <f>SUM(M70:M75)</f>
        <v>0.69840163147491841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15110.651941906348</v>
      </c>
      <c r="AB76" s="137"/>
      <c r="AC76" s="153">
        <f>AC65</f>
        <v>11371.86547220883</v>
      </c>
      <c r="AD76" s="137"/>
      <c r="AE76" s="153">
        <f>AE65</f>
        <v>12624.154713175358</v>
      </c>
      <c r="AF76" s="137"/>
      <c r="AG76" s="153">
        <f>AG65</f>
        <v>10099.32787270946</v>
      </c>
      <c r="AH76" s="137"/>
      <c r="AI76" s="153">
        <f>SUM(AA76,AC76,AE76,AG76)</f>
        <v>49206</v>
      </c>
      <c r="AJ76" s="154">
        <f>SUM(AA76,AC76)</f>
        <v>26482.51741411518</v>
      </c>
      <c r="AK76" s="154">
        <f>SUM(AE76,AG76)</f>
        <v>22723.48258588482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4909.6504148340582</v>
      </c>
      <c r="K77" s="40"/>
      <c r="L77" s="22">
        <f>-(L131*G$37*F$9/F$7)/B$130</f>
        <v>-0.20390086495252557</v>
      </c>
      <c r="M77" s="24">
        <f>-J77/B$76</f>
        <v>-6.33625916607609E-2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389.05999793045976</v>
      </c>
      <c r="AB78" s="112"/>
      <c r="AC78" s="112">
        <f>IF(AA75&lt;0,0,AA75)</f>
        <v>9639.6222917188588</v>
      </c>
      <c r="AD78" s="112"/>
      <c r="AE78" s="112">
        <f>AC75</f>
        <v>9639.622291718857</v>
      </c>
      <c r="AF78" s="112"/>
      <c r="AG78" s="112">
        <f>AE75</f>
        <v>9639.622291718857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9639.6222917188607</v>
      </c>
      <c r="AB79" s="112"/>
      <c r="AC79" s="112">
        <f>AA79-AA74+AC65-AC70</f>
        <v>15151.398115809741</v>
      </c>
      <c r="AD79" s="112"/>
      <c r="AE79" s="112">
        <f>AC79-AC74+AE65-AE70</f>
        <v>16403.687356776267</v>
      </c>
      <c r="AF79" s="112"/>
      <c r="AG79" s="112">
        <f>AE79-AE74+AG65-AG70</f>
        <v>13878.860516310371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0.3575757575757576</v>
      </c>
      <c r="I91" s="22">
        <f t="shared" ref="I91" si="52">(D91*H91)</f>
        <v>0.19217468757892167</v>
      </c>
      <c r="J91" s="24">
        <f>IF(I$32&lt;=1+I$131,I91,L91+J$33*(I91-L91))</f>
        <v>0.19217468757892167</v>
      </c>
      <c r="K91" s="22">
        <f t="shared" ref="K91" si="53">(B91)</f>
        <v>0.53743768560206906</v>
      </c>
      <c r="L91" s="22">
        <f t="shared" ref="L91" si="54">(K91*H91)</f>
        <v>0.19217468757892167</v>
      </c>
      <c r="M91" s="227">
        <f t="shared" si="49"/>
        <v>0.19217468757892167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0.3575757575757576</v>
      </c>
      <c r="I92" s="22">
        <f t="shared" ref="I92:I118" si="58">(D92*H92)</f>
        <v>9.2243850037882408E-2</v>
      </c>
      <c r="J92" s="24">
        <f t="shared" ref="J92:J118" si="59">IF(I$32&lt;=1+I$131,I92,L92+J$33*(I92-L92))</f>
        <v>9.2243850037882408E-2</v>
      </c>
      <c r="K92" s="22">
        <f t="shared" ref="K92:K118" si="60">(B92)</f>
        <v>0.25797008908899316</v>
      </c>
      <c r="L92" s="22">
        <f t="shared" ref="L92:L118" si="61">(K92*H92)</f>
        <v>9.2243850037882408E-2</v>
      </c>
      <c r="M92" s="227">
        <f t="shared" ref="M92:M118" si="62">(J92)</f>
        <v>9.2243850037882408E-2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0.7151515151515152</v>
      </c>
      <c r="I93" s="22">
        <f t="shared" si="58"/>
        <v>4.4840760435081728E-2</v>
      </c>
      <c r="J93" s="24">
        <f t="shared" si="59"/>
        <v>4.4840760435081728E-2</v>
      </c>
      <c r="K93" s="22">
        <f t="shared" si="60"/>
        <v>6.270106332024139E-2</v>
      </c>
      <c r="L93" s="22">
        <f t="shared" si="61"/>
        <v>4.4840760435081728E-2</v>
      </c>
      <c r="M93" s="227">
        <f t="shared" si="62"/>
        <v>4.4840760435081728E-2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0.16969696969696968</v>
      </c>
      <c r="I94" s="22">
        <f t="shared" si="58"/>
        <v>0.26017774557530465</v>
      </c>
      <c r="J94" s="24">
        <f t="shared" si="59"/>
        <v>0.26017774557530465</v>
      </c>
      <c r="K94" s="22">
        <f t="shared" si="60"/>
        <v>1.5331902864259026</v>
      </c>
      <c r="L94" s="22">
        <f t="shared" si="61"/>
        <v>0.26017774557530465</v>
      </c>
      <c r="M94" s="227">
        <f t="shared" si="62"/>
        <v>0.26017774557530465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0.23886119360091959</v>
      </c>
      <c r="L95" s="22">
        <f t="shared" si="61"/>
        <v>6.0801031098415906E-2</v>
      </c>
      <c r="M95" s="227">
        <f t="shared" si="6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4.2995014848165529E-2</v>
      </c>
      <c r="L97" s="22">
        <f t="shared" si="61"/>
        <v>7.2961237318099068E-3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5.9715298400229898E-2</v>
      </c>
      <c r="L98" s="22">
        <f t="shared" si="61"/>
        <v>1.0133505183069314E-2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2.9857649200114949E-2</v>
      </c>
      <c r="L99" s="22">
        <f t="shared" si="61"/>
        <v>5.0667525915346571E-3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0.28606060606060607</v>
      </c>
      <c r="I100" s="22">
        <f t="shared" si="58"/>
        <v>2.5623291677189557E-2</v>
      </c>
      <c r="J100" s="24">
        <f t="shared" si="59"/>
        <v>2.5623291677189557E-2</v>
      </c>
      <c r="K100" s="22">
        <f t="shared" si="60"/>
        <v>8.9572947600344843E-2</v>
      </c>
      <c r="L100" s="22">
        <f t="shared" si="61"/>
        <v>2.5623291677189557E-2</v>
      </c>
      <c r="M100" s="227">
        <f t="shared" si="62"/>
        <v>2.5623291677189557E-2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1.7808187715646744</v>
      </c>
      <c r="J119" s="24">
        <f>SUM(J91:J118)</f>
        <v>1.7808187715646744</v>
      </c>
      <c r="K119" s="22">
        <f>SUM(K91:K118)</f>
        <v>4.627039896541814</v>
      </c>
      <c r="L119" s="22">
        <f>SUM(L91:L118)</f>
        <v>1.8641161841695042</v>
      </c>
      <c r="M119" s="57">
        <f t="shared" si="49"/>
        <v>1.7808187715646744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0.1254173804304366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0.93248664552961602</v>
      </c>
      <c r="J128" s="228">
        <f>(J30)</f>
        <v>0.41296247872821445</v>
      </c>
      <c r="K128" s="22">
        <f>(B128)</f>
        <v>0.68973576089663757</v>
      </c>
      <c r="L128" s="22">
        <f>IF(L124=L119,0,(L119-L124)/(B119-B124)*K128)</f>
        <v>0.19315691116768152</v>
      </c>
      <c r="M128" s="57">
        <f t="shared" si="63"/>
        <v>0.41296247872821445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1.7808187715646744</v>
      </c>
      <c r="J130" s="228">
        <f>(J119)</f>
        <v>1.7808187715646744</v>
      </c>
      <c r="K130" s="22">
        <f>(B130)</f>
        <v>4.627039896541814</v>
      </c>
      <c r="L130" s="22">
        <f>(L119)</f>
        <v>1.8641161841695042</v>
      </c>
      <c r="M130" s="57">
        <f t="shared" si="63"/>
        <v>1.7808187715646744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0.17768559973492626</v>
      </c>
      <c r="K131" s="29"/>
      <c r="L131" s="29">
        <f>IF(I131&lt;SUM(L126:L127),0,I131-(SUM(L126:L127)))</f>
        <v>0.57179238610589112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2.5026948941469493E-2</v>
      </c>
      <c r="J6" s="24">
        <f t="shared" ref="J6:J13" si="3">IF(I$32&lt;=1+I$131,I6,B6*H6+J$33*(I6-B6*H6))</f>
        <v>2.5026948941469493E-2</v>
      </c>
      <c r="K6" s="22">
        <f t="shared" ref="K6:K31" si="4">B6</f>
        <v>0.12513474470734745</v>
      </c>
      <c r="L6" s="22">
        <f t="shared" ref="L6:L29" si="5">IF(K6="","",K6*H6)</f>
        <v>2.5026948941469493E-2</v>
      </c>
      <c r="M6" s="177">
        <f t="shared" ref="M6:M31" si="6">J6</f>
        <v>2.5026948941469493E-2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0.10010779576587797</v>
      </c>
      <c r="Z6" s="156">
        <f>Poor!Z6</f>
        <v>0.17</v>
      </c>
      <c r="AA6" s="121">
        <f>$M6*Z6*4</f>
        <v>1.7018325280199257E-2</v>
      </c>
      <c r="AB6" s="156">
        <f>Poor!AB6</f>
        <v>0.17</v>
      </c>
      <c r="AC6" s="121">
        <f t="shared" ref="AC6:AC29" si="7">$M6*AB6*4</f>
        <v>1.7018325280199257E-2</v>
      </c>
      <c r="AD6" s="156">
        <f>Poor!AD6</f>
        <v>0.33</v>
      </c>
      <c r="AE6" s="121">
        <f t="shared" ref="AE6:AE29" si="8">$M6*AD6*4</f>
        <v>3.3035572602739732E-2</v>
      </c>
      <c r="AF6" s="122">
        <f>1-SUM(Z6,AB6,AD6)</f>
        <v>0.32999999999999996</v>
      </c>
      <c r="AG6" s="121">
        <f>$M6*AF6*4</f>
        <v>3.3035572602739725E-2</v>
      </c>
      <c r="AH6" s="123">
        <f>SUM(Z6,AB6,AD6,AF6)</f>
        <v>1</v>
      </c>
      <c r="AI6" s="183">
        <f>SUM(AA6,AC6,AE6,AG6)/4</f>
        <v>2.5026948941469493E-2</v>
      </c>
      <c r="AJ6" s="120">
        <f>(AA6+AC6)/2</f>
        <v>1.7018325280199257E-2</v>
      </c>
      <c r="AK6" s="119">
        <f>(AE6+AG6)/2</f>
        <v>3.3035572602739732E-2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1.2310709838107101E-2</v>
      </c>
      <c r="J7" s="24">
        <f t="shared" si="3"/>
        <v>1.2310709838107101E-2</v>
      </c>
      <c r="K7" s="22">
        <f t="shared" si="4"/>
        <v>6.1553549190535496E-2</v>
      </c>
      <c r="L7" s="22">
        <f t="shared" si="5"/>
        <v>1.2310709838107101E-2</v>
      </c>
      <c r="M7" s="177">
        <f t="shared" si="6"/>
        <v>1.2310709838107101E-2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1856.1161945004123</v>
      </c>
      <c r="T7" s="222">
        <f>IF($B$81=0,0,(SUMIF($N$6:$N$28,$U7,M$6:M$28)+SUMIF($N$91:$N$118,$U7,M$91:M$118))*$I$83*Poor!$B$81/$B$81)</f>
        <v>3095.4739976624778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4.9242839352428402E-2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4.9242839352428402E-2</v>
      </c>
      <c r="AH7" s="123">
        <f t="shared" ref="AH7:AH30" si="12">SUM(Z7,AB7,AD7,AF7)</f>
        <v>1</v>
      </c>
      <c r="AI7" s="183">
        <f t="shared" ref="AI7:AI30" si="13">SUM(AA7,AC7,AE7,AG7)/4</f>
        <v>1.2310709838107101E-2</v>
      </c>
      <c r="AJ7" s="120">
        <f t="shared" ref="AJ7:AJ31" si="14">(AA7+AC7)/2</f>
        <v>0</v>
      </c>
      <c r="AK7" s="119">
        <f t="shared" ref="AK7:AK31" si="15">(AE7+AG7)/2</f>
        <v>2.4621419676214201E-2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2.3333333333333335E-3</v>
      </c>
      <c r="J8" s="24">
        <f t="shared" si="3"/>
        <v>2.3333333333333335E-3</v>
      </c>
      <c r="K8" s="22">
        <f t="shared" si="4"/>
        <v>1.1666666666666667E-2</v>
      </c>
      <c r="L8" s="22">
        <f t="shared" si="5"/>
        <v>2.3333333333333335E-3</v>
      </c>
      <c r="M8" s="224">
        <f t="shared" si="6"/>
        <v>2.3333333333333335E-3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13089.999999999998</v>
      </c>
      <c r="T8" s="222">
        <f>IF($B$81=0,0,(SUMIF($N$6:$N$28,$U8,M$6:M$28)+SUMIF($N$91:$N$118,$U8,M$91:M$118))*$I$83*Poor!$B$81/$B$81)</f>
        <v>12065.718316656277</v>
      </c>
      <c r="U8" s="223">
        <v>2</v>
      </c>
      <c r="V8" s="56"/>
      <c r="W8" s="115"/>
      <c r="X8" s="118">
        <f>Poor!X8</f>
        <v>1</v>
      </c>
      <c r="Y8" s="183">
        <f t="shared" si="9"/>
        <v>9.3333333333333341E-3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9.3333333333333341E-3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2.3333333333333335E-3</v>
      </c>
      <c r="AJ8" s="120">
        <f t="shared" si="14"/>
        <v>4.6666666666666671E-3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4">
        <f t="shared" si="6"/>
        <v>5.6666666666666671E-3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1031.6809701492539</v>
      </c>
      <c r="T9" s="222">
        <f>IF($B$81=0,0,(SUMIF($N$6:$N$28,$U9,M$6:M$28)+SUMIF($N$91:$N$118,$U9,M$91:M$118))*$I$83*Poor!$B$81/$B$81)</f>
        <v>1031.6809701492539</v>
      </c>
      <c r="U9" s="223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0.3</v>
      </c>
      <c r="H10" s="24">
        <f t="shared" si="1"/>
        <v>0.3</v>
      </c>
      <c r="I10" s="22">
        <f t="shared" si="2"/>
        <v>0.18926630136986297</v>
      </c>
      <c r="J10" s="24">
        <f t="shared" si="3"/>
        <v>7.592140082721037E-2</v>
      </c>
      <c r="K10" s="22">
        <f t="shared" si="4"/>
        <v>0.12617753424657532</v>
      </c>
      <c r="L10" s="22">
        <f t="shared" si="5"/>
        <v>3.7853260273972594E-2</v>
      </c>
      <c r="M10" s="224">
        <f t="shared" si="6"/>
        <v>7.592140082721037E-2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0.30368560330884148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0.30368560330884148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7.592140082721037E-2</v>
      </c>
      <c r="AJ10" s="120">
        <f t="shared" si="14"/>
        <v>0.15184280165442074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4">
        <f t="shared" si="6"/>
        <v>9.8196014943960144E-3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13540.5</v>
      </c>
      <c r="T11" s="222">
        <f>IF($B$81=0,0,(SUMIF($N$6:$N$28,$U11,M$6:M$28)+SUMIF($N$91:$N$118,$U11,M$91:M$118))*$I$83*Poor!$B$81/$B$81)</f>
        <v>13837.174616186938</v>
      </c>
      <c r="U11" s="223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0.2</v>
      </c>
      <c r="H12" s="24">
        <f t="shared" si="1"/>
        <v>0.2</v>
      </c>
      <c r="I12" s="22">
        <f t="shared" si="2"/>
        <v>1.086204510862045E-2</v>
      </c>
      <c r="J12" s="24">
        <f t="shared" si="3"/>
        <v>4.3571500817954096E-3</v>
      </c>
      <c r="K12" s="22">
        <f t="shared" si="4"/>
        <v>1.086204510862045E-2</v>
      </c>
      <c r="L12" s="22">
        <f t="shared" si="5"/>
        <v>2.1724090217240901E-3</v>
      </c>
      <c r="M12" s="224">
        <f t="shared" si="6"/>
        <v>4.3571500817954096E-3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1.7428600327181638E-2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1.1677162219211699E-2</v>
      </c>
      <c r="AF12" s="122">
        <f>1-SUM(Z12,AB12,AD12)</f>
        <v>0.32999999999999996</v>
      </c>
      <c r="AG12" s="121">
        <f>$M12*AF12*4</f>
        <v>5.7514381079699396E-3</v>
      </c>
      <c r="AH12" s="123">
        <f t="shared" si="12"/>
        <v>1</v>
      </c>
      <c r="AI12" s="183">
        <f t="shared" si="13"/>
        <v>4.3571500817954096E-3</v>
      </c>
      <c r="AJ12" s="120">
        <f t="shared" si="14"/>
        <v>0</v>
      </c>
      <c r="AK12" s="119">
        <f t="shared" si="15"/>
        <v>8.7143001635908192E-3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0.2</v>
      </c>
      <c r="H13" s="24">
        <f t="shared" si="1"/>
        <v>0.2</v>
      </c>
      <c r="I13" s="22">
        <f t="shared" si="2"/>
        <v>2.4750933997509342E-2</v>
      </c>
      <c r="J13" s="24">
        <f t="shared" si="3"/>
        <v>1.2398884125711791E-2</v>
      </c>
      <c r="K13" s="22">
        <f t="shared" si="4"/>
        <v>4.1251556662515572E-2</v>
      </c>
      <c r="L13" s="22">
        <f t="shared" si="5"/>
        <v>8.2503113325031151E-3</v>
      </c>
      <c r="M13" s="225">
        <f t="shared" si="6"/>
        <v>1.2398884125711791E-2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4.9595536502847162E-2</v>
      </c>
      <c r="Z13" s="156">
        <f>Poor!Z13</f>
        <v>1</v>
      </c>
      <c r="AA13" s="121">
        <f>$M13*Z13*4</f>
        <v>4.9595536502847162E-2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1.2398884125711791E-2</v>
      </c>
      <c r="AJ13" s="120">
        <f t="shared" si="14"/>
        <v>2.4797768251423581E-2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2.8780960287809599E-3</v>
      </c>
      <c r="J14" s="24">
        <f>IF(I$32&lt;=1+I131,I14,B14*H14+J$33*(I14-B14*H14))</f>
        <v>1.5315413257757763E-3</v>
      </c>
      <c r="K14" s="22">
        <f t="shared" si="4"/>
        <v>5.3964300539642998E-3</v>
      </c>
      <c r="L14" s="22">
        <f t="shared" si="5"/>
        <v>1.0792860107928599E-3</v>
      </c>
      <c r="M14" s="225">
        <f t="shared" si="6"/>
        <v>1.5315413257757763E-3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11328</v>
      </c>
      <c r="T14" s="222">
        <f>IF($B$81=0,0,(SUMIF($N$6:$N$28,$U14,M$6:M$28)+SUMIF($N$91:$N$118,$U14,M$91:M$118))*$I$83*Poor!$B$81/$B$81)</f>
        <v>11328</v>
      </c>
      <c r="U14" s="223">
        <v>8</v>
      </c>
      <c r="V14" s="56"/>
      <c r="W14" s="110"/>
      <c r="X14" s="118"/>
      <c r="Y14" s="183">
        <f>M14*4</f>
        <v>6.1261653031031054E-3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6.1261653031031054E-3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1.5315413257757763E-3</v>
      </c>
      <c r="AJ14" s="120">
        <f t="shared" si="14"/>
        <v>3.0630826515515527E-3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94869.813941813671</v>
      </c>
      <c r="T23" s="179">
        <f>SUM(T7:T22)</f>
        <v>95381.564677818955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0.22425108097460347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0.22425108097460347</v>
      </c>
      <c r="N29" s="229"/>
      <c r="P29" s="22"/>
      <c r="V29" s="56"/>
      <c r="W29" s="110"/>
      <c r="X29" s="118"/>
      <c r="Y29" s="183">
        <f t="shared" si="9"/>
        <v>0.89700432389841389</v>
      </c>
      <c r="Z29" s="156">
        <f>Poor!Z29</f>
        <v>0.25</v>
      </c>
      <c r="AA29" s="121">
        <f t="shared" si="16"/>
        <v>0.22425108097460347</v>
      </c>
      <c r="AB29" s="156">
        <f>Poor!AB29</f>
        <v>0.25</v>
      </c>
      <c r="AC29" s="121">
        <f t="shared" si="7"/>
        <v>0.22425108097460347</v>
      </c>
      <c r="AD29" s="156">
        <f>Poor!AD29</f>
        <v>0.25</v>
      </c>
      <c r="AE29" s="121">
        <f t="shared" si="8"/>
        <v>0.22425108097460347</v>
      </c>
      <c r="AF29" s="122">
        <f t="shared" si="10"/>
        <v>0.25</v>
      </c>
      <c r="AG29" s="121">
        <f t="shared" si="11"/>
        <v>0.22425108097460347</v>
      </c>
      <c r="AH29" s="123">
        <f t="shared" si="12"/>
        <v>1</v>
      </c>
      <c r="AI29" s="183">
        <f t="shared" si="13"/>
        <v>0.22425108097460347</v>
      </c>
      <c r="AJ29" s="120">
        <f t="shared" si="14"/>
        <v>0.22425108097460347</v>
      </c>
      <c r="AK29" s="119">
        <f t="shared" si="15"/>
        <v>0.22425108097460347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2.243585169406801</v>
      </c>
      <c r="J30" s="231">
        <f>IF(I$32&lt;=1,I30,1-SUM(J6:J29))</f>
        <v>0.49410755011579832</v>
      </c>
      <c r="K30" s="22">
        <f t="shared" si="4"/>
        <v>0.78202263511830628</v>
      </c>
      <c r="L30" s="22">
        <f>IF(L124=L119,0,IF(K30="",0,(L119-L124)/(B119-B124)*K30))</f>
        <v>0.25455084392028265</v>
      </c>
      <c r="M30" s="175">
        <f t="shared" si="6"/>
        <v>0.49410755011579832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1.9764302004631933</v>
      </c>
      <c r="Z30" s="122">
        <f>IF($Y30=0,0,AA30/($Y$30))</f>
        <v>0.1021518066428434</v>
      </c>
      <c r="AA30" s="187">
        <f>IF(AA79*4/$I$83+SUM(AA6:AA29)&lt;1,AA79*4/$I$83,1-SUM(AA6:AA29))</f>
        <v>0.20189591568079235</v>
      </c>
      <c r="AB30" s="122">
        <f>IF($Y30=0,0,AC30/($Y$30))</f>
        <v>0.3138634979477557</v>
      </c>
      <c r="AC30" s="187">
        <f>IF(AC79*4/$I$83+SUM(AC6:AC29)&lt;1,AC79*4/$I$83,1-SUM(AC6:AC29))</f>
        <v>0.62032929616696186</v>
      </c>
      <c r="AD30" s="122">
        <f>IF($Y30=0,0,AE30/($Y$30))</f>
        <v>0.30295077042841589</v>
      </c>
      <c r="AE30" s="187">
        <f>IF(AE79*4/$I$83+SUM(AE6:AE29)&lt;1,AE79*4/$I$83,1-SUM(AE6:AE29))</f>
        <v>0.59876105192831286</v>
      </c>
      <c r="AF30" s="122">
        <f>IF($Y30=0,0,AG30/($Y$30))</f>
        <v>0.28103392498098501</v>
      </c>
      <c r="AG30" s="187">
        <f>IF(AG79*4/$I$83+SUM(AG6:AG29)&lt;1,AG79*4/$I$83,1-SUM(AG6:AG29))</f>
        <v>0.55544393668712622</v>
      </c>
      <c r="AH30" s="123">
        <f t="shared" si="12"/>
        <v>1</v>
      </c>
      <c r="AI30" s="183">
        <f t="shared" si="13"/>
        <v>0.49410755011579832</v>
      </c>
      <c r="AJ30" s="120">
        <f t="shared" si="14"/>
        <v>0.41111260592387711</v>
      </c>
      <c r="AK30" s="119">
        <f t="shared" si="15"/>
        <v>0.57710249430771954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0.2845399551730643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2.8834117124026766</v>
      </c>
      <c r="J32" s="17"/>
      <c r="L32" s="22">
        <f>SUM(L6:L30)</f>
        <v>0.7154600448269357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6089.5315153546835</v>
      </c>
      <c r="T32" s="234">
        <f t="shared" si="24"/>
        <v>5577.7807793493994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0.25141916626011823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8850</v>
      </c>
      <c r="J37" s="38">
        <f>J91*I$83</f>
        <v>7525.0119242804085</v>
      </c>
      <c r="K37" s="40">
        <f t="shared" ref="K37:K52" si="28">(B37/B$65)</f>
        <v>8.7236563751753815E-2</v>
      </c>
      <c r="L37" s="22">
        <f t="shared" ref="L37:L52" si="29">(K37*H37)</f>
        <v>5.1469572613534749E-2</v>
      </c>
      <c r="M37" s="24">
        <f t="shared" ref="M37:M52" si="30">J37/B$65</f>
        <v>5.4704681872099627E-2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7525.0119242804085</v>
      </c>
      <c r="AH37" s="123">
        <f>SUM(Z37,AB37,AD37,AF37)</f>
        <v>1</v>
      </c>
      <c r="AI37" s="112">
        <f>SUM(AA37,AC37,AE37,AG37)</f>
        <v>7525.0119242804085</v>
      </c>
      <c r="AJ37" s="148">
        <f>(AA37+AC37)</f>
        <v>0</v>
      </c>
      <c r="AK37" s="147">
        <f>(AE37+AG37)</f>
        <v>7525.0119242804085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2950</v>
      </c>
      <c r="J38" s="38">
        <f t="shared" ref="J38:J64" si="33">J92*I$83</f>
        <v>3391.6626919065302</v>
      </c>
      <c r="K38" s="40">
        <f t="shared" si="28"/>
        <v>4.3618281875876908E-2</v>
      </c>
      <c r="L38" s="22">
        <f t="shared" si="29"/>
        <v>2.5734786306767374E-2</v>
      </c>
      <c r="M38" s="24">
        <f t="shared" si="30"/>
        <v>2.4656416553912416E-2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3391.6626919065302</v>
      </c>
      <c r="AH38" s="123">
        <f t="shared" ref="AH38:AI58" si="35">SUM(Z38,AB38,AD38,AF38)</f>
        <v>1</v>
      </c>
      <c r="AI38" s="112">
        <f t="shared" si="35"/>
        <v>3391.6626919065302</v>
      </c>
      <c r="AJ38" s="148">
        <f t="shared" ref="AJ38:AJ64" si="36">(AA38+AC38)</f>
        <v>0</v>
      </c>
      <c r="AK38" s="147">
        <f t="shared" ref="AK38:AK64" si="37">(AE38+AG38)</f>
        <v>3391.6626919065302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2920.5</v>
      </c>
      <c r="J39" s="38">
        <f t="shared" si="33"/>
        <v>2920.5</v>
      </c>
      <c r="K39" s="40">
        <f t="shared" si="28"/>
        <v>1.7992541273799224E-2</v>
      </c>
      <c r="L39" s="22">
        <f t="shared" si="29"/>
        <v>2.1231198703083081E-2</v>
      </c>
      <c r="M39" s="24">
        <f t="shared" si="30"/>
        <v>2.1231198703083085E-2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2920.5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2920.5</v>
      </c>
      <c r="AJ39" s="148">
        <f t="shared" si="36"/>
        <v>2920.5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8400</v>
      </c>
      <c r="J40" s="38">
        <f t="shared" si="33"/>
        <v>8399.9999999999982</v>
      </c>
      <c r="K40" s="40">
        <f t="shared" si="28"/>
        <v>0.21809140937938454</v>
      </c>
      <c r="L40" s="22">
        <f t="shared" si="29"/>
        <v>6.1065594626227661E-2</v>
      </c>
      <c r="M40" s="24">
        <f t="shared" si="30"/>
        <v>6.1065594626227661E-2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8399.9999999999982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8399.9999999999982</v>
      </c>
      <c r="AJ40" s="148">
        <f t="shared" si="36"/>
        <v>8399.9999999999982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1509.1389608196018</v>
      </c>
      <c r="K41" s="40">
        <f t="shared" si="28"/>
        <v>3.4894625500701527E-2</v>
      </c>
      <c r="L41" s="22">
        <f t="shared" si="29"/>
        <v>1.465574271029464E-2</v>
      </c>
      <c r="M41" s="24">
        <f t="shared" si="30"/>
        <v>1.0971008097149558E-2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1509.1389608196018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1509.1389608196018</v>
      </c>
      <c r="AJ41" s="148">
        <f t="shared" si="36"/>
        <v>1509.1389608196018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615.99999999999989</v>
      </c>
      <c r="J42" s="38">
        <f t="shared" si="33"/>
        <v>615.99999999999989</v>
      </c>
      <c r="K42" s="40">
        <f t="shared" si="28"/>
        <v>1.5993370021154866E-2</v>
      </c>
      <c r="L42" s="22">
        <f t="shared" si="29"/>
        <v>4.4781436059233622E-3</v>
      </c>
      <c r="M42" s="24">
        <f t="shared" si="30"/>
        <v>4.4781436059233622E-3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153.99999999999997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307.99999999999994</v>
      </c>
      <c r="AF42" s="122">
        <f t="shared" si="31"/>
        <v>0.25</v>
      </c>
      <c r="AG42" s="147">
        <f t="shared" si="34"/>
        <v>153.99999999999997</v>
      </c>
      <c r="AH42" s="123">
        <f t="shared" si="35"/>
        <v>1</v>
      </c>
      <c r="AI42" s="112">
        <f t="shared" si="35"/>
        <v>615.99999999999989</v>
      </c>
      <c r="AJ42" s="148">
        <f t="shared" si="36"/>
        <v>153.99999999999997</v>
      </c>
      <c r="AK42" s="147">
        <f t="shared" si="37"/>
        <v>461.99999999999989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754.56948040980046</v>
      </c>
      <c r="K43" s="40">
        <f t="shared" si="28"/>
        <v>2.6170969125526144E-2</v>
      </c>
      <c r="L43" s="22">
        <f t="shared" si="29"/>
        <v>7.3278713551473192E-3</v>
      </c>
      <c r="M43" s="24">
        <f t="shared" si="30"/>
        <v>5.4855040485747757E-3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188.64237010245012</v>
      </c>
      <c r="AB43" s="156">
        <f>Poor!AB43</f>
        <v>0.25</v>
      </c>
      <c r="AC43" s="147">
        <f t="shared" si="39"/>
        <v>188.64237010245012</v>
      </c>
      <c r="AD43" s="156">
        <f>Poor!AD43</f>
        <v>0.25</v>
      </c>
      <c r="AE43" s="147">
        <f t="shared" si="40"/>
        <v>188.64237010245012</v>
      </c>
      <c r="AF43" s="122">
        <f t="shared" si="31"/>
        <v>0.25</v>
      </c>
      <c r="AG43" s="147">
        <f t="shared" si="34"/>
        <v>188.64237010245012</v>
      </c>
      <c r="AH43" s="123">
        <f t="shared" si="35"/>
        <v>1</v>
      </c>
      <c r="AI43" s="112">
        <f t="shared" si="35"/>
        <v>754.56948040980046</v>
      </c>
      <c r="AJ43" s="148">
        <f t="shared" si="36"/>
        <v>377.28474020490023</v>
      </c>
      <c r="AK43" s="147">
        <f t="shared" si="37"/>
        <v>377.28474020490023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524.00658361791716</v>
      </c>
      <c r="K44" s="40">
        <f t="shared" si="28"/>
        <v>1.8174284114948713E-2</v>
      </c>
      <c r="L44" s="22">
        <f t="shared" si="29"/>
        <v>5.088799552185639E-3</v>
      </c>
      <c r="M44" s="24">
        <f t="shared" si="30"/>
        <v>3.8093778115102623E-3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131.00164590447929</v>
      </c>
      <c r="AB44" s="156">
        <f>Poor!AB44</f>
        <v>0.25</v>
      </c>
      <c r="AC44" s="147">
        <f t="shared" si="39"/>
        <v>131.00164590447929</v>
      </c>
      <c r="AD44" s="156">
        <f>Poor!AD44</f>
        <v>0.25</v>
      </c>
      <c r="AE44" s="147">
        <f t="shared" si="40"/>
        <v>131.00164590447929</v>
      </c>
      <c r="AF44" s="122">
        <f t="shared" si="31"/>
        <v>0.25</v>
      </c>
      <c r="AG44" s="147">
        <f t="shared" si="34"/>
        <v>131.00164590447929</v>
      </c>
      <c r="AH44" s="123">
        <f t="shared" si="35"/>
        <v>1</v>
      </c>
      <c r="AI44" s="112">
        <f t="shared" si="35"/>
        <v>524.00658361791716</v>
      </c>
      <c r="AJ44" s="148">
        <f t="shared" si="36"/>
        <v>262.00329180895858</v>
      </c>
      <c r="AK44" s="147">
        <f t="shared" si="37"/>
        <v>262.00329180895858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262.00329180895858</v>
      </c>
      <c r="K45" s="40">
        <f t="shared" si="28"/>
        <v>9.0871420574743563E-3</v>
      </c>
      <c r="L45" s="22">
        <f t="shared" si="29"/>
        <v>2.5443997760928195E-3</v>
      </c>
      <c r="M45" s="24">
        <f t="shared" si="30"/>
        <v>1.9046889057551311E-3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65.500822952239645</v>
      </c>
      <c r="AB45" s="156">
        <f>Poor!AB45</f>
        <v>0.25</v>
      </c>
      <c r="AC45" s="147">
        <f t="shared" si="39"/>
        <v>65.500822952239645</v>
      </c>
      <c r="AD45" s="156">
        <f>Poor!AD45</f>
        <v>0.25</v>
      </c>
      <c r="AE45" s="147">
        <f t="shared" si="40"/>
        <v>65.500822952239645</v>
      </c>
      <c r="AF45" s="122">
        <f t="shared" si="31"/>
        <v>0.25</v>
      </c>
      <c r="AG45" s="147">
        <f t="shared" si="34"/>
        <v>65.500822952239645</v>
      </c>
      <c r="AH45" s="123">
        <f t="shared" si="35"/>
        <v>1</v>
      </c>
      <c r="AI45" s="112">
        <f t="shared" si="35"/>
        <v>262.00329180895858</v>
      </c>
      <c r="AJ45" s="148">
        <f t="shared" si="36"/>
        <v>131.00164590447929</v>
      </c>
      <c r="AK45" s="147">
        <f t="shared" si="37"/>
        <v>131.00164590447929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11328</v>
      </c>
      <c r="J46" s="38">
        <f t="shared" si="33"/>
        <v>11328</v>
      </c>
      <c r="K46" s="40">
        <f t="shared" si="28"/>
        <v>0.17447312750350763</v>
      </c>
      <c r="L46" s="22">
        <f t="shared" si="29"/>
        <v>8.2351316181655601E-2</v>
      </c>
      <c r="M46" s="24">
        <f t="shared" si="30"/>
        <v>8.2351316181655601E-2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2832</v>
      </c>
      <c r="AB46" s="156">
        <f>Poor!AB46</f>
        <v>0.25</v>
      </c>
      <c r="AC46" s="147">
        <f t="shared" si="39"/>
        <v>2832</v>
      </c>
      <c r="AD46" s="156">
        <f>Poor!AD46</f>
        <v>0.25</v>
      </c>
      <c r="AE46" s="147">
        <f t="shared" si="40"/>
        <v>2832</v>
      </c>
      <c r="AF46" s="122">
        <f t="shared" si="31"/>
        <v>0.25</v>
      </c>
      <c r="AG46" s="147">
        <f t="shared" si="34"/>
        <v>2832</v>
      </c>
      <c r="AH46" s="123">
        <f t="shared" si="35"/>
        <v>1</v>
      </c>
      <c r="AI46" s="112">
        <f t="shared" si="35"/>
        <v>11328</v>
      </c>
      <c r="AJ46" s="148">
        <f t="shared" si="36"/>
        <v>5664</v>
      </c>
      <c r="AK46" s="147">
        <f t="shared" si="37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85433.108000000007</v>
      </c>
      <c r="J65" s="39">
        <f>SUM(J37:J64)</f>
        <v>87599.500932843221</v>
      </c>
      <c r="K65" s="40">
        <f>SUM(K37:K64)</f>
        <v>1</v>
      </c>
      <c r="L65" s="22">
        <f>SUM(L37:L64)</f>
        <v>0.64211278233750368</v>
      </c>
      <c r="M65" s="24">
        <f>SUM(M37:M64)</f>
        <v>0.63682328731248294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28792.935799778774</v>
      </c>
      <c r="AB65" s="137"/>
      <c r="AC65" s="153">
        <f>SUM(AC37:AC64)</f>
        <v>15809.29683895917</v>
      </c>
      <c r="AD65" s="137"/>
      <c r="AE65" s="153">
        <f>SUM(AE37:AE64)</f>
        <v>16117.29683895917</v>
      </c>
      <c r="AF65" s="137"/>
      <c r="AG65" s="153">
        <f>SUM(AG37:AG64)</f>
        <v>26879.971455146107</v>
      </c>
      <c r="AH65" s="137"/>
      <c r="AI65" s="153">
        <f>SUM(AI37:AI64)</f>
        <v>87599.500932843221</v>
      </c>
      <c r="AJ65" s="153">
        <f>SUM(AJ37:AJ64)</f>
        <v>44602.232638737943</v>
      </c>
      <c r="AK65" s="153">
        <f>SUM(AK37:AK64)</f>
        <v>42997.268294105277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31241.722095705274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5.2458253669387965E-2</v>
      </c>
      <c r="L73" s="22">
        <f>(L127*G$37*F$9/F$7)/B$130</f>
        <v>1.2782969591637529E-2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61992.749407528194</v>
      </c>
      <c r="J74" s="51">
        <f>J128*I$83</f>
        <v>13652.740244666154</v>
      </c>
      <c r="K74" s="40">
        <f>B74/B$76</f>
        <v>9.5203084875859878E-2</v>
      </c>
      <c r="L74" s="22">
        <f>(L128*G$37*F$9/F$7)/B$130</f>
        <v>5.1131694202485714E-2</v>
      </c>
      <c r="M74" s="24">
        <f>J74/B$76</f>
        <v>9.9251512061662828E-2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1394.6520816181035</v>
      </c>
      <c r="AB74" s="156"/>
      <c r="AC74" s="147">
        <f>AC30*$I$83/4</f>
        <v>4285.0968097630175</v>
      </c>
      <c r="AD74" s="156"/>
      <c r="AE74" s="147">
        <f>AE30*$I$83/4</f>
        <v>4136.1081755806508</v>
      </c>
      <c r="AF74" s="156"/>
      <c r="AG74" s="147">
        <f>AG30*$I$83/4</f>
        <v>3836.8831777043829</v>
      </c>
      <c r="AH74" s="155"/>
      <c r="AI74" s="147">
        <f>SUM(AA74,AC74,AE74,AG74)</f>
        <v>13652.740244666156</v>
      </c>
      <c r="AJ74" s="148">
        <f>(AA74+AC74)</f>
        <v>5679.7488913811212</v>
      </c>
      <c r="AK74" s="147">
        <f>(AE74+AG74)</f>
        <v>7972.9913532850333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0.38503337506193319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38721.192699366504</v>
      </c>
      <c r="AB75" s="158"/>
      <c r="AC75" s="149">
        <f>AA75+AC65-SUM(AC70,AC74)</f>
        <v>44385.303080444704</v>
      </c>
      <c r="AD75" s="158"/>
      <c r="AE75" s="149">
        <f>AC75+AE65-SUM(AE70,AE74)</f>
        <v>50506.402095705271</v>
      </c>
      <c r="AF75" s="158"/>
      <c r="AG75" s="149">
        <f>IF(SUM(AG6:AG29)+((AG65-AG70-$J$75)*4/I$83)&lt;1,0,AG65-AG70-$J$75-(1-SUM(AG6:AG29))*I$83/4)</f>
        <v>17182.998629323778</v>
      </c>
      <c r="AH75" s="134"/>
      <c r="AI75" s="149">
        <f>AI76-SUM(AI70,AI74)</f>
        <v>50506.402095705271</v>
      </c>
      <c r="AJ75" s="151">
        <f>AJ76-SUM(AJ70,AJ74)</f>
        <v>27202.304451120923</v>
      </c>
      <c r="AK75" s="149">
        <f>AJ75+AK76-SUM(AK70,AK74)</f>
        <v>50506.402095705278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85433.107999999993</v>
      </c>
      <c r="J76" s="51">
        <f>J130*I$83</f>
        <v>87599.500932843221</v>
      </c>
      <c r="K76" s="40">
        <f>SUM(K70:K75)</f>
        <v>0.65441235269742726</v>
      </c>
      <c r="L76" s="22">
        <f>SUM(L70:L75)</f>
        <v>0.23431935852046792</v>
      </c>
      <c r="M76" s="24">
        <f>SUM(M70:M75)</f>
        <v>0.2696562067880075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28792.935799778774</v>
      </c>
      <c r="AB76" s="137"/>
      <c r="AC76" s="153">
        <f>AC65</f>
        <v>15809.29683895917</v>
      </c>
      <c r="AD76" s="137"/>
      <c r="AE76" s="153">
        <f>AE65</f>
        <v>16117.29683895917</v>
      </c>
      <c r="AF76" s="137"/>
      <c r="AG76" s="153">
        <f>AG65</f>
        <v>26879.971455146107</v>
      </c>
      <c r="AH76" s="137"/>
      <c r="AI76" s="153">
        <f>SUM(AA76,AC76,AE76,AG76)</f>
        <v>87599.500932843221</v>
      </c>
      <c r="AJ76" s="154">
        <f>SUM(AA76,AC76)</f>
        <v>44602.232638737943</v>
      </c>
      <c r="AK76" s="154">
        <f>SUM(AE76,AG76)</f>
        <v>42997.268294105277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17182.998629323778</v>
      </c>
      <c r="AB78" s="112"/>
      <c r="AC78" s="112">
        <f>IF(AA75&lt;0,0,AA75)</f>
        <v>38721.192699366504</v>
      </c>
      <c r="AD78" s="112"/>
      <c r="AE78" s="112">
        <f>AC75</f>
        <v>44385.303080444704</v>
      </c>
      <c r="AF78" s="112"/>
      <c r="AG78" s="112">
        <f>AE75</f>
        <v>50506.402095705271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40115.844780984604</v>
      </c>
      <c r="AB79" s="112"/>
      <c r="AC79" s="112">
        <f>AA79-AA74+AC65-AC70</f>
        <v>48670.399890207722</v>
      </c>
      <c r="AD79" s="112"/>
      <c r="AE79" s="112">
        <f>AC79-AC74+AE65-AE70</f>
        <v>54642.510271285922</v>
      </c>
      <c r="AF79" s="112"/>
      <c r="AG79" s="112">
        <f>AE79-AE74+AG65-AG70</f>
        <v>71526.283902733427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0.3575757575757576</v>
      </c>
      <c r="I91" s="22">
        <f t="shared" ref="I91" si="52">(D91*H91)</f>
        <v>0.32029114596486946</v>
      </c>
      <c r="J91" s="24">
        <f>IF(I$32&lt;=1+I$131,I91,L91+J$33*(I91-L91))</f>
        <v>0.27233838334769261</v>
      </c>
      <c r="K91" s="22">
        <f t="shared" ref="K91" si="53">(B91)</f>
        <v>0.71658358080275875</v>
      </c>
      <c r="L91" s="22">
        <f t="shared" ref="L91" si="54">(K91*H91)</f>
        <v>0.25623291677189558</v>
      </c>
      <c r="M91" s="227">
        <f t="shared" si="50"/>
        <v>0.27233838334769261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0.3575757575757576</v>
      </c>
      <c r="I92" s="22">
        <f t="shared" ref="I92:I118" si="59">(D92*H92)</f>
        <v>0.10676371532162317</v>
      </c>
      <c r="J92" s="24">
        <f t="shared" ref="J92:J118" si="60">IF(I$32&lt;=1+I$131,I92,L92+J$33*(I92-L92))</f>
        <v>0.12274796952734877</v>
      </c>
      <c r="K92" s="22">
        <f t="shared" ref="K92:K118" si="61">(B92)</f>
        <v>0.35829179040137937</v>
      </c>
      <c r="L92" s="22">
        <f t="shared" ref="L92:L118" si="62">(K92*H92)</f>
        <v>0.12811645838594779</v>
      </c>
      <c r="M92" s="227">
        <f t="shared" ref="M92:M118" si="63">(J92)</f>
        <v>0.12274796952734877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0.7151515151515152</v>
      </c>
      <c r="I93" s="22">
        <f t="shared" si="59"/>
        <v>0.10569607816840693</v>
      </c>
      <c r="J93" s="24">
        <f t="shared" si="60"/>
        <v>0.10569607816840693</v>
      </c>
      <c r="K93" s="22">
        <f t="shared" si="61"/>
        <v>0.14779536354056899</v>
      </c>
      <c r="L93" s="22">
        <f t="shared" si="62"/>
        <v>0.10569607816840693</v>
      </c>
      <c r="M93" s="227">
        <f t="shared" si="63"/>
        <v>0.10569607816840693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0.16969696969696968</v>
      </c>
      <c r="I94" s="22">
        <f t="shared" si="59"/>
        <v>0.30400515549207946</v>
      </c>
      <c r="J94" s="24">
        <f t="shared" si="60"/>
        <v>0.30400515549207946</v>
      </c>
      <c r="K94" s="22">
        <f t="shared" si="61"/>
        <v>1.7914589520068969</v>
      </c>
      <c r="L94" s="22">
        <f t="shared" si="62"/>
        <v>0.30400515549207946</v>
      </c>
      <c r="M94" s="227">
        <f t="shared" si="63"/>
        <v>0.30400515549207946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5.4617383862275992E-2</v>
      </c>
      <c r="K95" s="22">
        <f t="shared" si="61"/>
        <v>0.2866334323211035</v>
      </c>
      <c r="L95" s="22">
        <f t="shared" si="62"/>
        <v>7.2961237318099087E-2</v>
      </c>
      <c r="M95" s="227">
        <f t="shared" si="63"/>
        <v>5.4617383862275992E-2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0.16969696969696968</v>
      </c>
      <c r="I96" s="22">
        <f t="shared" si="59"/>
        <v>2.2293711402752495E-2</v>
      </c>
      <c r="J96" s="24">
        <f t="shared" si="60"/>
        <v>2.2293711402752495E-2</v>
      </c>
      <c r="K96" s="22">
        <f t="shared" si="61"/>
        <v>0.13137365648050578</v>
      </c>
      <c r="L96" s="22">
        <f t="shared" si="62"/>
        <v>2.2293711402752495E-2</v>
      </c>
      <c r="M96" s="227">
        <f t="shared" si="63"/>
        <v>2.2293711402752495E-2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2.7308691931137982E-2</v>
      </c>
      <c r="K97" s="22">
        <f t="shared" si="61"/>
        <v>0.21497507424082762</v>
      </c>
      <c r="L97" s="22">
        <f t="shared" si="62"/>
        <v>3.648061865904953E-2</v>
      </c>
      <c r="M97" s="227">
        <f t="shared" si="63"/>
        <v>2.7308691931137982E-2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1.8964369396623604E-2</v>
      </c>
      <c r="K98" s="22">
        <f t="shared" si="61"/>
        <v>0.14928824600057475</v>
      </c>
      <c r="L98" s="22">
        <f t="shared" si="62"/>
        <v>2.5333762957673287E-2</v>
      </c>
      <c r="M98" s="227">
        <f t="shared" si="63"/>
        <v>1.8964369396623604E-2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9.4821846983118019E-3</v>
      </c>
      <c r="K99" s="22">
        <f t="shared" si="61"/>
        <v>7.4644123000287374E-2</v>
      </c>
      <c r="L99" s="22">
        <f t="shared" si="62"/>
        <v>1.2666881478836644E-2</v>
      </c>
      <c r="M99" s="227">
        <f t="shared" si="63"/>
        <v>9.4821846983118019E-3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0.28606060606060607</v>
      </c>
      <c r="I100" s="22">
        <f t="shared" si="59"/>
        <v>0.40997266683503292</v>
      </c>
      <c r="J100" s="24">
        <f t="shared" si="60"/>
        <v>0.40997266683503292</v>
      </c>
      <c r="K100" s="22">
        <f t="shared" si="61"/>
        <v>1.4331671616055175</v>
      </c>
      <c r="L100" s="22">
        <f t="shared" si="62"/>
        <v>0.40997266683503292</v>
      </c>
      <c r="M100" s="227">
        <f t="shared" si="63"/>
        <v>0.40997266683503292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3.0919172954418594</v>
      </c>
      <c r="J119" s="24">
        <f>SUM(J91:J118)</f>
        <v>3.1703214169187581</v>
      </c>
      <c r="K119" s="22">
        <f>SUM(K91:K118)</f>
        <v>8.2142573020404246</v>
      </c>
      <c r="L119" s="22">
        <f>SUM(L91:L118)</f>
        <v>3.1966543097268691</v>
      </c>
      <c r="M119" s="57">
        <f t="shared" si="50"/>
        <v>3.1703214169187581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1.1306719742315736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1.1306719742315736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6.3637940187799558E-2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2.243585169406801</v>
      </c>
      <c r="J128" s="228">
        <f>(J30)</f>
        <v>0.49410755011579832</v>
      </c>
      <c r="K128" s="22">
        <f>(B128)</f>
        <v>0.78202263511830628</v>
      </c>
      <c r="L128" s="22">
        <f>IF(L124=L119,0,(L119-L124)/(B119-B124)*K128)</f>
        <v>0.25455084392028265</v>
      </c>
      <c r="M128" s="57">
        <f t="shared" si="90"/>
        <v>0.49410755011579832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3.162763212631754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3.0919172954418594</v>
      </c>
      <c r="J130" s="228">
        <f>(J119)</f>
        <v>3.1703214169187581</v>
      </c>
      <c r="K130" s="22">
        <f>(B130)</f>
        <v>8.2142573020404246</v>
      </c>
      <c r="L130" s="22">
        <f>(L119)</f>
        <v>3.1966543097268691</v>
      </c>
      <c r="M130" s="57">
        <f t="shared" si="90"/>
        <v>3.1703214169187581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2256.5617837296745</v>
      </c>
      <c r="G72" s="109">
        <f>Poor!T7</f>
        <v>2670.1080137789122</v>
      </c>
      <c r="H72" s="109">
        <f>Middle!T7</f>
        <v>5326.9452950210252</v>
      </c>
      <c r="I72" s="109">
        <f>Rich!T7</f>
        <v>3095.4739976624778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7188.9999999999982</v>
      </c>
      <c r="I73" s="109">
        <f>Rich!T8</f>
        <v>12065.718316656277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627.89272388059715</v>
      </c>
      <c r="G74" s="109">
        <f>Poor!T9</f>
        <v>1060.6944962686568</v>
      </c>
      <c r="H74" s="109">
        <f>Middle!T9</f>
        <v>1031.6809701492539</v>
      </c>
      <c r="I74" s="109">
        <f>Rich!T9</f>
        <v>1031.6809701492539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2122.23</v>
      </c>
      <c r="H76" s="109">
        <f>Middle!T11</f>
        <v>9097.7999999999993</v>
      </c>
      <c r="I76" s="109">
        <f>Rich!T11</f>
        <v>13837.174616186938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708</v>
      </c>
      <c r="I79" s="109">
        <f>Rich!T14</f>
        <v>11328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52205.363284774285</v>
      </c>
      <c r="G88" s="109">
        <f>Poor!T23</f>
        <v>51940.741287211582</v>
      </c>
      <c r="H88" s="109">
        <f>Middle!T23</f>
        <v>59219.53504233429</v>
      </c>
      <c r="I88" s="109">
        <f>Rich!T23</f>
        <v>95381.564677818955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11923.822172394066</v>
      </c>
      <c r="G99" s="239">
        <f t="shared" si="0"/>
        <v>12188.444169956769</v>
      </c>
      <c r="H99" s="239">
        <f t="shared" si="0"/>
        <v>4909.6504148340609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48753.982172394069</v>
      </c>
      <c r="G100" s="239">
        <f t="shared" si="0"/>
        <v>49018.604169956772</v>
      </c>
      <c r="H100" s="239">
        <f t="shared" si="0"/>
        <v>41739.810414834064</v>
      </c>
      <c r="I100" s="239">
        <f t="shared" si="0"/>
        <v>5577.7807793493994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2016-08-08T21:31:27Z</dcterms:modified>
  <cp:category/>
</cp:coreProperties>
</file>