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I9" i="8"/>
  <c r="D10" i="8"/>
  <c r="I10" i="8"/>
  <c r="D11" i="8"/>
  <c r="E11" i="7"/>
  <c r="E11" i="8"/>
  <c r="H11" i="8"/>
  <c r="I11" i="8"/>
  <c r="D12" i="8"/>
  <c r="E12" i="7"/>
  <c r="E12" i="8"/>
  <c r="H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H108" i="8"/>
  <c r="I108" i="8"/>
  <c r="B109" i="8"/>
  <c r="C109" i="8"/>
  <c r="D109" i="8"/>
  <c r="G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E61" i="7"/>
  <c r="E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I9" i="7"/>
  <c r="D10" i="7"/>
  <c r="I10" i="7"/>
  <c r="D11" i="7"/>
  <c r="H11" i="7"/>
  <c r="I11" i="7"/>
  <c r="D12" i="7"/>
  <c r="H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H103" i="12"/>
  <c r="L103" i="12"/>
  <c r="G50" i="12"/>
  <c r="F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H108" i="12"/>
  <c r="L108" i="12"/>
  <c r="G55" i="12"/>
  <c r="F55" i="12"/>
  <c r="H109" i="12"/>
  <c r="L109" i="12"/>
  <c r="G56" i="12"/>
  <c r="F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E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I10" i="12"/>
  <c r="D11" i="12"/>
  <c r="E11" i="12"/>
  <c r="H11" i="12"/>
  <c r="I11" i="12"/>
  <c r="D12" i="12"/>
  <c r="E12" i="12"/>
  <c r="H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2" i="12"/>
  <c r="E53" i="12"/>
  <c r="E54" i="12"/>
  <c r="E55" i="12"/>
  <c r="E56" i="12"/>
  <c r="F59" i="12"/>
  <c r="E62" i="12"/>
  <c r="E63" i="12"/>
  <c r="F63" i="12"/>
  <c r="E64" i="12"/>
  <c r="E30" i="12"/>
  <c r="E9" i="12"/>
  <c r="H9" i="12"/>
  <c r="E10" i="12"/>
  <c r="H10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2" i="7"/>
  <c r="E53" i="7"/>
  <c r="E54" i="7"/>
  <c r="E55" i="7"/>
  <c r="E56" i="7"/>
  <c r="F59" i="7"/>
  <c r="E62" i="7"/>
  <c r="E63" i="7"/>
  <c r="F63" i="7"/>
  <c r="E64" i="7"/>
  <c r="E30" i="7"/>
  <c r="E9" i="7"/>
  <c r="H9" i="7"/>
  <c r="E10" i="7"/>
  <c r="H10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2" i="8"/>
  <c r="E53" i="8"/>
  <c r="E54" i="8"/>
  <c r="E55" i="8"/>
  <c r="E56" i="8"/>
  <c r="F59" i="8"/>
  <c r="E62" i="8"/>
  <c r="E63" i="8"/>
  <c r="F63" i="8"/>
  <c r="E64" i="8"/>
  <c r="E30" i="8"/>
  <c r="E9" i="8"/>
  <c r="H9" i="8"/>
  <c r="E10" i="8"/>
  <c r="H10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<sst xmlns="http://schemas.openxmlformats.org/spreadsheetml/2006/main" count="849" uniqueCount="191">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</sst>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0.0245924533001245</c:v>
                </c:pt>
                <c:pt idx="2" formatCode="0.0%">
                  <c:v>0.0245924533001245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0.0111339508094645</c:v>
                </c:pt>
                <c:pt idx="2" formatCode="0.0%">
                  <c:v>0.0111339508094645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0.0177777777777778</c:v>
                </c:pt>
                <c:pt idx="2" formatCode="0.0%">
                  <c:v>0.0177777777777778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0.261098777311644</c:v>
                </c:pt>
                <c:pt idx="2" formatCode="0.0%">
                  <c:v>0.297392343065068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0.0333088975171233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0.0371712831569116</c:v>
                </c:pt>
                <c:pt idx="2" formatCode="0.0%">
                  <c:v>0.0371712831569116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0.000738642590286426</c:v>
                </c:pt>
                <c:pt idx="2" formatCode="0.0%">
                  <c:v>0.000738642590286426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0.0178111342880863</c:v>
                </c:pt>
                <c:pt idx="2" formatCode="0.0%">
                  <c:v>0.0442904566210046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0.00905269302615193</c:v>
                </c:pt>
                <c:pt idx="2" formatCode="0.0%">
                  <c:v>0.010385196139477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0.00931351183063512</c:v>
                </c:pt>
                <c:pt idx="2" formatCode="0.0%">
                  <c:v>0.0220587311888629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0.00794202052145648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0.0529025599315068</c:v>
                </c:pt>
                <c:pt idx="2" formatCode="0.0%">
                  <c:v>0.0302677077903584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0.0157721917808219</c:v>
                </c:pt>
                <c:pt idx="2" formatCode="0.0%">
                  <c:v>0.00219128049613286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0.0633430980507007</c:v>
                </c:pt>
                <c:pt idx="2" formatCode="0.0%">
                  <c:v>0.113632171585851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679160"/>
        <c:axId val="-2119096808"/>
      </c:barChart>
      <c:catAx>
        <c:axId val="178967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909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09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67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0.00879003937426838</c:v>
                </c:pt>
                <c:pt idx="2">
                  <c:v>0.00879003937426838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0.0690645950835373</c:v>
                </c:pt>
                <c:pt idx="2">
                  <c:v>0.073234473256908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0.0185846546770246</c:v>
                </c:pt>
                <c:pt idx="2">
                  <c:v>0.0186167306629736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0.119536155155901</c:v>
                </c:pt>
                <c:pt idx="2">
                  <c:v>0.119536155155901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0.0365585559221028</c:v>
                </c:pt>
                <c:pt idx="2">
                  <c:v>0.0290877706543666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0.00121131748977096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0.00351052652354726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0.00335213365967862</c:v>
                </c:pt>
                <c:pt idx="2">
                  <c:v>0.00266712107839477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0.0139672235819942</c:v>
                </c:pt>
                <c:pt idx="2">
                  <c:v>0.0111130044933115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0.00419016707459828</c:v>
                </c:pt>
                <c:pt idx="2">
                  <c:v>0.00333390134799346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0.000814754708949665</c:v>
                </c:pt>
                <c:pt idx="2">
                  <c:v>0.000648258595443173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0.00372459295519847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0.00232787059699904</c:v>
                </c:pt>
                <c:pt idx="2">
                  <c:v>0.00185216741555192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0.136559540278812</c:v>
                </c:pt>
                <c:pt idx="2">
                  <c:v>0.136559540278812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0.113014791954879</c:v>
                </c:pt>
                <c:pt idx="2">
                  <c:v>0.113014791954879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0.00332298683422418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771592"/>
        <c:axId val="-2114778552"/>
      </c:barChart>
      <c:catAx>
        <c:axId val="-211477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77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77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77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0.00721597698674928</c:v>
                </c:pt>
                <c:pt idx="2">
                  <c:v>0.00721597698674928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0.055960637856423</c:v>
                </c:pt>
                <c:pt idx="2">
                  <c:v>0.0558637059670787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0.0148001160646592</c:v>
                </c:pt>
                <c:pt idx="2">
                  <c:v>0.0148760460446456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0.0655203721557138</c:v>
                </c:pt>
                <c:pt idx="2">
                  <c:v>0.0655203721557138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0.035708602824864</c:v>
                </c:pt>
                <c:pt idx="2">
                  <c:v>0.03649206714234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0.0007298413428468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0.0122304694690666</c:v>
                </c:pt>
                <c:pt idx="2">
                  <c:v>0.0123454734055768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0.00786244465868566</c:v>
                </c:pt>
                <c:pt idx="2">
                  <c:v>0.008034950563451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0.014196080633738</c:v>
                </c:pt>
                <c:pt idx="2">
                  <c:v>0.0145075496284532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0.00262081488622855</c:v>
                </c:pt>
                <c:pt idx="2">
                  <c:v>0.00267831685448367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0.000382202170908331</c:v>
                </c:pt>
                <c:pt idx="2">
                  <c:v>0.000390587874612202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0.00174720992415237</c:v>
                </c:pt>
                <c:pt idx="2">
                  <c:v>0.00174720992415237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0.00273001550648808</c:v>
                </c:pt>
                <c:pt idx="2">
                  <c:v>0.00278991339008715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0.0971947920664189</c:v>
                </c:pt>
                <c:pt idx="2">
                  <c:v>0.0971947920664189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0.459466289768526</c:v>
                </c:pt>
                <c:pt idx="2">
                  <c:v>0.459466289768526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705384"/>
        <c:axId val="1814498152"/>
      </c:barChart>
      <c:catAx>
        <c:axId val="181470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98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49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0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0.0327170751973411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0.00200664727877025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0.0266566265060241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0.0184461985874533</c:v>
                </c:pt>
                <c:pt idx="2">
                  <c:v>0.0184461985874533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0.0267469879518072</c:v>
                </c:pt>
                <c:pt idx="2">
                  <c:v>0.0267469879518072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0.12451184046531</c:v>
                </c:pt>
                <c:pt idx="2">
                  <c:v>0.12451184046531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0.0228533444121313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923048"/>
        <c:axId val="1814926040"/>
      </c:barChart>
      <c:catAx>
        <c:axId val="181492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92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92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92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4523.712626325427</c:v>
                </c:pt>
                <c:pt idx="5">
                  <c:v>8186.097714847338</c:v>
                </c:pt>
                <c:pt idx="6">
                  <c:v>8895.055763241327</c:v>
                </c:pt>
                <c:pt idx="7">
                  <c:v>6437.063688123348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0.0</c:v>
                </c:pt>
                <c:pt idx="6">
                  <c:v>20239.93555165835</c:v>
                </c:pt>
                <c:pt idx="7">
                  <c:v>35466.5341488727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321.4011304563941</c:v>
                </c:pt>
                <c:pt idx="5">
                  <c:v>632.9082681778971</c:v>
                </c:pt>
                <c:pt idx="6">
                  <c:v>817.53928819433</c:v>
                </c:pt>
                <c:pt idx="7">
                  <c:v>1346.563924800749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2932.693333333333</c:v>
                </c:pt>
                <c:pt idx="6">
                  <c:v>12000.84739943775</c:v>
                </c:pt>
                <c:pt idx="7">
                  <c:v>20149.27135773697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855.4999999999999</c:v>
                </c:pt>
                <c:pt idx="5">
                  <c:v>1784.75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6316.395373589134</c:v>
                </c:pt>
                <c:pt idx="5">
                  <c:v>10357.75474391807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8307.199999999999</c:v>
                </c:pt>
                <c:pt idx="6">
                  <c:v>28589.71428571428</c:v>
                </c:pt>
                <c:pt idx="7">
                  <c:v>135936.0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733.4399999999999</c:v>
                </c:pt>
                <c:pt idx="5">
                  <c:v>4067.2</c:v>
                </c:pt>
                <c:pt idx="6">
                  <c:v>380.6611173327803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807208"/>
        <c:axId val="18148002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807208"/>
        <c:axId val="1814800296"/>
      </c:lineChart>
      <c:catAx>
        <c:axId val="181480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80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80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80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682504"/>
        <c:axId val="18146774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682504"/>
        <c:axId val="1814677448"/>
      </c:lineChart>
      <c:catAx>
        <c:axId val="181468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67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67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68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565560"/>
        <c:axId val="18145689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65560"/>
        <c:axId val="1814568904"/>
      </c:lineChart>
      <c:catAx>
        <c:axId val="1814565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6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56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6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0.489665029204547</c:v>
                </c:pt>
                <c:pt idx="2">
                  <c:v>0.489665029204547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0.137052727838306</c:v>
                </c:pt>
                <c:pt idx="2">
                  <c:v>0.108391026797676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0.0192723677396843</c:v>
                </c:pt>
                <c:pt idx="2">
                  <c:v>0.034573001088588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-0.348454451385964</c:v>
                </c:pt>
                <c:pt idx="2">
                  <c:v>-0.274636425676876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465992"/>
        <c:axId val="1814463848"/>
      </c:barChart>
      <c:catAx>
        <c:axId val="181446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46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46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465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0.0470487831044659</c:v>
                </c:pt>
                <c:pt idx="2">
                  <c:v>0.0207859815057509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0.186129538868332</c:v>
                </c:pt>
                <c:pt idx="2">
                  <c:v>0.203691114941699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0.299395019687134</c:v>
                </c:pt>
                <c:pt idx="2">
                  <c:v>0.299395019687134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0.0470487831044659</c:v>
                </c:pt>
                <c:pt idx="2">
                  <c:v>0.0207859815057509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358536"/>
        <c:axId val="1814361896"/>
      </c:barChart>
      <c:catAx>
        <c:axId val="181435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361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361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35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0.0254542972951286</c:v>
                </c:pt>
                <c:pt idx="2">
                  <c:v>0.0145978987549447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0.261811107887093</c:v>
                </c:pt>
                <c:pt idx="2">
                  <c:v>0.261811107887093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0.343264246109791</c:v>
                </c:pt>
                <c:pt idx="2">
                  <c:v>0.355623540735991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0.0254542972951286</c:v>
                </c:pt>
                <c:pt idx="2">
                  <c:v>0.0145978987549447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339512"/>
        <c:axId val="1814336312"/>
      </c:barChart>
      <c:catAx>
        <c:axId val="181433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33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33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33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0.367112588284171</c:v>
                </c:pt>
                <c:pt idx="2">
                  <c:v>0.346431449937682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-1.110358268971357</c:v>
                </c:pt>
                <c:pt idx="2">
                  <c:v>-1.110358268971357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286168"/>
        <c:axId val="1814289512"/>
      </c:barChart>
      <c:catAx>
        <c:axId val="181428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28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28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28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0.032222196762142</c:v>
                </c:pt>
                <c:pt idx="2" formatCode="0.0%">
                  <c:v>0.032222196762142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0.00312836861768369</c:v>
                </c:pt>
                <c:pt idx="2" formatCode="0.0%">
                  <c:v>0.00312836861768369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0.0128183757523869</c:v>
                </c:pt>
                <c:pt idx="2" formatCode="0.0%">
                  <c:v>0.0128183757523869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0.293930127910959</c:v>
                </c:pt>
                <c:pt idx="2" formatCode="0.0%">
                  <c:v>0.391907769253235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0.0196303509942763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0.0355142254047323</c:v>
                </c:pt>
                <c:pt idx="2" formatCode="0.0%">
                  <c:v>0.0361914689298401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0.00332389165628892</c:v>
                </c:pt>
                <c:pt idx="2" formatCode="0.0%">
                  <c:v>0.00332389165628892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0.00144827268114939</c:v>
                </c:pt>
                <c:pt idx="2" formatCode="0.0%">
                  <c:v>0.00204018524099174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0.0171919779991698</c:v>
                </c:pt>
                <c:pt idx="2" formatCode="0.0%">
                  <c:v>0.0257661931266467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0.0187772415940224</c:v>
                </c:pt>
                <c:pt idx="2" formatCode="0.0%">
                  <c:v>0.0210795328579594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0.00709612530967367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0.0137107918000421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0.00273799096370581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0.223759349205148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0.317553394520625</c:v>
                </c:pt>
                <c:pt idx="2" formatCode="0.0%">
                  <c:v>0.140293936422079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788152"/>
        <c:axId val="1786809624"/>
      </c:barChart>
      <c:catAx>
        <c:axId val="178678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80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80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78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7878216"/>
        <c:axId val="-21178840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78216"/>
        <c:axId val="-21178840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78216"/>
        <c:axId val="-2117884072"/>
      </c:scatterChart>
      <c:catAx>
        <c:axId val="-2117878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7884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7884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78782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138088"/>
        <c:axId val="18141414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38088"/>
        <c:axId val="1814141448"/>
      </c:lineChart>
      <c:catAx>
        <c:axId val="18141380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141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141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1380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312216"/>
        <c:axId val="-199431589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321208"/>
        <c:axId val="-1994323480"/>
      </c:scatterChart>
      <c:valAx>
        <c:axId val="-19943122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315896"/>
        <c:crosses val="autoZero"/>
        <c:crossBetween val="midCat"/>
      </c:valAx>
      <c:valAx>
        <c:axId val="-1994315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312216"/>
        <c:crosses val="autoZero"/>
        <c:crossBetween val="midCat"/>
      </c:valAx>
      <c:valAx>
        <c:axId val="-19943212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4323480"/>
        <c:crosses val="autoZero"/>
        <c:crossBetween val="midCat"/>
      </c:valAx>
      <c:valAx>
        <c:axId val="-1994323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3212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12376"/>
        <c:axId val="-21164215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12376"/>
        <c:axId val="-2116421544"/>
      </c:lineChart>
      <c:catAx>
        <c:axId val="-211691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6421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6421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6912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0.0436183967265611</c:v>
                </c:pt>
                <c:pt idx="2" formatCode="0.0%">
                  <c:v>0.0436183967265611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0.0107258352606298</c:v>
                </c:pt>
                <c:pt idx="2" formatCode="0.0%">
                  <c:v>0.0107258352606298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0.0249945341872739</c:v>
                </c:pt>
                <c:pt idx="2" formatCode="0.0%">
                  <c:v>0.0249945341872739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0.277686710606654</c:v>
                </c:pt>
                <c:pt idx="2" formatCode="0.0%">
                  <c:v>0.250492810915219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0.0179885878386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0.031095404732254</c:v>
                </c:pt>
                <c:pt idx="2" formatCode="0.0%">
                  <c:v>0.0299873921611845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0.00949683330368262</c:v>
                </c:pt>
                <c:pt idx="2" formatCode="0.0%">
                  <c:v>0.00949683330368262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0.00362068170287348</c:v>
                </c:pt>
                <c:pt idx="2" formatCode="0.0%">
                  <c:v>0.00330292354996539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0.0279026626341695</c:v>
                </c:pt>
                <c:pt idx="2" formatCode="0.0%">
                  <c:v>0.0257467513437064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0.00425449208325921</c:v>
                </c:pt>
                <c:pt idx="2" formatCode="0.0%">
                  <c:v>0.00425449208325921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0.0171677637431062</c:v>
                </c:pt>
                <c:pt idx="2" formatCode="0.0%">
                  <c:v>0.0167910945586649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0.00789672656111012</c:v>
                </c:pt>
                <c:pt idx="2" formatCode="0.0%">
                  <c:v>0.00787384342024186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0.011741134491824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0.00703341444204101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0.26849153911454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0.366237833549466</c:v>
                </c:pt>
                <c:pt idx="2" formatCode="0.0%">
                  <c:v>0.210035372510895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950536"/>
        <c:axId val="-1993956280"/>
      </c:barChart>
      <c:catAx>
        <c:axId val="-199395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95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95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95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0.010427895392279</c:v>
                </c:pt>
                <c:pt idx="2" formatCode="0.0%">
                  <c:v>0.010427895392279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0.00850887297633873</c:v>
                </c:pt>
                <c:pt idx="2" formatCode="0.0%">
                  <c:v>0.00850887297633873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0.0372222222222222</c:v>
                </c:pt>
                <c:pt idx="2" formatCode="0.0%">
                  <c:v>0.0372222222222222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0.0208333333333333</c:v>
                </c:pt>
                <c:pt idx="2" formatCode="0.0%">
                  <c:v>0.0208333333333333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0.136673927876712</c:v>
                </c:pt>
                <c:pt idx="2" formatCode="0.0%">
                  <c:v>0.136673927876712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0.00965594146948941</c:v>
                </c:pt>
                <c:pt idx="2" formatCode="0.0%">
                  <c:v>0.00965594146948941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0.000553981942714819</c:v>
                </c:pt>
                <c:pt idx="2" formatCode="0.0%">
                  <c:v>0.000553981942714819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0.00398841635533416</c:v>
                </c:pt>
                <c:pt idx="2" formatCode="0.0%">
                  <c:v>0.0332178424657534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0.00172750622665006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0.00156444582814446</c:v>
                </c:pt>
                <c:pt idx="2" formatCode="0.0%">
                  <c:v>0.00156444582814446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0.019552303860523</c:v>
                </c:pt>
                <c:pt idx="2" formatCode="0.0%">
                  <c:v>0.019552303860523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0.0512596232876712</c:v>
                </c:pt>
                <c:pt idx="2" formatCode="0.0%">
                  <c:v>0.0512596232876712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145480"/>
        <c:axId val="-1994148056"/>
      </c:barChart>
      <c:catAx>
        <c:axId val="-199414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14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14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14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0.0167228682440847</c:v>
                </c:pt>
                <c:pt idx="1">
                  <c:v>0.0167228682440847</c:v>
                </c:pt>
                <c:pt idx="2">
                  <c:v>0.0324620383561644</c:v>
                </c:pt>
                <c:pt idx="3">
                  <c:v>0.0324620383561644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0.0711111111111111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0.0377777777777778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1.189569372260274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0.0892678453458904</c:v>
                </c:pt>
                <c:pt idx="3">
                  <c:v>0.0439677447226027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0.148685132627646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0.0029545703611457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0.177161826484018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0.0122171447384807</c:v>
                </c:pt>
                <c:pt idx="1">
                  <c:v>0.00733194847447073</c:v>
                </c:pt>
                <c:pt idx="2">
                  <c:v>0.00977454660647571</c:v>
                </c:pt>
                <c:pt idx="3">
                  <c:v>0.0122171447384807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-0.55203998533873</c:v>
                </c:pt>
                <c:pt idx="1">
                  <c:v>-0.369453584995164</c:v>
                </c:pt>
                <c:pt idx="2">
                  <c:v>-0.489933949130521</c:v>
                </c:pt>
                <c:pt idx="3">
                  <c:v>1.865956205807818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612040"/>
        <c:axId val="-2056633384"/>
      </c:barChart>
      <c:catAx>
        <c:axId val="-2056612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633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63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61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0.0257568474726715</c:v>
                </c:pt>
                <c:pt idx="1">
                  <c:v>0.00827864443268338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0.112673805689387</c:v>
                </c:pt>
                <c:pt idx="1">
                  <c:v>0.0362150831995022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0.0630636972142089</c:v>
                </c:pt>
                <c:pt idx="1">
                  <c:v>0.0202696361191244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0.413719833825293</c:v>
                </c:pt>
                <c:pt idx="1">
                  <c:v>0.132975877681556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0.0386237658779576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0.00221592777085928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-0.371304296325065</c:v>
                </c:pt>
                <c:pt idx="1">
                  <c:v>-0.371304296325065</c:v>
                </c:pt>
                <c:pt idx="2">
                  <c:v>-0.371304296325065</c:v>
                </c:pt>
                <c:pt idx="3">
                  <c:v>-0.371304296325065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016024"/>
        <c:axId val="-2057061096"/>
      </c:barChart>
      <c:catAx>
        <c:axId val="-2057016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61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06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1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0.0219110937982565</c:v>
                </c:pt>
                <c:pt idx="1">
                  <c:v>0.0219110937982565</c:v>
                </c:pt>
                <c:pt idx="2">
                  <c:v>0.0425332997260274</c:v>
                </c:pt>
                <c:pt idx="3">
                  <c:v>0.0425332997260274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0.0167210512265763</c:v>
                </c:pt>
                <c:pt idx="1">
                  <c:v>0.0208058353203782</c:v>
                </c:pt>
                <c:pt idx="2">
                  <c:v>0.013746616462593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0.00507289781339621</c:v>
                </c:pt>
                <c:pt idx="1">
                  <c:v>0.00631215556201842</c:v>
                </c:pt>
                <c:pt idx="2">
                  <c:v>0.00417050218014093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0.0123198946896765</c:v>
                </c:pt>
                <c:pt idx="1">
                  <c:v>0.0153295206506162</c:v>
                </c:pt>
                <c:pt idx="2">
                  <c:v>0.0101283624374851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0.511227788322271</c:v>
                </c:pt>
                <c:pt idx="1">
                  <c:v>0.636115578554582</c:v>
                </c:pt>
                <c:pt idx="2">
                  <c:v>0.420287710136087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0.0526093406646606</c:v>
                </c:pt>
                <c:pt idx="3">
                  <c:v>0.0259120633124448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0.144765875719361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0.0132955666251557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0.00204018524099174</c:v>
                </c:pt>
                <c:pt idx="1">
                  <c:v>0.00204018524099174</c:v>
                </c:pt>
                <c:pt idx="2">
                  <c:v>0.00204018524099174</c:v>
                </c:pt>
                <c:pt idx="3">
                  <c:v>0.00204018524099174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0.103064772506587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0.00437936142590286</c:v>
                </c:pt>
                <c:pt idx="1">
                  <c:v>0.00262821248443337</c:v>
                </c:pt>
                <c:pt idx="2">
                  <c:v>0.00350378695516812</c:v>
                </c:pt>
                <c:pt idx="3">
                  <c:v>0.00437936142590286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0.00547598192741162</c:v>
                </c:pt>
                <c:pt idx="3">
                  <c:v>0.00547598192741162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0.223759349205148</c:v>
                </c:pt>
                <c:pt idx="1">
                  <c:v>0.223759349205148</c:v>
                </c:pt>
                <c:pt idx="2">
                  <c:v>0.223759349205148</c:v>
                </c:pt>
                <c:pt idx="3">
                  <c:v>0.223759349205148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1.11022302462516E-16</c:v>
                </c:pt>
                <c:pt idx="2">
                  <c:v>0.163942362505866</c:v>
                </c:pt>
                <c:pt idx="3">
                  <c:v>0.522519009626332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423816"/>
        <c:axId val="-2056462504"/>
      </c:barChart>
      <c:catAx>
        <c:axId val="-2056423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62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46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23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0.0296605097740616</c:v>
                </c:pt>
                <c:pt idx="1">
                  <c:v>0.0296605097740616</c:v>
                </c:pt>
                <c:pt idx="2">
                  <c:v>0.0575762836790607</c:v>
                </c:pt>
                <c:pt idx="3">
                  <c:v>0.0575762836790606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0.0448067320987562</c:v>
                </c:pt>
                <c:pt idx="1">
                  <c:v>0.0520729354571271</c:v>
                </c:pt>
                <c:pt idx="2">
                  <c:v>0.00309846919321237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0.00697146029210632</c:v>
                </c:pt>
                <c:pt idx="1">
                  <c:v>0.00810200576629096</c:v>
                </c:pt>
                <c:pt idx="2">
                  <c:v>0.000482089497158271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0.0169306892808296</c:v>
                </c:pt>
                <c:pt idx="1">
                  <c:v>0.0196762997181352</c:v>
                </c:pt>
                <c:pt idx="2">
                  <c:v>0.00117078877881294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0.449048747508055</c:v>
                </c:pt>
                <c:pt idx="1">
                  <c:v>0.521869936744167</c:v>
                </c:pt>
                <c:pt idx="2">
                  <c:v>0.0310525594086548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0.048209415407448</c:v>
                </c:pt>
                <c:pt idx="3">
                  <c:v>0.023744935946952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0.119949568644738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0.0379873332147305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0.00330292354996539</c:v>
                </c:pt>
                <c:pt idx="1">
                  <c:v>0.00330292354996539</c:v>
                </c:pt>
                <c:pt idx="2">
                  <c:v>0.00330292354996539</c:v>
                </c:pt>
                <c:pt idx="3">
                  <c:v>0.00330292354996539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0.102987005374825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0.00500498448674613</c:v>
                </c:pt>
                <c:pt idx="1">
                  <c:v>0.003003671410781</c:v>
                </c:pt>
                <c:pt idx="2">
                  <c:v>0.00400432794876357</c:v>
                </c:pt>
                <c:pt idx="3">
                  <c:v>0.00500498448674613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0.014066828884082</c:v>
                </c:pt>
                <c:pt idx="3">
                  <c:v>0.014066828884082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0.26849153911454</c:v>
                </c:pt>
                <c:pt idx="1">
                  <c:v>0.26849153911454</c:v>
                </c:pt>
                <c:pt idx="2">
                  <c:v>0.26849153911454</c:v>
                </c:pt>
                <c:pt idx="3">
                  <c:v>0.26849153911454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0.512711929288101</c:v>
                </c:pt>
                <c:pt idx="3">
                  <c:v>0.426089312671108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230888"/>
        <c:axId val="-2057233288"/>
      </c:barChart>
      <c:catAx>
        <c:axId val="-2057230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33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23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30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0.0112817111391959</c:v>
                </c:pt>
                <c:pt idx="2">
                  <c:v>0.0112817111391959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0.0334925799444878</c:v>
                </c:pt>
                <c:pt idx="2">
                  <c:v>0.0334925799444878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0.0216044768315601</c:v>
                </c:pt>
                <c:pt idx="2">
                  <c:v>0.00764335929680521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0.0027355759319512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0.00752910806959047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0.0014639932357537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0.00334627025315132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0.0224752839101168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0.00951894377369652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0.0362481737431319</c:v>
                </c:pt>
                <c:pt idx="2">
                  <c:v>0.0362481737431319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0.0436437297767261</c:v>
                </c:pt>
                <c:pt idx="2">
                  <c:v>0.0436437297767261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0.0992264737780885</c:v>
                </c:pt>
                <c:pt idx="2">
                  <c:v>0.0959100809379117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0.148918587037386</c:v>
                </c:pt>
                <c:pt idx="2">
                  <c:v>0.148918587037386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0.0729104484300913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231416"/>
        <c:axId val="-2114233272"/>
      </c:barChart>
      <c:catAx>
        <c:axId val="-211423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23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23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23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1.0427895392278954E-2</v>
      </c>
      <c r="J6" s="24">
        <f t="shared" ref="J6:J13" si="3">IF(I$32&lt;=1+I$131,I6,B6*H6+J$33*(I6-B6*H6))</f>
        <v>1.0427895392278954E-2</v>
      </c>
      <c r="K6" s="22">
        <f t="shared" ref="K6:K31" si="4">B6</f>
        <v>2.0855790784557907E-2</v>
      </c>
      <c r="L6" s="22">
        <f t="shared" ref="L6:L29" si="5">IF(K6="","",K6*H6)</f>
        <v>1.0427895392278954E-2</v>
      </c>
      <c r="M6" s="177">
        <f t="shared" ref="M6:M31" si="6">J6</f>
        <v>1.0427895392278954E-2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4.1711581569115815E-2</v>
      </c>
      <c r="Z6" s="156">
        <f>Poor!Z6</f>
        <v>0.17</v>
      </c>
      <c r="AA6" s="121">
        <f>$M6*Z6*4</f>
        <v>7.090968866749689E-3</v>
      </c>
      <c r="AB6" s="156">
        <f>Poor!AB6</f>
        <v>0.17</v>
      </c>
      <c r="AC6" s="121">
        <f t="shared" ref="AC6:AC29" si="7">$M6*AB6*4</f>
        <v>7.090968866749689E-3</v>
      </c>
      <c r="AD6" s="156">
        <f>Poor!AD6</f>
        <v>0.33</v>
      </c>
      <c r="AE6" s="121">
        <f t="shared" ref="AE6:AE29" si="8">$M6*AD6*4</f>
        <v>1.376482191780822E-2</v>
      </c>
      <c r="AF6" s="122">
        <f>1-SUM(Z6,AB6,AD6)</f>
        <v>0.32999999999999996</v>
      </c>
      <c r="AG6" s="121">
        <f>$M6*AF6*4</f>
        <v>1.3764821917808217E-2</v>
      </c>
      <c r="AH6" s="123">
        <f>SUM(Z6,AB6,AD6,AF6)</f>
        <v>1</v>
      </c>
      <c r="AI6" s="183">
        <f>SUM(AA6,AC6,AE6,AG6)/4</f>
        <v>1.0427895392278954E-2</v>
      </c>
      <c r="AJ6" s="120">
        <f>(AA6+AC6)/2</f>
        <v>7.090968866749689E-3</v>
      </c>
      <c r="AK6" s="119">
        <f>(AE6+AG6)/2</f>
        <v>1.3764821917808218E-2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4063.8872051995622</v>
      </c>
      <c r="T7" s="222">
        <f>IF($B$81=0,0,(SUMIF($N$6:$N$28,$U7,M$6:M$28)+SUMIF($N$91:$N$118,$U7,M$91:M$118))*$I$83*Poor!$B$81/$B$81)</f>
        <v>4523.7126263254277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8.508872976338731E-3</v>
      </c>
      <c r="J8" s="24">
        <f t="shared" si="3"/>
        <v>8.508872976338731E-3</v>
      </c>
      <c r="K8" s="22">
        <f t="shared" si="4"/>
        <v>1.7017745952677462E-2</v>
      </c>
      <c r="L8" s="22">
        <f t="shared" si="5"/>
        <v>8.508872976338731E-3</v>
      </c>
      <c r="M8" s="224">
        <f t="shared" si="6"/>
        <v>8.508872976338731E-3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1114.3999999999999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3.4035491905354924E-2</v>
      </c>
      <c r="Z8" s="125">
        <f>IF($Y8=0,0,AA8/$Y8)</f>
        <v>0.75676436657050716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2.5756847472671544E-2</v>
      </c>
      <c r="AB8" s="125">
        <f>IF($Y8=0,0,AC8/$Y8)</f>
        <v>0.24323563342949281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8.2786444326833804E-3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8.508872976338731E-3</v>
      </c>
      <c r="AJ8" s="120">
        <f t="shared" si="14"/>
        <v>1.7017745952677462E-2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3.7222222222222219E-2</v>
      </c>
      <c r="J9" s="24">
        <f t="shared" si="3"/>
        <v>3.7222222222222219E-2</v>
      </c>
      <c r="K9" s="22">
        <f t="shared" si="4"/>
        <v>3.7222222222222219E-2</v>
      </c>
      <c r="L9" s="22">
        <f t="shared" si="5"/>
        <v>3.7222222222222219E-2</v>
      </c>
      <c r="M9" s="224">
        <f t="shared" si="6"/>
        <v>3.7222222222222219E-2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321.40113045639407</v>
      </c>
      <c r="T9" s="222">
        <f>IF($B$81=0,0,(SUMIF($N$6:$N$28,$U9,M$6:M$28)+SUMIF($N$91:$N$118,$U9,M$91:M$118))*$I$83*Poor!$B$81/$B$81)</f>
        <v>321.40113045639407</v>
      </c>
      <c r="U9" s="223">
        <v>3</v>
      </c>
      <c r="V9" s="56"/>
      <c r="W9" s="115"/>
      <c r="X9" s="118">
        <f>Poor!X9</f>
        <v>1</v>
      </c>
      <c r="Y9" s="183">
        <f t="shared" si="9"/>
        <v>0.14888888888888888</v>
      </c>
      <c r="Z9" s="125">
        <f>IF($Y9=0,0,AA9/$Y9)</f>
        <v>0.75676436657050716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0.11267380568938662</v>
      </c>
      <c r="AB9" s="125">
        <f>IF($Y9=0,0,AC9/$Y9)</f>
        <v>0.24323563342949278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3.6215083199502257E-2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3.7222222222222219E-2</v>
      </c>
      <c r="AJ9" s="120">
        <f t="shared" si="14"/>
        <v>7.4444444444444438E-2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1</v>
      </c>
      <c r="H10" s="24">
        <f t="shared" si="1"/>
        <v>1</v>
      </c>
      <c r="I10" s="22">
        <f t="shared" si="2"/>
        <v>2.0833333333333332E-2</v>
      </c>
      <c r="J10" s="24">
        <f t="shared" si="3"/>
        <v>2.0833333333333332E-2</v>
      </c>
      <c r="K10" s="22">
        <f t="shared" si="4"/>
        <v>2.0833333333333332E-2</v>
      </c>
      <c r="L10" s="22">
        <f t="shared" si="5"/>
        <v>2.0833333333333332E-2</v>
      </c>
      <c r="M10" s="224">
        <f t="shared" si="6"/>
        <v>2.0833333333333332E-2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8.3333333333333329E-2</v>
      </c>
      <c r="Z10" s="125">
        <f>IF($Y10=0,0,AA10/$Y10)</f>
        <v>0.75676436657050716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6.306369721420893E-2</v>
      </c>
      <c r="AB10" s="125">
        <f>IF($Y10=0,0,AC10/$Y10)</f>
        <v>0.24323563342949278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2.0269636119124398E-2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2.0833333333333332E-2</v>
      </c>
      <c r="AJ10" s="120">
        <f t="shared" si="14"/>
        <v>4.1666666666666664E-2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0.13667392787671231</v>
      </c>
      <c r="J11" s="24">
        <f t="shared" si="3"/>
        <v>0.13667392787671231</v>
      </c>
      <c r="K11" s="22">
        <f t="shared" si="4"/>
        <v>0.12538892465753423</v>
      </c>
      <c r="L11" s="22">
        <f t="shared" si="5"/>
        <v>0.13667392787671231</v>
      </c>
      <c r="M11" s="224">
        <f t="shared" si="6"/>
        <v>0.13667392787671231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0.54669571150684926</v>
      </c>
      <c r="Z11" s="125">
        <f>IF($Y11=0,0,AA11/$Y11)</f>
        <v>0.75676436657050716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0.41371983382529348</v>
      </c>
      <c r="AB11" s="125">
        <f>IF($Y11=0,0,AC11/$Y11)</f>
        <v>0.24323563342949286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0.13297587768155578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0.13667392787671231</v>
      </c>
      <c r="AJ11" s="120">
        <f t="shared" si="14"/>
        <v>0.27334785575342463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855.49999999999989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1</v>
      </c>
      <c r="H13" s="24">
        <f t="shared" si="1"/>
        <v>1</v>
      </c>
      <c r="I13" s="22">
        <f t="shared" si="2"/>
        <v>9.6559414694894138E-3</v>
      </c>
      <c r="J13" s="24">
        <f t="shared" si="3"/>
        <v>9.6559414694894138E-3</v>
      </c>
      <c r="K13" s="22">
        <f t="shared" si="4"/>
        <v>9.6559414694894138E-3</v>
      </c>
      <c r="L13" s="22">
        <f t="shared" si="5"/>
        <v>9.6559414694894138E-3</v>
      </c>
      <c r="M13" s="225">
        <f t="shared" si="6"/>
        <v>9.6559414694894138E-3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6316.3953735891346</v>
      </c>
      <c r="T13" s="222">
        <f>IF($B$81=0,0,(SUMIF($N$6:$N$28,$U13,M$6:M$28)+SUMIF($N$91:$N$118,$U13,M$91:M$118))*$I$83*Poor!$B$81/$B$81)</f>
        <v>6316.3953735891346</v>
      </c>
      <c r="U13" s="223">
        <v>7</v>
      </c>
      <c r="V13" s="56"/>
      <c r="W13" s="110"/>
      <c r="X13" s="118"/>
      <c r="Y13" s="183">
        <f t="shared" si="9"/>
        <v>3.8623765877957655E-2</v>
      </c>
      <c r="Z13" s="156">
        <f>Poor!Z13</f>
        <v>1</v>
      </c>
      <c r="AA13" s="121">
        <f>$M13*Z13*4</f>
        <v>3.8623765877957655E-2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9.6559414694894138E-3</v>
      </c>
      <c r="AJ13" s="120">
        <f t="shared" si="14"/>
        <v>1.9311882938978828E-2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1</v>
      </c>
      <c r="F14" s="22"/>
      <c r="H14" s="24">
        <f t="shared" si="1"/>
        <v>1</v>
      </c>
      <c r="I14" s="22">
        <f t="shared" si="2"/>
        <v>5.5398194271481945E-4</v>
      </c>
      <c r="J14" s="24">
        <f>IF(I$32&lt;=1+I131,I14,B14*H14+J$33*(I14-B14*H14))</f>
        <v>5.5398194271481945E-4</v>
      </c>
      <c r="K14" s="22">
        <f t="shared" si="4"/>
        <v>5.5398194271481945E-4</v>
      </c>
      <c r="L14" s="22">
        <f t="shared" si="5"/>
        <v>5.5398194271481945E-4</v>
      </c>
      <c r="M14" s="225">
        <f t="shared" si="6"/>
        <v>5.5398194271481945E-4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2.2159277708592778E-3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2.2159277708592778E-3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5.5398194271481945E-4</v>
      </c>
      <c r="AJ14" s="120">
        <f t="shared" si="14"/>
        <v>1.1079638854296389E-3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1</v>
      </c>
      <c r="F15" s="22"/>
      <c r="H15" s="24">
        <f t="shared" si="1"/>
        <v>1</v>
      </c>
      <c r="I15" s="22">
        <f t="shared" si="2"/>
        <v>1.8103408514367418E-3</v>
      </c>
      <c r="J15" s="24">
        <f t="shared" ref="J15:J25" si="17"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7.2413634057469671E-3</v>
      </c>
      <c r="Z15" s="156">
        <f>Poor!Z15</f>
        <v>0.25</v>
      </c>
      <c r="AA15" s="121">
        <f t="shared" si="16"/>
        <v>1.8103408514367418E-3</v>
      </c>
      <c r="AB15" s="156">
        <f>Poor!AB15</f>
        <v>0.25</v>
      </c>
      <c r="AC15" s="121">
        <f t="shared" si="7"/>
        <v>1.8103408514367418E-3</v>
      </c>
      <c r="AD15" s="156">
        <f>Poor!AD15</f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3.3217842465753426E-2</v>
      </c>
      <c r="J16" s="24">
        <f t="shared" si="17"/>
        <v>3.3217842465753426E-2</v>
      </c>
      <c r="K16" s="22">
        <f t="shared" ref="K16:K25" si="21">B16</f>
        <v>3.9884163553341638E-3</v>
      </c>
      <c r="L16" s="22">
        <f t="shared" ref="L16:L25" si="22">IF(K16="","",K16*H16)</f>
        <v>3.9884163553341638E-3</v>
      </c>
      <c r="M16" s="226">
        <f t="shared" ref="M16:M25" si="23">J16</f>
        <v>3.3217842465753426E-2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733.43999999999994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1</v>
      </c>
      <c r="F17" s="22"/>
      <c r="H17" s="24">
        <f t="shared" si="19"/>
        <v>1</v>
      </c>
      <c r="I17" s="22">
        <f t="shared" si="20"/>
        <v>3.7226805728518054E-3</v>
      </c>
      <c r="J17" s="24">
        <f t="shared" si="17"/>
        <v>3.7226805728518054E-3</v>
      </c>
      <c r="K17" s="22">
        <f t="shared" si="21"/>
        <v>3.7226805728518054E-3</v>
      </c>
      <c r="L17" s="22">
        <f t="shared" si="22"/>
        <v>3.7226805728518054E-3</v>
      </c>
      <c r="M17" s="226">
        <f t="shared" si="23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1</v>
      </c>
      <c r="F18" s="22"/>
      <c r="H18" s="24">
        <f t="shared" si="19"/>
        <v>1</v>
      </c>
      <c r="I18" s="22">
        <f t="shared" si="20"/>
        <v>1.727506226650062E-3</v>
      </c>
      <c r="J18" s="24">
        <f t="shared" si="17"/>
        <v>1.727506226650062E-3</v>
      </c>
      <c r="K18" s="22">
        <f t="shared" si="21"/>
        <v>0</v>
      </c>
      <c r="L18" s="22">
        <f t="shared" si="22"/>
        <v>0</v>
      </c>
      <c r="M18" s="226">
        <f t="shared" si="23"/>
        <v>1.727506226650062E-3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1</v>
      </c>
      <c r="F19" s="22"/>
      <c r="H19" s="24">
        <f t="shared" si="19"/>
        <v>1</v>
      </c>
      <c r="I19" s="22">
        <f t="shared" si="20"/>
        <v>1.5644458281444584E-3</v>
      </c>
      <c r="J19" s="24">
        <f t="shared" si="17"/>
        <v>1.5644458281444584E-3</v>
      </c>
      <c r="K19" s="22">
        <f t="shared" si="21"/>
        <v>1.5644458281444584E-3</v>
      </c>
      <c r="L19" s="22">
        <f t="shared" si="22"/>
        <v>1.5644458281444584E-3</v>
      </c>
      <c r="M19" s="226">
        <f t="shared" si="23"/>
        <v>1.5644458281444584E-3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1</v>
      </c>
      <c r="F20" s="22"/>
      <c r="H20" s="24">
        <f t="shared" si="19"/>
        <v>1</v>
      </c>
      <c r="I20" s="22">
        <f t="shared" si="20"/>
        <v>1.9552303860523038E-2</v>
      </c>
      <c r="J20" s="24">
        <f t="shared" si="17"/>
        <v>1.9552303860523038E-2</v>
      </c>
      <c r="K20" s="22">
        <f t="shared" si="21"/>
        <v>1.9552303860523038E-2</v>
      </c>
      <c r="L20" s="22">
        <f t="shared" si="22"/>
        <v>1.9552303860523038E-2</v>
      </c>
      <c r="M20" s="226">
        <f t="shared" si="23"/>
        <v>1.9552303860523038E-2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1</v>
      </c>
      <c r="F22" s="22"/>
      <c r="H22" s="24">
        <f t="shared" si="19"/>
        <v>1</v>
      </c>
      <c r="I22" s="22">
        <f t="shared" si="20"/>
        <v>5.1259623287671231E-2</v>
      </c>
      <c r="J22" s="24">
        <f t="shared" si="17"/>
        <v>5.1259623287671231E-2</v>
      </c>
      <c r="K22" s="22">
        <f t="shared" si="21"/>
        <v>5.1259623287671231E-2</v>
      </c>
      <c r="L22" s="22">
        <f t="shared" si="22"/>
        <v>5.1259623287671231E-2</v>
      </c>
      <c r="M22" s="226">
        <f t="shared" si="23"/>
        <v>5.1259623287671231E-2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19083.588964184401</v>
      </c>
      <c r="T23" s="179">
        <f>SUM(T7:T22)</f>
        <v>18879.687718643596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0.6111905354919055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21391.362723686787</v>
      </c>
      <c r="T30" s="234">
        <f t="shared" si="24"/>
        <v>21595.263969227592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-0.37130429632506501</v>
      </c>
      <c r="AB30" s="122">
        <f>IF($Y30=0,0,AC30/($Y$30))</f>
        <v>0</v>
      </c>
      <c r="AC30" s="187">
        <f>IF(AC79*4/$I$83+SUM(AC6:AC29)&lt;1,AC79*4/$I$83,1-SUM(AC6:AC29))</f>
        <v>-0.37130429632506501</v>
      </c>
      <c r="AD30" s="122">
        <f>IF($Y30=0,0,AE30/($Y$30))</f>
        <v>0</v>
      </c>
      <c r="AE30" s="187">
        <f>IF(AE79*4/$I$83+SUM(AE6:AE29)&lt;1,AE79*4/$I$83,1-SUM(AE6:AE29))</f>
        <v>-0.37130429632506501</v>
      </c>
      <c r="AF30" s="122">
        <f>IF($Y30=0,0,AG30/($Y$30))</f>
        <v>0</v>
      </c>
      <c r="AG30" s="187">
        <f>IF(AG79*4/$I$83+SUM(AG6:AG29)&lt;1,AG79*4/$I$83,1-SUM(AG6:AG29))</f>
        <v>-0.37130429632506501</v>
      </c>
      <c r="AH30" s="123">
        <f t="shared" si="12"/>
        <v>0</v>
      </c>
      <c r="AI30" s="183">
        <f t="shared" si="13"/>
        <v>-0.37130429632506501</v>
      </c>
      <c r="AJ30" s="120">
        <f t="shared" si="14"/>
        <v>-0.37130429632506501</v>
      </c>
      <c r="AK30" s="119">
        <f t="shared" si="15"/>
        <v>-0.37130429632506501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0.3180573319523563</v>
      </c>
      <c r="K31" s="22" t="str">
        <f t="shared" si="4"/>
        <v/>
      </c>
      <c r="L31" s="22">
        <f>(1-SUM(L6:L30))</f>
        <v>0.4533208893625974</v>
      </c>
      <c r="M31" s="241">
        <f t="shared" si="6"/>
        <v>0.3180573319523563</v>
      </c>
      <c r="N31" s="167">
        <f>M31*I83</f>
        <v>5398.1748125957502</v>
      </c>
      <c r="P31" s="22"/>
      <c r="Q31" s="238" t="s">
        <v>142</v>
      </c>
      <c r="R31" s="234">
        <f t="shared" si="24"/>
        <v>6021.8931138272528</v>
      </c>
      <c r="S31" s="234">
        <f t="shared" si="24"/>
        <v>40829.371612575706</v>
      </c>
      <c r="T31" s="234">
        <f>IF(T25&gt;T$23,T25-T$23,0)</f>
        <v>41033.272858116514</v>
      </c>
      <c r="V31" s="56"/>
      <c r="W31" s="129" t="s">
        <v>84</v>
      </c>
      <c r="X31" s="130"/>
      <c r="Y31" s="121">
        <f>M31*4</f>
        <v>1.2722293278094252</v>
      </c>
      <c r="Z31" s="131"/>
      <c r="AA31" s="132">
        <f>1-AA32+IF($Y32&lt;0,$Y32/4,0)</f>
        <v>0.37130429632506512</v>
      </c>
      <c r="AB31" s="131"/>
      <c r="AC31" s="133">
        <f>1-AC32+IF($Y32&lt;0,$Y32/4,0)</f>
        <v>0.82600462419961285</v>
      </c>
      <c r="AD31" s="134"/>
      <c r="AE31" s="133">
        <f>1-AE32+IF($Y32&lt;0,$Y32/4,0)</f>
        <v>1.0188771668529022</v>
      </c>
      <c r="AF31" s="134"/>
      <c r="AG31" s="133">
        <f>1-AG32+IF($Y32&lt;0,$Y32/4,0)</f>
        <v>0.98543803469848124</v>
      </c>
      <c r="AH31" s="123"/>
      <c r="AI31" s="182">
        <f>SUM(AA31,AC31,AE31,AG31)/4</f>
        <v>0.80040603051901538</v>
      </c>
      <c r="AJ31" s="135">
        <f t="shared" si="14"/>
        <v>0.59865446026233893</v>
      </c>
      <c r="AK31" s="136">
        <f t="shared" si="15"/>
        <v>1.0021576007756918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0.6819426680476437</v>
      </c>
      <c r="J32" s="17"/>
      <c r="L32" s="22">
        <f>SUM(L6:L30)</f>
        <v>0.5466791106374026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75126.240184004288</v>
      </c>
      <c r="T32" s="234">
        <f t="shared" si="24"/>
        <v>75330.141429545096</v>
      </c>
      <c r="V32" s="56"/>
      <c r="W32" s="110"/>
      <c r="X32" s="118"/>
      <c r="Y32" s="115">
        <f>SUM(Y6:Y31)</f>
        <v>3.5558223910336242</v>
      </c>
      <c r="Z32" s="137"/>
      <c r="AA32" s="138">
        <f>SUM(AA6:AA30)</f>
        <v>0.62869570367493488</v>
      </c>
      <c r="AB32" s="137"/>
      <c r="AC32" s="139">
        <f>SUM(AC6:AC30)</f>
        <v>0.17399537580038715</v>
      </c>
      <c r="AD32" s="137"/>
      <c r="AE32" s="139">
        <f>SUM(AE6:AE30)</f>
        <v>-1.8877166852902139E-2</v>
      </c>
      <c r="AF32" s="137"/>
      <c r="AG32" s="139">
        <f>SUM(AG6:AG30)</f>
        <v>1.4561965301518764E-2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4.503083190698729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35635.098045520754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0.75676436657050716</v>
      </c>
      <c r="AA39" s="147">
        <f t="shared" ref="AA39:AA64" si="40">$J39*Z39</f>
        <v>0</v>
      </c>
      <c r="AB39" s="122">
        <f>AB8</f>
        <v>0.24323563342949281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0.75676436657050716</v>
      </c>
      <c r="AA40" s="147">
        <f t="shared" si="40"/>
        <v>0</v>
      </c>
      <c r="AB40" s="122">
        <f>AB9</f>
        <v>0.24323563342949278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0.75676436657050716</v>
      </c>
      <c r="AA41" s="147">
        <f t="shared" si="40"/>
        <v>0</v>
      </c>
      <c r="AB41" s="122">
        <f>AB11</f>
        <v>0.24323563342949286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3.2717075197341086E-2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2.0066472787702533E-3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855.49999999999989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2.665662650602409E-2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592.00000000000011</v>
      </c>
      <c r="J54" s="38">
        <f t="shared" si="32"/>
        <v>592.00000000000011</v>
      </c>
      <c r="K54" s="40">
        <f t="shared" si="33"/>
        <v>1.6618196925633568E-2</v>
      </c>
      <c r="L54" s="22">
        <f t="shared" si="34"/>
        <v>1.8446198587453264E-2</v>
      </c>
      <c r="M54" s="24">
        <f t="shared" si="35"/>
        <v>1.8446198587453264E-2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858.40000000000009</v>
      </c>
      <c r="J55" s="38">
        <f t="shared" si="32"/>
        <v>858.4000000000002</v>
      </c>
      <c r="K55" s="40">
        <f t="shared" si="33"/>
        <v>2.4096385542168672E-2</v>
      </c>
      <c r="L55" s="22">
        <f t="shared" si="34"/>
        <v>2.674698795180723E-2</v>
      </c>
      <c r="M55" s="24">
        <f t="shared" si="35"/>
        <v>2.6746987951807234E-2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3996.0000000000005</v>
      </c>
      <c r="J56" s="38">
        <f t="shared" si="32"/>
        <v>3996.0000000000005</v>
      </c>
      <c r="K56" s="40">
        <f t="shared" si="33"/>
        <v>0.11217282924802659</v>
      </c>
      <c r="L56" s="22">
        <f t="shared" si="34"/>
        <v>0.12451184046530953</v>
      </c>
      <c r="M56" s="24">
        <f t="shared" si="35"/>
        <v>0.12451184046530951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733.43999999999994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2.2853344412131282E-2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183.35999999999999</v>
      </c>
      <c r="AB59" s="156">
        <f>Poor!AB59</f>
        <v>0.25</v>
      </c>
      <c r="AC59" s="147">
        <f t="shared" si="41"/>
        <v>183.35999999999999</v>
      </c>
      <c r="AD59" s="156">
        <f>Poor!AD59</f>
        <v>0.25</v>
      </c>
      <c r="AE59" s="147">
        <f t="shared" si="42"/>
        <v>183.35999999999999</v>
      </c>
      <c r="AF59" s="122">
        <f t="shared" si="29"/>
        <v>0.25</v>
      </c>
      <c r="AG59" s="147">
        <f t="shared" si="36"/>
        <v>183.35999999999999</v>
      </c>
      <c r="AH59" s="123">
        <f t="shared" ref="AH59:AI64" si="43">SUM(Z59,AB59,AD59,AF59)</f>
        <v>1</v>
      </c>
      <c r="AI59" s="112">
        <f t="shared" si="43"/>
        <v>733.43999999999994</v>
      </c>
      <c r="AJ59" s="148">
        <f t="shared" si="38"/>
        <v>366.71999999999997</v>
      </c>
      <c r="AK59" s="147">
        <f t="shared" si="39"/>
        <v>366.71999999999997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0.67677606979642702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11118.14</v>
      </c>
      <c r="J65" s="39">
        <f>SUM(J37:J64)</f>
        <v>11118.14</v>
      </c>
      <c r="K65" s="40">
        <f>SUM(K37:K64)</f>
        <v>0.99999999999999989</v>
      </c>
      <c r="L65" s="22">
        <f>SUM(L37:L64)</f>
        <v>0.36711258828417115</v>
      </c>
      <c r="M65" s="24">
        <f>SUM(M37:M64)</f>
        <v>0.34643144993768171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1204.06</v>
      </c>
      <c r="AB65" s="137"/>
      <c r="AC65" s="153">
        <f>SUM(AC37:AC64)</f>
        <v>1204.06</v>
      </c>
      <c r="AD65" s="137"/>
      <c r="AE65" s="153">
        <f>SUM(AE37:AE64)</f>
        <v>1204.06</v>
      </c>
      <c r="AF65" s="137"/>
      <c r="AG65" s="153">
        <f>SUM(AG37:AG64)</f>
        <v>1204.06</v>
      </c>
      <c r="AH65" s="137"/>
      <c r="AI65" s="153">
        <f>SUM(AI37:AI64)</f>
        <v>4816.24</v>
      </c>
      <c r="AJ65" s="153">
        <f>SUM(AJ37:AJ64)</f>
        <v>2408.12</v>
      </c>
      <c r="AK65" s="153">
        <f>SUM(AK37:AK64)</f>
        <v>2408.12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11118.140000000001</v>
      </c>
      <c r="J70" s="51">
        <f t="shared" ref="J70:J77" si="44">J124*I$83</f>
        <v>11118.140000000001</v>
      </c>
      <c r="K70" s="40">
        <f>B70/B$76</f>
        <v>0.60794177302729779</v>
      </c>
      <c r="L70" s="22">
        <f t="shared" ref="L70:L74" si="45">(L124*G$37*F$9/F$7)/B$130</f>
        <v>0.3671125882841712</v>
      </c>
      <c r="M70" s="24">
        <f>J70/B$76</f>
        <v>0.34643144993768177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2779.5350000000003</v>
      </c>
      <c r="AB70" s="156">
        <f>Poor!AB70</f>
        <v>0.25</v>
      </c>
      <c r="AC70" s="147">
        <f>$J70*AB70</f>
        <v>2779.5350000000003</v>
      </c>
      <c r="AD70" s="156">
        <f>Poor!AD70</f>
        <v>0.25</v>
      </c>
      <c r="AE70" s="147">
        <f>$J70*AD70</f>
        <v>2779.5350000000003</v>
      </c>
      <c r="AF70" s="156">
        <f>Poor!AF70</f>
        <v>0.25</v>
      </c>
      <c r="AG70" s="147">
        <f>$J70*AF70</f>
        <v>2779.5350000000003</v>
      </c>
      <c r="AH70" s="155">
        <f>SUM(Z70,AB70,AD70,AF70)</f>
        <v>1</v>
      </c>
      <c r="AI70" s="147">
        <f>SUM(AA70,AC70,AE70,AG70)</f>
        <v>11118.140000000001</v>
      </c>
      <c r="AJ70" s="148">
        <f>(AA70+AC70)</f>
        <v>5559.0700000000006</v>
      </c>
      <c r="AK70" s="147">
        <f>(AE70+AG70)</f>
        <v>5559.0700000000006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0.51328070904306955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0.19589320974580604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-1575.4750000000004</v>
      </c>
      <c r="AB74" s="156"/>
      <c r="AC74" s="147">
        <f>AC30*$I$83/4</f>
        <v>-1575.4750000000004</v>
      </c>
      <c r="AD74" s="156"/>
      <c r="AE74" s="147">
        <f>AE30*$I$83/4</f>
        <v>-1575.4750000000004</v>
      </c>
      <c r="AF74" s="156"/>
      <c r="AG74" s="147">
        <f>AG30*$I$83/4</f>
        <v>-1575.4750000000004</v>
      </c>
      <c r="AH74" s="155"/>
      <c r="AI74" s="147">
        <f>SUM(AA74,AC74,AE74,AG74)</f>
        <v>-6301.9000000000015</v>
      </c>
      <c r="AJ74" s="148">
        <f>(AA74+AC74)</f>
        <v>-3150.9500000000007</v>
      </c>
      <c r="AK74" s="147">
        <f>(AE74+AG74)</f>
        <v>-3150.9500000000007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11118.140000000001</v>
      </c>
      <c r="J76" s="51">
        <f t="shared" si="44"/>
        <v>11118.140000000001</v>
      </c>
      <c r="K76" s="40">
        <f>SUM(K70:K75)</f>
        <v>2.292577143534376</v>
      </c>
      <c r="L76" s="22">
        <f>SUM(L70:L75)</f>
        <v>0.3671125882841712</v>
      </c>
      <c r="M76" s="24">
        <f>SUM(M70:M75)</f>
        <v>0.34643144993768177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1204.06</v>
      </c>
      <c r="AB76" s="137"/>
      <c r="AC76" s="153">
        <f>AC65</f>
        <v>1204.06</v>
      </c>
      <c r="AD76" s="137"/>
      <c r="AE76" s="153">
        <f>AE65</f>
        <v>1204.06</v>
      </c>
      <c r="AF76" s="137"/>
      <c r="AG76" s="153">
        <f>AG65</f>
        <v>1204.06</v>
      </c>
      <c r="AH76" s="137"/>
      <c r="AI76" s="153">
        <f>SUM(AA76,AC76,AE76,AG76)</f>
        <v>4816.24</v>
      </c>
      <c r="AJ76" s="154">
        <f>SUM(AA76,AC76)</f>
        <v>2408.12</v>
      </c>
      <c r="AK76" s="154">
        <f>SUM(AE76,AG76)</f>
        <v>2408.12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35635.098045520754</v>
      </c>
      <c r="J77" s="100">
        <f t="shared" si="44"/>
        <v>35635.098045520754</v>
      </c>
      <c r="K77" s="40"/>
      <c r="L77" s="22">
        <f>-(L131*G$37*F$9/F$7)/B$130</f>
        <v>-1.1103582689713569</v>
      </c>
      <c r="M77" s="24">
        <f>-J77/B$76</f>
        <v>-1.1103582689713569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1575.4750000000008</v>
      </c>
      <c r="AB77" s="112"/>
      <c r="AC77" s="111">
        <f>AC31*$I$83/4</f>
        <v>3504.8062955123887</v>
      </c>
      <c r="AD77" s="112"/>
      <c r="AE77" s="111">
        <f>AE31*$I$83/4</f>
        <v>4323.1805296490875</v>
      </c>
      <c r="AF77" s="112"/>
      <c r="AG77" s="111">
        <f>AG31*$I$83/4</f>
        <v>4181.2955117475858</v>
      </c>
      <c r="AH77" s="110"/>
      <c r="AI77" s="154">
        <f>SUM(AA77,AC77,AE77,AG77)</f>
        <v>13584.757336909064</v>
      </c>
      <c r="AJ77" s="153">
        <f>SUM(AA77,AC77)</f>
        <v>5080.28129551239</v>
      </c>
      <c r="AK77" s="160">
        <f>SUM(AE77,AG77)</f>
        <v>8504.4760413966724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-1575.4750000000004</v>
      </c>
      <c r="AB79" s="112"/>
      <c r="AC79" s="112">
        <f>AA79-AA74+AC65-AC70</f>
        <v>-1575.4750000000004</v>
      </c>
      <c r="AD79" s="112"/>
      <c r="AE79" s="112">
        <f>AC79-AC74+AE65-AE70</f>
        <v>-1575.4750000000004</v>
      </c>
      <c r="AF79" s="112"/>
      <c r="AG79" s="112">
        <f>AE79-AE74+AG65-AG70</f>
        <v>-1575.4750000000004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6.1865391571005277E-2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3.7944106830216568E-3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5.0405564275233343E-2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5.0405564275233343E-2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0.67272727272727284</v>
      </c>
      <c r="I108" s="22">
        <f t="shared" si="61"/>
        <v>3.4880296961938222E-2</v>
      </c>
      <c r="J108" s="24">
        <f t="shared" si="62"/>
        <v>3.4880296961938222E-2</v>
      </c>
      <c r="K108" s="22">
        <f t="shared" si="63"/>
        <v>5.1849090078556807E-2</v>
      </c>
      <c r="L108" s="22">
        <f t="shared" si="64"/>
        <v>3.4880296961938222E-2</v>
      </c>
      <c r="M108" s="228">
        <f t="shared" si="65"/>
        <v>3.4880296961938222E-2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0.67272727272727284</v>
      </c>
      <c r="I109" s="22">
        <f t="shared" si="61"/>
        <v>5.0576430594810422E-2</v>
      </c>
      <c r="J109" s="24">
        <f t="shared" si="62"/>
        <v>5.0576430594810422E-2</v>
      </c>
      <c r="K109" s="22">
        <f t="shared" si="63"/>
        <v>7.518118061390737E-2</v>
      </c>
      <c r="L109" s="22">
        <f t="shared" si="64"/>
        <v>5.0576430594810422E-2</v>
      </c>
      <c r="M109" s="228">
        <f t="shared" si="65"/>
        <v>5.0576430594810422E-2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0.67272727272727284</v>
      </c>
      <c r="I110" s="22">
        <f t="shared" si="61"/>
        <v>0.23544200449308297</v>
      </c>
      <c r="J110" s="24">
        <f t="shared" si="62"/>
        <v>0.23544200449308297</v>
      </c>
      <c r="K110" s="22">
        <f t="shared" si="63"/>
        <v>0.34998135803025843</v>
      </c>
      <c r="L110" s="22">
        <f t="shared" si="64"/>
        <v>0.23544200449308297</v>
      </c>
      <c r="M110" s="228">
        <f t="shared" si="65"/>
        <v>0.23544200449308297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4.3213859803655344E-2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4.3213859803655344E-2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2.1115541934492259</v>
      </c>
      <c r="L115" s="22">
        <f t="shared" si="64"/>
        <v>0</v>
      </c>
      <c r="M115" s="228">
        <f t="shared" si="65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0.65507436632500637</v>
      </c>
      <c r="J119" s="24">
        <f>SUM(J91:J118)</f>
        <v>0.65507436632500637</v>
      </c>
      <c r="K119" s="22">
        <f>SUM(K91:K118)</f>
        <v>3.1200189954771558</v>
      </c>
      <c r="L119" s="22">
        <f>SUM(L91:L118)</f>
        <v>0.69418075692448389</v>
      </c>
      <c r="M119" s="57">
        <f t="shared" si="49"/>
        <v>0.65507436632500637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0.65507436632500637</v>
      </c>
      <c r="J124" s="237">
        <f>IF(SUMPRODUCT($B$124:$B124,$H$124:$H124)&lt;J$119,($B124*$H124),J$119)</f>
        <v>0.65507436632500637</v>
      </c>
      <c r="K124" s="29">
        <f>(B124)</f>
        <v>1.8967898799892307</v>
      </c>
      <c r="L124" s="29">
        <f>IF(SUMPRODUCT($B$124:$B124,$H$124:$H124)&lt;L$119,($B124*$H124),L$119)</f>
        <v>0.69418075692448389</v>
      </c>
      <c r="M124" s="240">
        <f t="shared" si="66"/>
        <v>0.65507436632500637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0.6111905354919055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0.65507436632500637</v>
      </c>
      <c r="J130" s="228">
        <f>(J119)</f>
        <v>0.65507436632500637</v>
      </c>
      <c r="K130" s="29">
        <f>(B130)</f>
        <v>3.1200189954771558</v>
      </c>
      <c r="L130" s="29">
        <f>(L119)</f>
        <v>0.69418075692448389</v>
      </c>
      <c r="M130" s="240">
        <f t="shared" si="66"/>
        <v>0.65507436632500637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2.0995993278641012</v>
      </c>
      <c r="J131" s="237">
        <f>IF(SUMPRODUCT($B124:$B125,$H124:$H125)&gt;(J119-J128),SUMPRODUCT($B124:$B125,$H124:$H125)+J128-J119,0)</f>
        <v>2.0995993278641012</v>
      </c>
      <c r="K131" s="29"/>
      <c r="L131" s="29">
        <f>IF(I131&lt;SUM(L126:L127),0,I131-(SUM(L126:L127)))</f>
        <v>2.0995993278641012</v>
      </c>
      <c r="M131" s="237">
        <f>IF(I131&lt;SUM(M126:M127),0,I131-(SUM(M126:M127)))</f>
        <v>2.0995993278641012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62" sqref="E6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2.4592453300124533E-2</v>
      </c>
      <c r="J6" s="24">
        <f t="shared" ref="J6:J13" si="3">IF(I$32&lt;=1+I$131,I6,B6*H6+J$33*(I6-B6*H6))</f>
        <v>2.4592453300124533E-2</v>
      </c>
      <c r="K6" s="22">
        <f t="shared" ref="K6:K31" si="4">B6</f>
        <v>4.9184906600249066E-2</v>
      </c>
      <c r="L6" s="22">
        <f t="shared" ref="L6:L29" si="5">IF(K6="","",K6*H6)</f>
        <v>2.4592453300124533E-2</v>
      </c>
      <c r="M6" s="224">
        <f t="shared" ref="M6:M31" si="6">J6</f>
        <v>2.4592453300124533E-2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9.8369813200498132E-2</v>
      </c>
      <c r="Z6" s="116">
        <v>0.17</v>
      </c>
      <c r="AA6" s="121">
        <f>$M6*Z6*4</f>
        <v>1.6722868244084685E-2</v>
      </c>
      <c r="AB6" s="116">
        <v>0.17</v>
      </c>
      <c r="AC6" s="121">
        <f t="shared" ref="AC6:AC29" si="7">$M6*AB6*4</f>
        <v>1.6722868244084685E-2</v>
      </c>
      <c r="AD6" s="116">
        <v>0.33</v>
      </c>
      <c r="AE6" s="121">
        <f t="shared" ref="AE6:AE29" si="8">$M6*AD6*4</f>
        <v>3.2462038356164388E-2</v>
      </c>
      <c r="AF6" s="122">
        <f>1-SUM(Z6,AB6,AD6)</f>
        <v>0.32999999999999996</v>
      </c>
      <c r="AG6" s="121">
        <f>$M6*AF6*4</f>
        <v>3.2462038356164381E-2</v>
      </c>
      <c r="AH6" s="123">
        <f>SUM(Z6,AB6,AD6,AF6)</f>
        <v>1</v>
      </c>
      <c r="AI6" s="183">
        <f>SUM(AA6,AC6,AE6,AG6)/4</f>
        <v>2.4592453300124537E-2</v>
      </c>
      <c r="AJ6" s="120">
        <f>(AA6+AC6)/2</f>
        <v>1.6722868244084685E-2</v>
      </c>
      <c r="AK6" s="119">
        <f>(AE6+AG6)/2</f>
        <v>3.2462038356164388E-2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0.5</v>
      </c>
      <c r="F7" s="27">
        <v>8800</v>
      </c>
      <c r="H7" s="24">
        <f t="shared" si="1"/>
        <v>0.5</v>
      </c>
      <c r="I7" s="22">
        <f t="shared" si="2"/>
        <v>1.5641843088418431E-3</v>
      </c>
      <c r="J7" s="24">
        <f t="shared" si="3"/>
        <v>1.5641843088418431E-3</v>
      </c>
      <c r="K7" s="22">
        <f t="shared" si="4"/>
        <v>3.1283686176836862E-3</v>
      </c>
      <c r="L7" s="22">
        <f t="shared" si="5"/>
        <v>1.5641843088418431E-3</v>
      </c>
      <c r="M7" s="224">
        <f t="shared" si="6"/>
        <v>1.5641843088418431E-3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6572.4585530572822</v>
      </c>
      <c r="T7" s="222">
        <f>IF($B$81=0,0,(SUMIF($N$6:$N$28,$U7,M$6:M$28)+SUMIF($N$91:$N$118,$U7,M$91:M$118))*$I$83*Poor!$B$81/$B$81)</f>
        <v>8186.0977148473385</v>
      </c>
      <c r="U7" s="223">
        <v>1</v>
      </c>
      <c r="V7" s="56"/>
      <c r="W7" s="115"/>
      <c r="X7" s="124">
        <v>4</v>
      </c>
      <c r="Y7" s="183">
        <f t="shared" ref="Y7:Y29" si="9">M7*4</f>
        <v>6.2567372353673724E-3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6.2567372353673724E-3</v>
      </c>
      <c r="AH7" s="123">
        <f t="shared" ref="AH7:AH30" si="12">SUM(Z7,AB7,AD7,AF7)</f>
        <v>1</v>
      </c>
      <c r="AI7" s="183">
        <f t="shared" ref="AI7:AI30" si="13">SUM(AA7,AC7,AE7,AG7)/4</f>
        <v>1.5641843088418431E-3</v>
      </c>
      <c r="AJ7" s="120">
        <f t="shared" ref="AJ7:AJ31" si="14">(AA7+AC7)/2</f>
        <v>0</v>
      </c>
      <c r="AK7" s="119">
        <f t="shared" ref="AK7:AK31" si="15">(AE7+AG7)/2</f>
        <v>3.1283686176836862E-3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1.1133950809464508E-2</v>
      </c>
      <c r="J8" s="24">
        <f t="shared" si="3"/>
        <v>1.1133950809464508E-2</v>
      </c>
      <c r="K8" s="22">
        <f t="shared" si="4"/>
        <v>2.2267901618929015E-2</v>
      </c>
      <c r="L8" s="22">
        <f t="shared" si="5"/>
        <v>1.1133950809464508E-2</v>
      </c>
      <c r="M8" s="224">
        <f t="shared" si="6"/>
        <v>1.1133950809464508E-2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2181.1999999999998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4.4535803237858031E-2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4.4535803237858031E-2</v>
      </c>
      <c r="AH8" s="123">
        <f t="shared" si="12"/>
        <v>1</v>
      </c>
      <c r="AI8" s="183">
        <f t="shared" si="13"/>
        <v>1.1133950809464508E-2</v>
      </c>
      <c r="AJ8" s="120">
        <f t="shared" si="14"/>
        <v>0</v>
      </c>
      <c r="AK8" s="119">
        <f t="shared" si="15"/>
        <v>2.2267901618929015E-2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1</v>
      </c>
      <c r="F9" s="28">
        <v>8800</v>
      </c>
      <c r="H9" s="24">
        <f t="shared" si="1"/>
        <v>1</v>
      </c>
      <c r="I9" s="22">
        <f t="shared" si="2"/>
        <v>1.7777777777777778E-2</v>
      </c>
      <c r="J9" s="24">
        <f t="shared" si="3"/>
        <v>1.7777777777777778E-2</v>
      </c>
      <c r="K9" s="22">
        <f t="shared" si="4"/>
        <v>1.7777777777777778E-2</v>
      </c>
      <c r="L9" s="22">
        <f t="shared" si="5"/>
        <v>1.7777777777777778E-2</v>
      </c>
      <c r="M9" s="224">
        <f t="shared" si="6"/>
        <v>1.7777777777777778E-2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632.90826817789718</v>
      </c>
      <c r="T9" s="222">
        <f>IF($B$81=0,0,(SUMIF($N$6:$N$28,$U9,M$6:M$28)+SUMIF($N$91:$N$118,$U9,M$91:M$118))*$I$83*Poor!$B$81/$B$81)</f>
        <v>632.90826817789718</v>
      </c>
      <c r="U9" s="223">
        <v>3</v>
      </c>
      <c r="V9" s="56"/>
      <c r="W9" s="115"/>
      <c r="X9" s="124">
        <v>1</v>
      </c>
      <c r="Y9" s="183">
        <f t="shared" si="9"/>
        <v>7.1111111111111111E-2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7.1111111111111111E-2</v>
      </c>
      <c r="AH9" s="123">
        <f t="shared" si="12"/>
        <v>1</v>
      </c>
      <c r="AI9" s="183">
        <f t="shared" si="13"/>
        <v>1.7777777777777778E-2</v>
      </c>
      <c r="AJ9" s="120">
        <f t="shared" si="14"/>
        <v>0</v>
      </c>
      <c r="AK9" s="119">
        <f t="shared" si="15"/>
        <v>3.5555555555555556E-2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3.7777777777777778E-2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3.7777777777777778E-2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0</v>
      </c>
      <c r="AK10" s="119">
        <f t="shared" si="15"/>
        <v>1.8888888888888889E-2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1.0900000000000001</v>
      </c>
      <c r="H11" s="24">
        <f t="shared" si="1"/>
        <v>1.0900000000000001</v>
      </c>
      <c r="I11" s="22">
        <f t="shared" si="2"/>
        <v>0.29739234306506845</v>
      </c>
      <c r="J11" s="24">
        <f t="shared" si="3"/>
        <v>0.29739234306506845</v>
      </c>
      <c r="K11" s="22">
        <f t="shared" si="4"/>
        <v>0.23954016267123288</v>
      </c>
      <c r="L11" s="22">
        <f t="shared" si="5"/>
        <v>0.26109877731164383</v>
      </c>
      <c r="M11" s="224">
        <f t="shared" si="6"/>
        <v>0.29739234306506845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3711.4933333333333</v>
      </c>
      <c r="T11" s="222">
        <f>IF($B$81=0,0,(SUMIF($N$6:$N$28,$U11,M$6:M$28)+SUMIF($N$91:$N$118,$U11,M$91:M$118))*$I$83*Poor!$B$81/$B$81)</f>
        <v>2932.6933333333332</v>
      </c>
      <c r="U11" s="223">
        <v>5</v>
      </c>
      <c r="V11" s="56"/>
      <c r="W11" s="115"/>
      <c r="X11" s="124">
        <v>1</v>
      </c>
      <c r="Y11" s="183">
        <f t="shared" si="9"/>
        <v>1.1895693722602738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1.1895693722602738</v>
      </c>
      <c r="AH11" s="123">
        <f t="shared" si="12"/>
        <v>1</v>
      </c>
      <c r="AI11" s="183">
        <f t="shared" si="13"/>
        <v>0.29739234306506845</v>
      </c>
      <c r="AJ11" s="120">
        <f t="shared" si="14"/>
        <v>0</v>
      </c>
      <c r="AK11" s="119">
        <f t="shared" si="15"/>
        <v>0.59478468613013691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3.3308897517123293E-2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3.3308897517123293E-2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1784.75</v>
      </c>
      <c r="U12" s="223">
        <v>6</v>
      </c>
      <c r="V12" s="56"/>
      <c r="W12" s="117"/>
      <c r="X12" s="118"/>
      <c r="Y12" s="183">
        <f t="shared" si="9"/>
        <v>0.13323559006849317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8.9267845345890426E-2</v>
      </c>
      <c r="AF12" s="122">
        <f>1-SUM(Z12,AB12,AD12)</f>
        <v>0.32999999999999996</v>
      </c>
      <c r="AG12" s="121">
        <f>$M12*AF12*4</f>
        <v>4.3967744722602738E-2</v>
      </c>
      <c r="AH12" s="123">
        <f t="shared" si="12"/>
        <v>1</v>
      </c>
      <c r="AI12" s="183">
        <f t="shared" si="13"/>
        <v>3.3308897517123293E-2</v>
      </c>
      <c r="AJ12" s="120">
        <f t="shared" si="14"/>
        <v>0</v>
      </c>
      <c r="AK12" s="119">
        <f t="shared" si="15"/>
        <v>6.6617795034246585E-2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1</v>
      </c>
      <c r="H13" s="24">
        <f t="shared" si="1"/>
        <v>1</v>
      </c>
      <c r="I13" s="22">
        <f t="shared" si="2"/>
        <v>3.7171283156911587E-2</v>
      </c>
      <c r="J13" s="24">
        <f t="shared" si="3"/>
        <v>3.7171283156911587E-2</v>
      </c>
      <c r="K13" s="22">
        <f t="shared" si="4"/>
        <v>3.7171283156911587E-2</v>
      </c>
      <c r="L13" s="22">
        <f t="shared" si="5"/>
        <v>3.7171283156911587E-2</v>
      </c>
      <c r="M13" s="225">
        <f t="shared" si="6"/>
        <v>3.7171283156911587E-2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11157.420724872622</v>
      </c>
      <c r="T13" s="222">
        <f>IF($B$81=0,0,(SUMIF($N$6:$N$28,$U13,M$6:M$28)+SUMIF($N$91:$N$118,$U13,M$91:M$118))*$I$83*Poor!$B$81/$B$81)</f>
        <v>10357.754743918073</v>
      </c>
      <c r="U13" s="223">
        <v>7</v>
      </c>
      <c r="V13" s="56"/>
      <c r="W13" s="110"/>
      <c r="X13" s="118"/>
      <c r="Y13" s="183">
        <f t="shared" si="9"/>
        <v>0.14868513262764635</v>
      </c>
      <c r="Z13" s="116">
        <v>1</v>
      </c>
      <c r="AA13" s="121">
        <f>$M13*Z13*4</f>
        <v>0.14868513262764635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3.7171283156911587E-2</v>
      </c>
      <c r="AJ13" s="120">
        <f t="shared" si="14"/>
        <v>7.4342566313823175E-2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1</v>
      </c>
      <c r="F14" s="22"/>
      <c r="H14" s="24">
        <f t="shared" si="1"/>
        <v>1</v>
      </c>
      <c r="I14" s="22">
        <f t="shared" si="2"/>
        <v>7.3864259028642582E-4</v>
      </c>
      <c r="J14" s="24">
        <f>IF(I$32&lt;=1+I131,I14,B14*H14+J$33*(I14-B14*H14))</f>
        <v>7.3864259028642582E-4</v>
      </c>
      <c r="K14" s="22">
        <f t="shared" si="4"/>
        <v>7.3864259028642582E-4</v>
      </c>
      <c r="L14" s="22">
        <f t="shared" si="5"/>
        <v>7.3864259028642582E-4</v>
      </c>
      <c r="M14" s="225">
        <f t="shared" si="6"/>
        <v>7.3864259028642582E-4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8307.1999999999989</v>
      </c>
      <c r="T14" s="222">
        <f>IF($B$81=0,0,(SUMIF($N$6:$N$28,$U14,M$6:M$28)+SUMIF($N$91:$N$118,$U14,M$91:M$118))*$I$83*Poor!$B$81/$B$81)</f>
        <v>8307.1999999999989</v>
      </c>
      <c r="U14" s="223">
        <v>8</v>
      </c>
      <c r="V14" s="56"/>
      <c r="W14" s="110"/>
      <c r="X14" s="118"/>
      <c r="Y14" s="183">
        <f>M14*4</f>
        <v>2.9545703611457033E-3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2.9545703611457033E-3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7.3864259028642582E-4</v>
      </c>
      <c r="AJ14" s="120">
        <f t="shared" si="14"/>
        <v>1.4772851805728516E-3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1</v>
      </c>
      <c r="F15" s="22"/>
      <c r="H15" s="24">
        <f t="shared" si="1"/>
        <v>1</v>
      </c>
      <c r="I15" s="22">
        <f t="shared" si="2"/>
        <v>1.8103408514367418E-3</v>
      </c>
      <c r="J15" s="24">
        <f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7.2413634057469671E-3</v>
      </c>
      <c r="Z15" s="116">
        <v>0.25</v>
      </c>
      <c r="AA15" s="121">
        <f t="shared" si="16"/>
        <v>1.8103408514367418E-3</v>
      </c>
      <c r="AB15" s="116">
        <v>0.25</v>
      </c>
      <c r="AC15" s="121">
        <f t="shared" si="7"/>
        <v>1.8103408514367418E-3</v>
      </c>
      <c r="AD15" s="116"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1</v>
      </c>
      <c r="F16" s="22"/>
      <c r="H16" s="24">
        <f t="shared" si="1"/>
        <v>1</v>
      </c>
      <c r="I16" s="22">
        <f t="shared" si="2"/>
        <v>4.4290456621004559E-2</v>
      </c>
      <c r="J16" s="24">
        <f>IF(I$32&lt;=1+I131,I16,B16*H16+J$33*(I16-B16*H16))</f>
        <v>4.4290456621004559E-2</v>
      </c>
      <c r="K16" s="22">
        <f t="shared" si="4"/>
        <v>1.7811134288086342E-2</v>
      </c>
      <c r="L16" s="22">
        <f t="shared" si="5"/>
        <v>1.7811134288086342E-2</v>
      </c>
      <c r="M16" s="224">
        <f t="shared" si="6"/>
        <v>4.4290456621004559E-2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4067.2</v>
      </c>
      <c r="U16" s="223">
        <v>10</v>
      </c>
      <c r="V16" s="56"/>
      <c r="W16" s="110"/>
      <c r="X16" s="118"/>
      <c r="Y16" s="183">
        <f t="shared" si="9"/>
        <v>0.17716182648401824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0.17716182648401824</v>
      </c>
      <c r="AH16" s="123">
        <f t="shared" si="12"/>
        <v>1</v>
      </c>
      <c r="AI16" s="183">
        <f t="shared" si="13"/>
        <v>4.4290456621004559E-2</v>
      </c>
      <c r="AJ16" s="120">
        <f t="shared" si="14"/>
        <v>0</v>
      </c>
      <c r="AK16" s="119">
        <f t="shared" si="15"/>
        <v>8.8580913242009118E-2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1</v>
      </c>
      <c r="F17" s="22"/>
      <c r="H17" s="24">
        <f t="shared" si="1"/>
        <v>1</v>
      </c>
      <c r="I17" s="22">
        <f t="shared" si="2"/>
        <v>1.0385196139476961E-2</v>
      </c>
      <c r="J17" s="24">
        <f t="shared" ref="J17:J25" si="17">IF(I$32&lt;=1+I131,I17,B17*H17+J$33*(I17-B17*H17))</f>
        <v>1.0385196139476961E-2</v>
      </c>
      <c r="K17" s="22">
        <f t="shared" si="4"/>
        <v>9.0526930261519301E-3</v>
      </c>
      <c r="L17" s="22">
        <f t="shared" si="5"/>
        <v>9.0526930261519301E-3</v>
      </c>
      <c r="M17" s="225">
        <f t="shared" si="6"/>
        <v>1.0385196139476961E-2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4.1540784557907842E-2</v>
      </c>
      <c r="Z17" s="116">
        <v>0.29409999999999997</v>
      </c>
      <c r="AA17" s="121">
        <f t="shared" si="16"/>
        <v>1.2217144738480696E-2</v>
      </c>
      <c r="AB17" s="116">
        <v>0.17649999999999999</v>
      </c>
      <c r="AC17" s="121">
        <f t="shared" si="7"/>
        <v>7.331948474470734E-3</v>
      </c>
      <c r="AD17" s="116">
        <v>0.23530000000000001</v>
      </c>
      <c r="AE17" s="121">
        <f t="shared" si="8"/>
        <v>9.7745466064757154E-3</v>
      </c>
      <c r="AF17" s="122">
        <f t="shared" si="10"/>
        <v>0.29410000000000003</v>
      </c>
      <c r="AG17" s="121">
        <f t="shared" si="11"/>
        <v>1.2217144738480698E-2</v>
      </c>
      <c r="AH17" s="123">
        <f t="shared" si="12"/>
        <v>1</v>
      </c>
      <c r="AI17" s="183">
        <f t="shared" si="13"/>
        <v>1.0385196139476961E-2</v>
      </c>
      <c r="AJ17" s="120">
        <f t="shared" si="14"/>
        <v>9.7745466064757154E-3</v>
      </c>
      <c r="AK17" s="119">
        <f t="shared" si="15"/>
        <v>1.0995845672478206E-2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2.0579856787048566E-2</v>
      </c>
      <c r="J18" s="24">
        <f t="shared" si="17"/>
        <v>2.2058731188862937E-2</v>
      </c>
      <c r="K18" s="22">
        <f t="shared" ref="K18:K20" si="21">B18</f>
        <v>9.313511830635118E-3</v>
      </c>
      <c r="L18" s="22">
        <f t="shared" ref="L18:L20" si="22">IF(K18="","",K18*H18)</f>
        <v>9.313511830635118E-3</v>
      </c>
      <c r="M18" s="225">
        <f t="shared" ref="M18:M20" si="23">J18</f>
        <v>2.2058731188862937E-2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8.8234924755451749E-2</v>
      </c>
      <c r="Z18" s="116">
        <v>1.2941</v>
      </c>
      <c r="AA18" s="121">
        <f t="shared" ref="AA18:AA20" si="25">$M18*Z18*4</f>
        <v>0.11418481612603011</v>
      </c>
      <c r="AB18" s="116">
        <v>1.1765000000000001</v>
      </c>
      <c r="AC18" s="121">
        <f t="shared" ref="AC18:AC20" si="26">$M18*AB18*4</f>
        <v>0.10380838897478899</v>
      </c>
      <c r="AD18" s="116">
        <v>1.2353000000000001</v>
      </c>
      <c r="AE18" s="121">
        <f t="shared" ref="AE18:AE20" si="27">$M18*AD18*4</f>
        <v>0.10899660255040955</v>
      </c>
      <c r="AF18" s="122">
        <f t="shared" ref="AF18:AF20" si="28">1-SUM(Z18,AB18,AD18)</f>
        <v>-2.7059000000000002</v>
      </c>
      <c r="AG18" s="121">
        <f t="shared" ref="AG18:AG20" si="29">$M18*AF18*4</f>
        <v>-0.2387548828957769</v>
      </c>
      <c r="AH18" s="123">
        <f t="shared" ref="AH18:AH20" si="30">SUM(Z18,AB18,AD18,AF18)</f>
        <v>1</v>
      </c>
      <c r="AI18" s="183">
        <f t="shared" ref="AI18:AI20" si="31">SUM(AA18,AC18,AE18,AG18)/4</f>
        <v>2.2058731188862937E-2</v>
      </c>
      <c r="AJ18" s="120">
        <f t="shared" ref="AJ18:AJ20" si="32">(AA18+AC18)/2</f>
        <v>0.10899660255040955</v>
      </c>
      <c r="AK18" s="119">
        <f t="shared" ref="AK18:AK20" si="33">(AE18+AG18)/2</f>
        <v>-6.4879140172683675E-2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7.942020521456478E-3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7.942020521456478E-3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3.1768082085825912E-2</v>
      </c>
      <c r="Z19" s="116">
        <v>2.2940999999999998</v>
      </c>
      <c r="AA19" s="121">
        <f t="shared" si="25"/>
        <v>7.2879157113093215E-2</v>
      </c>
      <c r="AB19" s="116">
        <v>2.1764999999999999</v>
      </c>
      <c r="AC19" s="121">
        <f t="shared" si="26"/>
        <v>6.914323065980009E-2</v>
      </c>
      <c r="AD19" s="116">
        <v>2.2353000000000001</v>
      </c>
      <c r="AE19" s="121">
        <f t="shared" si="27"/>
        <v>7.1011193886446666E-2</v>
      </c>
      <c r="AF19" s="122">
        <f t="shared" si="28"/>
        <v>-5.7058999999999997</v>
      </c>
      <c r="AG19" s="121">
        <f t="shared" si="29"/>
        <v>-0.18126549957351407</v>
      </c>
      <c r="AH19" s="123">
        <f t="shared" si="30"/>
        <v>1</v>
      </c>
      <c r="AI19" s="183">
        <f t="shared" si="31"/>
        <v>7.9420205214564762E-3</v>
      </c>
      <c r="AJ19" s="120">
        <f t="shared" si="32"/>
        <v>7.1011193886446652E-2</v>
      </c>
      <c r="AK19" s="119">
        <f t="shared" si="33"/>
        <v>-5.51271528435337E-2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1</v>
      </c>
      <c r="F22" s="22"/>
      <c r="H22" s="24">
        <f t="shared" si="35"/>
        <v>1</v>
      </c>
      <c r="I22" s="22">
        <f t="shared" si="36"/>
        <v>3.2894112442922382E-2</v>
      </c>
      <c r="J22" s="24">
        <f t="shared" si="17"/>
        <v>3.0267707790358433E-2</v>
      </c>
      <c r="K22" s="22">
        <f t="shared" si="37"/>
        <v>5.2902559931506853E-2</v>
      </c>
      <c r="L22" s="22">
        <f t="shared" si="38"/>
        <v>5.2902559931506853E-2</v>
      </c>
      <c r="M22" s="225">
        <f t="shared" si="39"/>
        <v>3.0267707790358433E-2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0.12107083116143373</v>
      </c>
      <c r="Z22" s="116">
        <v>5.2941000000000003</v>
      </c>
      <c r="AA22" s="121">
        <f t="shared" si="41"/>
        <v>0.64096108725174639</v>
      </c>
      <c r="AB22" s="116">
        <v>5.1764999999999999</v>
      </c>
      <c r="AC22" s="121">
        <f t="shared" si="42"/>
        <v>0.62672315750716168</v>
      </c>
      <c r="AD22" s="116">
        <v>5.2352999999999996</v>
      </c>
      <c r="AE22" s="121">
        <f t="shared" si="43"/>
        <v>0.63384212237945392</v>
      </c>
      <c r="AF22" s="122">
        <f t="shared" si="44"/>
        <v>-14.7059</v>
      </c>
      <c r="AG22" s="121">
        <f t="shared" si="45"/>
        <v>-1.7804555359769283</v>
      </c>
      <c r="AH22" s="123">
        <f t="shared" si="46"/>
        <v>1</v>
      </c>
      <c r="AI22" s="183">
        <f t="shared" si="47"/>
        <v>3.0267707790358422E-2</v>
      </c>
      <c r="AJ22" s="120">
        <f t="shared" si="48"/>
        <v>0.63384212237945403</v>
      </c>
      <c r="AK22" s="119">
        <f t="shared" si="49"/>
        <v>-0.57330670679873719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1</v>
      </c>
      <c r="F23" s="22"/>
      <c r="H23" s="24">
        <f t="shared" si="35"/>
        <v>1</v>
      </c>
      <c r="I23" s="22">
        <f t="shared" si="36"/>
        <v>3.767123287671233E-3</v>
      </c>
      <c r="J23" s="24">
        <f t="shared" si="17"/>
        <v>2.1912804961328625E-3</v>
      </c>
      <c r="K23" s="22">
        <f t="shared" si="37"/>
        <v>1.5772191780821915E-2</v>
      </c>
      <c r="L23" s="22">
        <f t="shared" si="38"/>
        <v>1.5772191780821915E-2</v>
      </c>
      <c r="M23" s="225">
        <f t="shared" si="39"/>
        <v>2.1912804961328625E-3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45192.656344178591</v>
      </c>
      <c r="T23" s="179">
        <f>SUM(T7:T22)</f>
        <v>44592.779525014092</v>
      </c>
      <c r="U23" s="56"/>
      <c r="V23" s="56"/>
      <c r="W23" s="110"/>
      <c r="X23" s="118"/>
      <c r="Y23" s="183">
        <f t="shared" si="40"/>
        <v>8.7651219845314501E-3</v>
      </c>
      <c r="Z23" s="116">
        <v>6.2941000000000003</v>
      </c>
      <c r="AA23" s="121">
        <f t="shared" si="41"/>
        <v>5.5168554282839399E-2</v>
      </c>
      <c r="AB23" s="116">
        <v>6.1764999999999999</v>
      </c>
      <c r="AC23" s="121">
        <f t="shared" si="42"/>
        <v>5.4137775937458499E-2</v>
      </c>
      <c r="AD23" s="116">
        <v>6.2352999999999996</v>
      </c>
      <c r="AE23" s="121">
        <f t="shared" si="43"/>
        <v>5.4653165110148949E-2</v>
      </c>
      <c r="AF23" s="122">
        <f t="shared" si="44"/>
        <v>-17.7059</v>
      </c>
      <c r="AG23" s="121">
        <f t="shared" si="45"/>
        <v>-0.1551943733459154</v>
      </c>
      <c r="AH23" s="123">
        <f t="shared" si="46"/>
        <v>1</v>
      </c>
      <c r="AI23" s="183">
        <f t="shared" si="47"/>
        <v>2.1912804961328608E-3</v>
      </c>
      <c r="AJ23" s="120">
        <f t="shared" si="48"/>
        <v>5.4653165110148949E-2</v>
      </c>
      <c r="AK23" s="119">
        <f t="shared" si="49"/>
        <v>-5.0270604117883227E-2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0.35625220164949978</v>
      </c>
      <c r="J30" s="231">
        <f>IF(I$32&lt;=1,I30,1-SUM(J6:J29))</f>
        <v>0.11363217158585059</v>
      </c>
      <c r="K30" s="22">
        <f t="shared" si="4"/>
        <v>0.4958710473225405</v>
      </c>
      <c r="L30" s="22">
        <f>IF(L124=L119,0,IF(K30="",0,(L119-L124)/(B119-B124)*K30))</f>
        <v>6.3343098050700666E-2</v>
      </c>
      <c r="M30" s="175">
        <f t="shared" si="6"/>
        <v>0.11363217158585059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0.45452868634340238</v>
      </c>
      <c r="Z30" s="122">
        <f>IF($Y30=0,0,AA30/($Y$30))</f>
        <v>-1.2145327719132273</v>
      </c>
      <c r="AA30" s="187">
        <f>IF(AA79*4/$I$83+SUM(AA6:AA29)&lt;1,AA79*4/$I$83,1-SUM(AA6:AA29))</f>
        <v>-0.55203998533873033</v>
      </c>
      <c r="AB30" s="122">
        <f>IF($Y30=0,0,AC30/($Y$30))</f>
        <v>-0.81282787224575159</v>
      </c>
      <c r="AC30" s="187">
        <f>IF(AC79*4/$I$83+SUM(AC6:AC29)&lt;1,AC79*4/$I$83,1-SUM(AC6:AC29))</f>
        <v>-0.36945358499516434</v>
      </c>
      <c r="AD30" s="122">
        <f>IF($Y30=0,0,AE30/($Y$30))</f>
        <v>-1.0778944516614513</v>
      </c>
      <c r="AE30" s="187">
        <f>IF(AE79*4/$I$83+SUM(AE6:AE29)&lt;1,AE79*4/$I$83,1-SUM(AE6:AE29))</f>
        <v>-0.48993394913052146</v>
      </c>
      <c r="AF30" s="122">
        <f>IF($Y30=0,0,AG30/($Y$30))</f>
        <v>4.1052550958204295</v>
      </c>
      <c r="AG30" s="187">
        <f>IF(AG79*4/$I$83+SUM(AG6:AG29)&lt;1,AG79*4/$I$83,1-SUM(AG6:AG29))</f>
        <v>1.8659562058078181</v>
      </c>
      <c r="AH30" s="123">
        <f t="shared" si="12"/>
        <v>0.99999999999999911</v>
      </c>
      <c r="AI30" s="183">
        <f t="shared" si="13"/>
        <v>0.11363217158585048</v>
      </c>
      <c r="AJ30" s="120">
        <f t="shared" si="14"/>
        <v>-0.46074678516694734</v>
      </c>
      <c r="AK30" s="119">
        <f t="shared" si="15"/>
        <v>0.6880111283386483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0.18990506331455559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14720.304232581519</v>
      </c>
      <c r="T31" s="234">
        <f>IF(T25&gt;T$23,T25-T$23,0)</f>
        <v>15320.181051746018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1.2452236117252031</v>
      </c>
      <c r="J32" s="17"/>
      <c r="L32" s="22">
        <f>SUM(L6:L30)</f>
        <v>0.81009493668544441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49017.172804010093</v>
      </c>
      <c r="T32" s="234">
        <f t="shared" si="50"/>
        <v>49617.049623174593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1.131264789737555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15320.181051746002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629.33333333333326</v>
      </c>
      <c r="J37" s="38">
        <f t="shared" ref="J37:J49" si="53">J91*I$83</f>
        <v>629.33333333333326</v>
      </c>
      <c r="K37" s="40">
        <f t="shared" ref="K37:K49" si="54">(B37/B$65)</f>
        <v>1.1950965189826142E-2</v>
      </c>
      <c r="L37" s="22">
        <f t="shared" ref="L37:L49" si="55">(K37*H37)</f>
        <v>1.1281711139195877E-2</v>
      </c>
      <c r="M37" s="24">
        <f t="shared" ref="M37:M49" si="56">J37/B$65</f>
        <v>1.1281711139195879E-2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629.33333333333326</v>
      </c>
      <c r="AH37" s="123">
        <f>SUM(Z37,AB37,AD37,AF37)</f>
        <v>1</v>
      </c>
      <c r="AI37" s="112">
        <f>SUM(AA37,AC37,AE37,AG37)</f>
        <v>629.33333333333326</v>
      </c>
      <c r="AJ37" s="148">
        <f>(AA37+AC37)</f>
        <v>0</v>
      </c>
      <c r="AK37" s="147">
        <f>(AE37+AG37)</f>
        <v>629.33333333333326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1868.3333333333333</v>
      </c>
      <c r="J38" s="38">
        <f t="shared" si="53"/>
        <v>1868.3333333333333</v>
      </c>
      <c r="K38" s="40">
        <f t="shared" si="54"/>
        <v>3.5479427907296364E-2</v>
      </c>
      <c r="L38" s="22">
        <f t="shared" si="55"/>
        <v>3.3492579944487767E-2</v>
      </c>
      <c r="M38" s="24">
        <f t="shared" si="56"/>
        <v>3.3492579944487767E-2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1868.3333333333333</v>
      </c>
      <c r="AH38" s="123">
        <f t="shared" ref="AH38:AI58" si="61">SUM(Z38,AB38,AD38,AF38)</f>
        <v>1</v>
      </c>
      <c r="AI38" s="112">
        <f t="shared" si="61"/>
        <v>1868.3333333333333</v>
      </c>
      <c r="AJ38" s="148">
        <f t="shared" ref="AJ38:AJ64" si="62">(AA38+AC38)</f>
        <v>0</v>
      </c>
      <c r="AK38" s="147">
        <f t="shared" ref="AK38:AK64" si="63">(AE38+AG38)</f>
        <v>1868.3333333333333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426.37333333333339</v>
      </c>
      <c r="J39" s="38">
        <f t="shared" si="53"/>
        <v>426.37333333333339</v>
      </c>
      <c r="K39" s="40">
        <f t="shared" si="54"/>
        <v>2.2886098338517066E-2</v>
      </c>
      <c r="L39" s="22">
        <f t="shared" si="55"/>
        <v>2.160447683156011E-2</v>
      </c>
      <c r="M39" s="24">
        <f t="shared" si="56"/>
        <v>7.6433592968052095E-3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426.37333333333339</v>
      </c>
      <c r="AH39" s="123">
        <f t="shared" si="61"/>
        <v>1</v>
      </c>
      <c r="AI39" s="112">
        <f t="shared" si="61"/>
        <v>426.37333333333339</v>
      </c>
      <c r="AJ39" s="148">
        <f t="shared" si="62"/>
        <v>0</v>
      </c>
      <c r="AK39" s="147">
        <f t="shared" si="63"/>
        <v>426.37333333333339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8.6533333333333324</v>
      </c>
      <c r="AH40" s="123">
        <f t="shared" si="61"/>
        <v>1</v>
      </c>
      <c r="AI40" s="112">
        <f t="shared" si="61"/>
        <v>8.6533333333333324</v>
      </c>
      <c r="AJ40" s="148">
        <f t="shared" si="62"/>
        <v>0</v>
      </c>
      <c r="AK40" s="147">
        <f t="shared" si="63"/>
        <v>8.6533333333333324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0</v>
      </c>
      <c r="K42" s="40">
        <f t="shared" si="54"/>
        <v>1.7926447784739215E-3</v>
      </c>
      <c r="L42" s="22">
        <f t="shared" si="55"/>
        <v>2.7355759319512042E-3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5.9754825949130709E-3</v>
      </c>
      <c r="L46" s="22">
        <f t="shared" si="55"/>
        <v>8.3656756328782979E-3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5.3779343354217642E-3</v>
      </c>
      <c r="L47" s="22">
        <f t="shared" si="55"/>
        <v>7.5291080695904693E-3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1.0457094541097877E-3</v>
      </c>
      <c r="L48" s="22">
        <f t="shared" si="55"/>
        <v>1.4639932357537026E-3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5.9754825949130709E-3</v>
      </c>
      <c r="L49" s="22">
        <f t="shared" si="55"/>
        <v>8.3656756328782979E-3</v>
      </c>
      <c r="M49" s="24">
        <f t="shared" si="56"/>
        <v>0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2.3901930379652287E-3</v>
      </c>
      <c r="L51" s="22">
        <f t="shared" si="72"/>
        <v>3.3462702531513199E-3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1253.75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2.247528391011679E-2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531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9.5189437736965237E-3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1</v>
      </c>
      <c r="F54" s="26">
        <v>1.1100000000000001</v>
      </c>
      <c r="G54" s="22">
        <f t="shared" si="59"/>
        <v>1.65</v>
      </c>
      <c r="H54" s="24">
        <f t="shared" si="68"/>
        <v>1.1100000000000001</v>
      </c>
      <c r="I54" s="39">
        <f t="shared" si="69"/>
        <v>2022.0500000000002</v>
      </c>
      <c r="J54" s="38">
        <f t="shared" si="70"/>
        <v>2022.0500000000002</v>
      </c>
      <c r="K54" s="40">
        <f t="shared" si="71"/>
        <v>3.2656012381199938E-2</v>
      </c>
      <c r="L54" s="22">
        <f t="shared" si="72"/>
        <v>3.6248173743131933E-2</v>
      </c>
      <c r="M54" s="24">
        <f t="shared" si="73"/>
        <v>3.6248173743131933E-2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2434.6000000000004</v>
      </c>
      <c r="J55" s="38">
        <f t="shared" si="70"/>
        <v>2434.6000000000008</v>
      </c>
      <c r="K55" s="40">
        <f t="shared" si="71"/>
        <v>3.9318675474528011E-2</v>
      </c>
      <c r="L55" s="22">
        <f t="shared" si="72"/>
        <v>4.3643729776726099E-2</v>
      </c>
      <c r="M55" s="24">
        <f t="shared" si="73"/>
        <v>4.3643729776726106E-2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608.6500000000002</v>
      </c>
      <c r="AB55" s="116">
        <v>0.25</v>
      </c>
      <c r="AC55" s="147">
        <f t="shared" si="65"/>
        <v>608.6500000000002</v>
      </c>
      <c r="AD55" s="116">
        <v>0.25</v>
      </c>
      <c r="AE55" s="147">
        <f t="shared" si="66"/>
        <v>608.6500000000002</v>
      </c>
      <c r="AF55" s="122">
        <f t="shared" si="57"/>
        <v>0.25</v>
      </c>
      <c r="AG55" s="147">
        <f t="shared" si="60"/>
        <v>608.6500000000002</v>
      </c>
      <c r="AH55" s="123">
        <f t="shared" si="61"/>
        <v>1</v>
      </c>
      <c r="AI55" s="112">
        <f t="shared" si="61"/>
        <v>2434.6000000000008</v>
      </c>
      <c r="AJ55" s="148">
        <f t="shared" si="62"/>
        <v>1217.3000000000004</v>
      </c>
      <c r="AK55" s="147">
        <f t="shared" si="63"/>
        <v>1217.3000000000004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5350.2000000000007</v>
      </c>
      <c r="J56" s="38">
        <f t="shared" si="70"/>
        <v>5350.2000000000007</v>
      </c>
      <c r="K56" s="40">
        <f t="shared" si="71"/>
        <v>8.9393219619899558E-2</v>
      </c>
      <c r="L56" s="22">
        <f t="shared" si="72"/>
        <v>9.922647377808852E-2</v>
      </c>
      <c r="M56" s="24">
        <f t="shared" si="73"/>
        <v>9.5910080937911757E-2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1337.5500000000002</v>
      </c>
      <c r="AB56" s="116">
        <v>0.25</v>
      </c>
      <c r="AC56" s="147">
        <f t="shared" si="65"/>
        <v>1337.5500000000002</v>
      </c>
      <c r="AD56" s="116">
        <v>0.25</v>
      </c>
      <c r="AE56" s="147">
        <f t="shared" si="66"/>
        <v>1337.5500000000002</v>
      </c>
      <c r="AF56" s="122">
        <f t="shared" si="57"/>
        <v>0.25</v>
      </c>
      <c r="AG56" s="147">
        <f t="shared" si="60"/>
        <v>1337.5500000000002</v>
      </c>
      <c r="AH56" s="123">
        <f t="shared" si="61"/>
        <v>1</v>
      </c>
      <c r="AI56" s="112">
        <f t="shared" si="61"/>
        <v>5350.2000000000007</v>
      </c>
      <c r="AJ56" s="148">
        <f t="shared" si="62"/>
        <v>2675.1000000000004</v>
      </c>
      <c r="AK56" s="147">
        <f t="shared" si="63"/>
        <v>2675.1000000000004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0.8</v>
      </c>
      <c r="F57" s="26">
        <v>1.18</v>
      </c>
      <c r="G57" s="22">
        <f t="shared" si="59"/>
        <v>1.65</v>
      </c>
      <c r="H57" s="24">
        <f t="shared" si="68"/>
        <v>0.94399999999999995</v>
      </c>
      <c r="I57" s="39">
        <f t="shared" si="69"/>
        <v>8307.1999999999989</v>
      </c>
      <c r="J57" s="38">
        <f t="shared" si="70"/>
        <v>8307.1999999999989</v>
      </c>
      <c r="K57" s="40">
        <f t="shared" si="71"/>
        <v>0.15775274050570509</v>
      </c>
      <c r="L57" s="22">
        <f t="shared" si="72"/>
        <v>0.14891858703738559</v>
      </c>
      <c r="M57" s="24">
        <f t="shared" si="73"/>
        <v>0.14891858703738559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2076.7999999999997</v>
      </c>
      <c r="AB57" s="116">
        <v>0.25</v>
      </c>
      <c r="AC57" s="147">
        <f t="shared" si="65"/>
        <v>2076.7999999999997</v>
      </c>
      <c r="AD57" s="116">
        <v>0.25</v>
      </c>
      <c r="AE57" s="147">
        <f t="shared" si="66"/>
        <v>2076.7999999999997</v>
      </c>
      <c r="AF57" s="122">
        <f t="shared" si="57"/>
        <v>0.25</v>
      </c>
      <c r="AG57" s="147">
        <f t="shared" si="60"/>
        <v>2076.7999999999997</v>
      </c>
      <c r="AH57" s="123">
        <f t="shared" si="61"/>
        <v>1</v>
      </c>
      <c r="AI57" s="112">
        <f t="shared" si="61"/>
        <v>8307.1999999999989</v>
      </c>
      <c r="AJ57" s="148">
        <f t="shared" si="62"/>
        <v>4153.5999999999995</v>
      </c>
      <c r="AK57" s="147">
        <f t="shared" si="63"/>
        <v>4153.5999999999995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4067.2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7.2910448430091326E-2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1016.8</v>
      </c>
      <c r="AB59" s="116">
        <v>0.25</v>
      </c>
      <c r="AC59" s="147">
        <f t="shared" si="65"/>
        <v>1016.8</v>
      </c>
      <c r="AD59" s="116">
        <v>0.25</v>
      </c>
      <c r="AE59" s="147">
        <f t="shared" si="66"/>
        <v>1016.8</v>
      </c>
      <c r="AF59" s="122">
        <f t="shared" si="57"/>
        <v>0.25</v>
      </c>
      <c r="AG59" s="147">
        <f t="shared" si="60"/>
        <v>1016.8</v>
      </c>
      <c r="AH59" s="123">
        <f t="shared" ref="AH59:AI64" si="74">SUM(Z59,AB59,AD59,AF59)</f>
        <v>1</v>
      </c>
      <c r="AI59" s="112">
        <f t="shared" si="74"/>
        <v>4067.2</v>
      </c>
      <c r="AJ59" s="148">
        <f t="shared" si="62"/>
        <v>2033.6</v>
      </c>
      <c r="AK59" s="147">
        <f t="shared" si="63"/>
        <v>2033.6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0</v>
      </c>
      <c r="F61" s="26">
        <v>1.18</v>
      </c>
      <c r="G61" s="22">
        <f t="shared" si="59"/>
        <v>1.65</v>
      </c>
      <c r="H61" s="24">
        <f t="shared" si="68"/>
        <v>0</v>
      </c>
      <c r="I61" s="39">
        <f t="shared" si="69"/>
        <v>0</v>
      </c>
      <c r="J61" s="38">
        <f t="shared" si="70"/>
        <v>0</v>
      </c>
      <c r="K61" s="40">
        <f t="shared" si="71"/>
        <v>0.38936244588453572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33361.660000000003</v>
      </c>
      <c r="J65" s="39">
        <f>SUM(J37:J64)</f>
        <v>33361.660000000003</v>
      </c>
      <c r="K65" s="40">
        <f>SUM(K37:K64)</f>
        <v>0.99999999999999989</v>
      </c>
      <c r="L65" s="22">
        <f>SUM(L37:L64)</f>
        <v>0.62671775704285315</v>
      </c>
      <c r="M65" s="24">
        <f>SUM(M37:M64)</f>
        <v>0.59805605600222289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6655.541666666667</v>
      </c>
      <c r="AB65" s="137"/>
      <c r="AC65" s="153">
        <f>SUM(AC37:AC64)</f>
        <v>6655.541666666667</v>
      </c>
      <c r="AD65" s="137"/>
      <c r="AE65" s="153">
        <f>SUM(AE37:AE64)</f>
        <v>6655.541666666667</v>
      </c>
      <c r="AF65" s="137"/>
      <c r="AG65" s="153">
        <f>SUM(AG37:AG64)</f>
        <v>9588.2350000000006</v>
      </c>
      <c r="AH65" s="137"/>
      <c r="AI65" s="153">
        <f>SUM(AI37:AI64)</f>
        <v>29554.860000000004</v>
      </c>
      <c r="AJ65" s="153">
        <f>SUM(AJ37:AJ64)</f>
        <v>13311.083333333334</v>
      </c>
      <c r="AK65" s="153">
        <f>SUM(AK37:AK64)</f>
        <v>16243.776666666667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75">J124*I$83</f>
        <v>27315.229156631842</v>
      </c>
      <c r="K70" s="40">
        <f>B70/B$76</f>
        <v>0.34976073514610495</v>
      </c>
      <c r="L70" s="22">
        <f t="shared" ref="L70:L75" si="76">(L124*G$37*F$9/F$7)/B$130</f>
        <v>0.48966502920454691</v>
      </c>
      <c r="M70" s="24">
        <f>J70/B$76</f>
        <v>0.48966502920454691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6828.8072891579604</v>
      </c>
      <c r="AB70" s="116">
        <v>0.25</v>
      </c>
      <c r="AC70" s="147">
        <f>$J70*AB70</f>
        <v>6828.8072891579604</v>
      </c>
      <c r="AD70" s="116">
        <v>0.25</v>
      </c>
      <c r="AE70" s="147">
        <f>$J70*AD70</f>
        <v>6828.8072891579604</v>
      </c>
      <c r="AF70" s="122">
        <f>1-SUM(Z70,AB70,AD70)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6046.4308433681572</v>
      </c>
      <c r="J71" s="51">
        <f t="shared" si="75"/>
        <v>6046.4308433681572</v>
      </c>
      <c r="K71" s="40">
        <f t="shared" ref="K71:K72" si="78">B71/B$76</f>
        <v>0.29530038253047786</v>
      </c>
      <c r="L71" s="22">
        <f t="shared" si="76"/>
        <v>0.13705272783830633</v>
      </c>
      <c r="M71" s="24">
        <f t="shared" ref="M71:M72" si="79">J71/B$76</f>
        <v>0.10839102679767597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0.52103476578455743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6046.4308433681572</v>
      </c>
      <c r="J74" s="51">
        <f t="shared" si="75"/>
        <v>1928.6030062252516</v>
      </c>
      <c r="K74" s="40">
        <f>B74/B$76</f>
        <v>9.1436707818256316E-2</v>
      </c>
      <c r="L74" s="22">
        <f t="shared" si="76"/>
        <v>1.9272367739684264E-2</v>
      </c>
      <c r="M74" s="24">
        <f>J74/B$76</f>
        <v>3.4573001088588053E-2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-2342.351555070938</v>
      </c>
      <c r="AB74" s="156"/>
      <c r="AC74" s="147">
        <f>AC30*$I$83/4</f>
        <v>-1567.6222779568311</v>
      </c>
      <c r="AD74" s="156"/>
      <c r="AE74" s="147">
        <f>AE30*$I$83/4</f>
        <v>-2078.8304798677941</v>
      </c>
      <c r="AF74" s="156"/>
      <c r="AG74" s="147">
        <f>AG30*$I$83/4</f>
        <v>7917.4073191208126</v>
      </c>
      <c r="AH74" s="155"/>
      <c r="AI74" s="147">
        <f>SUM(AA74,AC74,AE74,AG74)</f>
        <v>1928.6030062252494</v>
      </c>
      <c r="AJ74" s="148">
        <f>(AA74+AC74)</f>
        <v>-3909.9738330277692</v>
      </c>
      <c r="AK74" s="147">
        <f>(AE74+AG74)</f>
        <v>5838.576839253019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2169.0859325796446</v>
      </c>
      <c r="AB75" s="158"/>
      <c r="AC75" s="149">
        <f>AA75+AC65-SUM(AC70,AC74)</f>
        <v>3563.4425880451836</v>
      </c>
      <c r="AD75" s="158"/>
      <c r="AE75" s="149">
        <f>AC75+AE65-SUM(AE70,AE74)</f>
        <v>5469.0074454216829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311.02783714290854</v>
      </c>
      <c r="AJ75" s="151">
        <f>AJ76-SUM(AJ70,AJ74)</f>
        <v>3563.4425880451818</v>
      </c>
      <c r="AK75" s="149">
        <f>AJ75+AK76-SUM(AK70,AK74)</f>
        <v>311.02783714291218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33361.659999999996</v>
      </c>
      <c r="J76" s="51">
        <f t="shared" si="75"/>
        <v>33361.659999999996</v>
      </c>
      <c r="K76" s="40">
        <f>SUM(K70:K75)</f>
        <v>1.3354887372126323</v>
      </c>
      <c r="L76" s="22">
        <f>SUM(L70:L75)</f>
        <v>0.64599012478253748</v>
      </c>
      <c r="M76" s="24">
        <f>SUM(M70:M75)</f>
        <v>0.63262905709081096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6655.541666666667</v>
      </c>
      <c r="AB76" s="137"/>
      <c r="AC76" s="153">
        <f>AC65</f>
        <v>6655.541666666667</v>
      </c>
      <c r="AD76" s="137"/>
      <c r="AE76" s="153">
        <f>AE65</f>
        <v>6655.541666666667</v>
      </c>
      <c r="AF76" s="137"/>
      <c r="AG76" s="153">
        <f>AG65</f>
        <v>9588.2350000000006</v>
      </c>
      <c r="AH76" s="137"/>
      <c r="AI76" s="153">
        <f>SUM(AA76,AC76,AE76,AG76)</f>
        <v>29554.86</v>
      </c>
      <c r="AJ76" s="154">
        <f>SUM(AA76,AC76)</f>
        <v>13311.083333333334</v>
      </c>
      <c r="AK76" s="154">
        <f>SUM(AE76,AG76)</f>
        <v>16243.776666666668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75"/>
        <v>15320.181051746</v>
      </c>
      <c r="K77" s="40"/>
      <c r="L77" s="22">
        <f>-(L131*G$37*F$9/F$7)/B$130</f>
        <v>-0.34845445138596376</v>
      </c>
      <c r="M77" s="24">
        <f>-J77/B$76</f>
        <v>-0.27463642567687579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2169.0859325796446</v>
      </c>
      <c r="AD78" s="112"/>
      <c r="AE78" s="112">
        <f>AC75</f>
        <v>3563.4425880451836</v>
      </c>
      <c r="AF78" s="112"/>
      <c r="AG78" s="112">
        <f>AE75</f>
        <v>5469.0074454216829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-173.26562249129347</v>
      </c>
      <c r="AB79" s="112"/>
      <c r="AC79" s="112">
        <f>AA79-AA74+AC65-AC70</f>
        <v>1995.820310088352</v>
      </c>
      <c r="AD79" s="112"/>
      <c r="AE79" s="112">
        <f>AC79-AC74+AE65-AE70</f>
        <v>3390.1769655538892</v>
      </c>
      <c r="AF79" s="112"/>
      <c r="AG79" s="112">
        <f>AE79-AE74+AG65-AG70</f>
        <v>8228.4351562637239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0.57212121212121214</v>
      </c>
      <c r="I91" s="22">
        <f t="shared" ref="I91" si="82">(D91*H91)</f>
        <v>3.7079955328907288E-2</v>
      </c>
      <c r="J91" s="24">
        <f>IF(I$32&lt;=1+I$131,I91,L91+J$33*(I91-L91))</f>
        <v>3.7079955328907288E-2</v>
      </c>
      <c r="K91" s="22">
        <f t="shared" ref="K91" si="83">IF(B91="",0,B91)</f>
        <v>6.4811362598196004E-2</v>
      </c>
      <c r="L91" s="22">
        <f t="shared" ref="L91" si="84">(K91*H91)</f>
        <v>3.7079955328907288E-2</v>
      </c>
      <c r="M91" s="227">
        <f t="shared" si="80"/>
        <v>3.7079955328907288E-2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0.57212121212121214</v>
      </c>
      <c r="I92" s="22">
        <f t="shared" ref="I92:I118" si="88">(D92*H92)</f>
        <v>0.11008111738269352</v>
      </c>
      <c r="J92" s="24">
        <f t="shared" ref="J92:J118" si="89">IF(I$32&lt;=1+I$131,I92,L92+J$33*(I92-L92))</f>
        <v>0.11008111738269352</v>
      </c>
      <c r="K92" s="22">
        <f t="shared" ref="K92:K118" si="90">IF(B92="",0,B92)</f>
        <v>0.1924087327133944</v>
      </c>
      <c r="L92" s="22">
        <f t="shared" ref="L92:L118" si="91">(K92*H92)</f>
        <v>0.11008111738269352</v>
      </c>
      <c r="M92" s="227">
        <f t="shared" ref="M92:M118" si="92">(J92)</f>
        <v>0.11008111738269352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0.57212121212121214</v>
      </c>
      <c r="I93" s="22">
        <f t="shared" si="88"/>
        <v>2.5121669735334695E-2</v>
      </c>
      <c r="J93" s="24">
        <f t="shared" si="89"/>
        <v>2.5121669735334695E-2</v>
      </c>
      <c r="K93" s="22">
        <f t="shared" si="90"/>
        <v>0.12411375937554535</v>
      </c>
      <c r="L93" s="22">
        <f t="shared" si="91"/>
        <v>7.1008114454857468E-2</v>
      </c>
      <c r="M93" s="227">
        <f t="shared" si="92"/>
        <v>2.5121669735334695E-2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0</v>
      </c>
      <c r="K96" s="22">
        <f t="shared" si="90"/>
        <v>9.7217043897294009E-3</v>
      </c>
      <c r="L96" s="22">
        <f t="shared" si="91"/>
        <v>8.9911035749861007E-3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0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3.2405681299098002E-2</v>
      </c>
      <c r="L100" s="22">
        <f t="shared" si="91"/>
        <v>2.7495729587113459E-2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2.9165113169188201E-2</v>
      </c>
      <c r="L101" s="22">
        <f t="shared" si="91"/>
        <v>2.474615662840211E-2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5.6709942273421507E-3</v>
      </c>
      <c r="L102" s="22">
        <f t="shared" si="91"/>
        <v>4.8117526777448549E-3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3.2405681299098002E-2</v>
      </c>
      <c r="L103" s="22">
        <f t="shared" si="91"/>
        <v>2.7495729587113459E-2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0.84848484848484851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1.2962272519639202E-2</v>
      </c>
      <c r="L105" s="22">
        <f t="shared" si="91"/>
        <v>1.0998291834845384E-2</v>
      </c>
      <c r="M105" s="227">
        <f t="shared" si="9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7.3870223506807497E-2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7.3870223506807497E-2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3.1286212308765528E-2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3.1286212308765528E-2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0.67272727272727284</v>
      </c>
      <c r="I108" s="22">
        <f t="shared" si="88"/>
        <v>0.11913801431062022</v>
      </c>
      <c r="J108" s="24">
        <f t="shared" si="89"/>
        <v>0.11913801431062022</v>
      </c>
      <c r="K108" s="22">
        <f t="shared" si="90"/>
        <v>0.17709704829957057</v>
      </c>
      <c r="L108" s="22">
        <f t="shared" si="91"/>
        <v>0.11913801431062022</v>
      </c>
      <c r="M108" s="227">
        <f t="shared" si="92"/>
        <v>0.11913801431062022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0.67272727272727284</v>
      </c>
      <c r="I109" s="22">
        <f t="shared" si="88"/>
        <v>0.14344522125597095</v>
      </c>
      <c r="J109" s="24">
        <f t="shared" si="89"/>
        <v>0.14344522125597095</v>
      </c>
      <c r="K109" s="22">
        <f t="shared" si="90"/>
        <v>0.21322938294806487</v>
      </c>
      <c r="L109" s="22">
        <f t="shared" si="91"/>
        <v>0.14344522125597095</v>
      </c>
      <c r="M109" s="227">
        <f t="shared" si="92"/>
        <v>0.14344522125597095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0.67272727272727284</v>
      </c>
      <c r="I110" s="22">
        <f t="shared" si="88"/>
        <v>0.31523068379351665</v>
      </c>
      <c r="J110" s="24">
        <f t="shared" si="89"/>
        <v>0.31523068379351665</v>
      </c>
      <c r="K110" s="22">
        <f t="shared" si="90"/>
        <v>0.48478899223450611</v>
      </c>
      <c r="L110" s="22">
        <f t="shared" si="91"/>
        <v>0.32613077659412237</v>
      </c>
      <c r="M110" s="227">
        <f t="shared" si="92"/>
        <v>0.31523068379351665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0.57212121212121214</v>
      </c>
      <c r="I111" s="22">
        <f t="shared" si="88"/>
        <v>0.48945541034157625</v>
      </c>
      <c r="J111" s="24">
        <f t="shared" si="89"/>
        <v>0.48945541034157625</v>
      </c>
      <c r="K111" s="22">
        <f t="shared" si="90"/>
        <v>0.85550998629618724</v>
      </c>
      <c r="L111" s="22">
        <f t="shared" si="91"/>
        <v>0.48945541034157625</v>
      </c>
      <c r="M111" s="227">
        <f t="shared" si="92"/>
        <v>0.48945541034157625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0.23963706723580255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0.23963706723580255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</v>
      </c>
      <c r="I115" s="22">
        <f t="shared" si="88"/>
        <v>0</v>
      </c>
      <c r="J115" s="24">
        <f t="shared" si="89"/>
        <v>0</v>
      </c>
      <c r="K115" s="22">
        <f t="shared" si="90"/>
        <v>2.1115541934492259</v>
      </c>
      <c r="L115" s="22">
        <f t="shared" si="91"/>
        <v>0</v>
      </c>
      <c r="M115" s="227">
        <f t="shared" si="92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1.9656496755797561</v>
      </c>
      <c r="J119" s="24">
        <f>SUM(J91:J118)</f>
        <v>1.9656496755797561</v>
      </c>
      <c r="K119" s="22">
        <f>SUM(K91:K118)</f>
        <v>5.4231069682447002</v>
      </c>
      <c r="L119" s="22">
        <f>SUM(L91:L118)</f>
        <v>2.0598529911162342</v>
      </c>
      <c r="M119" s="57">
        <f t="shared" si="80"/>
        <v>1.9656496755797561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93"/>
        <v>1.6093974739302563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0.35625220164949978</v>
      </c>
      <c r="J125" s="237">
        <f>IF(SUMPRODUCT($B$124:$B125,$H$124:$H125)&lt;J$119,($B125*$H125),IF(SUMPRODUCT($B$124:$B124,$H$124:$H124)&lt;J$119,J$119-SUMPRODUCT($B$124:$B124,$H$124:$H124),0))</f>
        <v>0.35625220164949978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0.45045551718597787</v>
      </c>
      <c r="M125" s="240">
        <f t="shared" si="93"/>
        <v>0.35625220164949978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0.35625220164949978</v>
      </c>
      <c r="J128" s="228">
        <f>(J30)</f>
        <v>0.11363217158585059</v>
      </c>
      <c r="K128" s="29">
        <f>(B128)</f>
        <v>0.4958710473225405</v>
      </c>
      <c r="L128" s="29">
        <f>IF(L124=L119,0,(L119-L124)/(B119-B124)*K128)</f>
        <v>6.3343098050700666E-2</v>
      </c>
      <c r="M128" s="240">
        <f t="shared" si="93"/>
        <v>0.11363217158585059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1.9656496755797561</v>
      </c>
      <c r="J130" s="228">
        <f>(J119)</f>
        <v>1.9656496755797561</v>
      </c>
      <c r="K130" s="29">
        <f>(B130)</f>
        <v>5.4231069682447002</v>
      </c>
      <c r="L130" s="29">
        <f>(L119)</f>
        <v>2.0598529911162342</v>
      </c>
      <c r="M130" s="240">
        <f t="shared" si="93"/>
        <v>1.9656496755797561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0.90265619019520171</v>
      </c>
      <c r="K131" s="29"/>
      <c r="L131" s="29">
        <f>IF(I131&lt;SUM(L126:L127),0,I131-(SUM(L126:L127)))</f>
        <v>1.1452762202588511</v>
      </c>
      <c r="M131" s="237">
        <f>IF(I131&lt;SUM(M126:M127),0,I131-(SUM(M126:M127)))</f>
        <v>1.1452762202588511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3.2222196762141962E-2</v>
      </c>
      <c r="J6" s="24">
        <f t="shared" ref="J6:J13" si="3">IF(I$32&lt;=1+I$131,I6,B6*H6+J$33*(I6-B6*H6))</f>
        <v>3.2222196762141962E-2</v>
      </c>
      <c r="K6" s="22">
        <f t="shared" ref="K6:K31" si="4">B6</f>
        <v>6.4444393524283924E-2</v>
      </c>
      <c r="L6" s="22">
        <f t="shared" ref="L6:L29" si="5">IF(K6="","",K6*H6)</f>
        <v>3.2222196762141962E-2</v>
      </c>
      <c r="M6" s="224">
        <f t="shared" ref="M6:M31" si="6">J6</f>
        <v>3.2222196762141962E-2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0.12888878704856785</v>
      </c>
      <c r="Z6" s="156">
        <f>Poor!Z6</f>
        <v>0.17</v>
      </c>
      <c r="AA6" s="121">
        <f>$M6*Z6*4</f>
        <v>2.1911093798256537E-2</v>
      </c>
      <c r="AB6" s="156">
        <f>Poor!AB6</f>
        <v>0.17</v>
      </c>
      <c r="AC6" s="121">
        <f t="shared" ref="AC6:AC29" si="7">$M6*AB6*4</f>
        <v>2.1911093798256537E-2</v>
      </c>
      <c r="AD6" s="156">
        <f>Poor!AD6</f>
        <v>0.33</v>
      </c>
      <c r="AE6" s="121">
        <f t="shared" ref="AE6:AE29" si="8">$M6*AD6*4</f>
        <v>4.2533299726027395E-2</v>
      </c>
      <c r="AF6" s="122">
        <f>1-SUM(Z6,AB6,AD6)</f>
        <v>0.32999999999999996</v>
      </c>
      <c r="AG6" s="121">
        <f>$M6*AF6*4</f>
        <v>4.2533299726027388E-2</v>
      </c>
      <c r="AH6" s="123">
        <f>SUM(Z6,AB6,AD6,AF6)</f>
        <v>1</v>
      </c>
      <c r="AI6" s="183">
        <f>SUM(AA6,AC6,AE6,AG6)/4</f>
        <v>3.2222196762141969E-2</v>
      </c>
      <c r="AJ6" s="120">
        <f>(AA6+AC6)/2</f>
        <v>2.1911093798256537E-2</v>
      </c>
      <c r="AK6" s="119">
        <f>(AE6+AG6)/2</f>
        <v>4.2533299726027388E-2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3.1283686176836862E-3</v>
      </c>
      <c r="J7" s="24">
        <f t="shared" si="3"/>
        <v>3.1283686176836862E-3</v>
      </c>
      <c r="K7" s="22">
        <f t="shared" si="4"/>
        <v>6.2567372353673724E-3</v>
      </c>
      <c r="L7" s="22">
        <f t="shared" si="5"/>
        <v>3.1283686176836862E-3</v>
      </c>
      <c r="M7" s="224">
        <f t="shared" si="6"/>
        <v>3.1283686176836862E-3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6963.2150415399174</v>
      </c>
      <c r="T7" s="222">
        <f>IF($B$81=0,0,(SUMIF($N$6:$N$28,$U7,M$6:M$28)+SUMIF($N$91:$N$118,$U7,M$91:M$118))*$I$83*Poor!$B$81/$B$81)</f>
        <v>8895.0557632413274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1.2513474470734745E-2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1.2513474470734745E-2</v>
      </c>
      <c r="AH7" s="123">
        <f t="shared" ref="AH7:AH30" si="12">SUM(Z7,AB7,AD7,AF7)</f>
        <v>1</v>
      </c>
      <c r="AI7" s="183">
        <f t="shared" ref="AI7:AI30" si="13">SUM(AA7,AC7,AE7,AG7)/4</f>
        <v>3.1283686176836862E-3</v>
      </c>
      <c r="AJ7" s="120">
        <f t="shared" ref="AJ7:AJ31" si="14">(AA7+AC7)/2</f>
        <v>0</v>
      </c>
      <c r="AK7" s="119">
        <f t="shared" ref="AK7:AK31" si="15">(AE7+AG7)/2</f>
        <v>6.2567372353673724E-3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1.2818375752386882E-2</v>
      </c>
      <c r="J8" s="24">
        <f t="shared" si="3"/>
        <v>1.2818375752386882E-2</v>
      </c>
      <c r="K8" s="22">
        <f t="shared" si="4"/>
        <v>2.5636751504773764E-2</v>
      </c>
      <c r="L8" s="22">
        <f t="shared" si="5"/>
        <v>1.2818375752386882E-2</v>
      </c>
      <c r="M8" s="224">
        <f t="shared" si="6"/>
        <v>1.2818375752386882E-2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21732.992000000002</v>
      </c>
      <c r="T8" s="222">
        <f>IF($B$81=0,0,(SUMIF($N$6:$N$28,$U8,M$6:M$28)+SUMIF($N$91:$N$118,$U8,M$91:M$118))*$I$83*Poor!$B$81/$B$81)</f>
        <v>20239.935551658353</v>
      </c>
      <c r="U8" s="223">
        <v>2</v>
      </c>
      <c r="V8" s="56"/>
      <c r="W8" s="115"/>
      <c r="X8" s="118">
        <f>Poor!X8</f>
        <v>1</v>
      </c>
      <c r="Y8" s="183">
        <f t="shared" si="9"/>
        <v>5.1273503009547527E-2</v>
      </c>
      <c r="Z8" s="125">
        <f>IF($Y8=0,0,AA8/$Y8)</f>
        <v>0.32611485943261326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1.6721051226576265E-2</v>
      </c>
      <c r="AB8" s="125">
        <f>IF($Y8=0,0,AC8/$Y8)</f>
        <v>0.40578142898689862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2.0805835320378243E-2</v>
      </c>
      <c r="AD8" s="125">
        <f>IF($Y8=0,0,AE8/$Y8)</f>
        <v>0.26810371158048812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1.3746616462593019E-2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1.2818375752386882E-2</v>
      </c>
      <c r="AJ8" s="120">
        <f t="shared" si="14"/>
        <v>1.8763443273477252E-2</v>
      </c>
      <c r="AK8" s="119">
        <f t="shared" si="15"/>
        <v>6.8733082312965096E-3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817.53928819432997</v>
      </c>
      <c r="T9" s="222">
        <f>IF($B$81=0,0,(SUMIF($N$6:$N$28,$U9,M$6:M$28)+SUMIF($N$91:$N$118,$U9,M$91:M$118))*$I$83*Poor!$B$81/$B$81)</f>
        <v>817.53928819432997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0.32611485943261326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5.072897813396207E-3</v>
      </c>
      <c r="AB9" s="125">
        <f>IF($Y9=0,0,AC9/$Y9)</f>
        <v>0.40578142898689856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6.312155562018423E-3</v>
      </c>
      <c r="AD9" s="125">
        <f>IF($Y9=0,0,AE9/$Y9)</f>
        <v>0.26810371158048818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4.1705021801409278E-3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5.6925266877073145E-3</v>
      </c>
      <c r="AK9" s="119">
        <f t="shared" si="15"/>
        <v>2.0852510900704639E-3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0.32611485943261326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1.2319894689676501E-2</v>
      </c>
      <c r="AB10" s="125">
        <f>IF($Y10=0,0,AC10/$Y10)</f>
        <v>0.40578142898689862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1.532952065061617E-2</v>
      </c>
      <c r="AD10" s="125">
        <f>IF($Y10=0,0,AE10/$Y10)</f>
        <v>0.26810371158048812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1.0128362437485107E-2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1.3824707670146336E-2</v>
      </c>
      <c r="AK10" s="119">
        <f t="shared" si="15"/>
        <v>5.0641812187425536E-3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0.77338723339041082</v>
      </c>
      <c r="J11" s="24">
        <f t="shared" si="3"/>
        <v>0.39190776925323506</v>
      </c>
      <c r="K11" s="22">
        <f t="shared" si="4"/>
        <v>0.26966066780821918</v>
      </c>
      <c r="L11" s="22">
        <f t="shared" si="5"/>
        <v>0.2939301279109589</v>
      </c>
      <c r="M11" s="224">
        <f t="shared" si="6"/>
        <v>0.39190776925323506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11519.497142857143</v>
      </c>
      <c r="T11" s="222">
        <f>IF($B$81=0,0,(SUMIF($N$6:$N$28,$U11,M$6:M$28)+SUMIF($N$91:$N$118,$U11,M$91:M$118))*$I$83*Poor!$B$81/$B$81)</f>
        <v>12000.847399437745</v>
      </c>
      <c r="U11" s="223">
        <v>5</v>
      </c>
      <c r="V11" s="56"/>
      <c r="W11" s="115"/>
      <c r="X11" s="118">
        <f>Poor!X11</f>
        <v>1</v>
      </c>
      <c r="Y11" s="183">
        <f t="shared" si="9"/>
        <v>1.5676310770129402</v>
      </c>
      <c r="Z11" s="125">
        <f>IF($Y11=0,0,AA11/$Y11)</f>
        <v>0.32611485943261331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0.51122778832227123</v>
      </c>
      <c r="AB11" s="125">
        <f>IF($Y11=0,0,AC11/$Y11)</f>
        <v>0.40578142898689862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0.63611557855458178</v>
      </c>
      <c r="AD11" s="125">
        <f>IF($Y11=0,0,AE11/$Y11)</f>
        <v>0.26810371158048818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0.42028771013608734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0.39190776925323512</v>
      </c>
      <c r="AJ11" s="120">
        <f t="shared" si="14"/>
        <v>0.57367168343842656</v>
      </c>
      <c r="AK11" s="119">
        <f t="shared" si="15"/>
        <v>0.21014385506804367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1.9630350994276343E-2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1.9630350994276343E-2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7.8521403977105372E-2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5.2609340664660602E-2</v>
      </c>
      <c r="AF12" s="122">
        <f>1-SUM(Z12,AB12,AD12)</f>
        <v>0.32999999999999996</v>
      </c>
      <c r="AG12" s="121">
        <f>$M12*AF12*4</f>
        <v>2.5912063312444771E-2</v>
      </c>
      <c r="AH12" s="123">
        <f t="shared" si="12"/>
        <v>1</v>
      </c>
      <c r="AI12" s="183">
        <f t="shared" si="13"/>
        <v>1.9630350994276343E-2</v>
      </c>
      <c r="AJ12" s="120">
        <f t="shared" si="14"/>
        <v>0</v>
      </c>
      <c r="AK12" s="119">
        <f t="shared" si="15"/>
        <v>3.9260701988552686E-2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1</v>
      </c>
      <c r="H13" s="24">
        <f t="shared" si="1"/>
        <v>1</v>
      </c>
      <c r="I13" s="22">
        <f t="shared" si="2"/>
        <v>3.882834090909091E-2</v>
      </c>
      <c r="J13" s="24">
        <f t="shared" si="3"/>
        <v>3.6191468929840147E-2</v>
      </c>
      <c r="K13" s="22">
        <f t="shared" si="4"/>
        <v>3.5514225404732258E-2</v>
      </c>
      <c r="L13" s="22">
        <f t="shared" si="5"/>
        <v>3.5514225404732258E-2</v>
      </c>
      <c r="M13" s="225">
        <f t="shared" si="6"/>
        <v>3.6191468929840147E-2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0.14476587571936059</v>
      </c>
      <c r="Z13" s="156">
        <f>Poor!Z13</f>
        <v>1</v>
      </c>
      <c r="AA13" s="121">
        <f>$M13*Z13*4</f>
        <v>0.14476587571936059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3.6191468929840147E-2</v>
      </c>
      <c r="AJ13" s="120">
        <f t="shared" si="14"/>
        <v>7.2382937859680294E-2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1</v>
      </c>
      <c r="F14" s="22"/>
      <c r="H14" s="24">
        <f t="shared" si="1"/>
        <v>1</v>
      </c>
      <c r="I14" s="22">
        <f t="shared" si="2"/>
        <v>3.3238916562889163E-3</v>
      </c>
      <c r="J14" s="24">
        <f>IF(I$32&lt;=1+I131,I14,B14*H14+J$33*(I14-B14*H14))</f>
        <v>3.3238916562889163E-3</v>
      </c>
      <c r="K14" s="22">
        <f t="shared" si="4"/>
        <v>3.3238916562889163E-3</v>
      </c>
      <c r="L14" s="22">
        <f t="shared" si="5"/>
        <v>3.3238916562889163E-3</v>
      </c>
      <c r="M14" s="225">
        <f t="shared" si="6"/>
        <v>3.3238916562889163E-3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28589.714285714286</v>
      </c>
      <c r="T14" s="222">
        <f>IF($B$81=0,0,(SUMIF($N$6:$N$28,$U14,M$6:M$28)+SUMIF($N$91:$N$118,$U14,M$91:M$118))*$I$83*Poor!$B$81/$B$81)</f>
        <v>28589.714285714286</v>
      </c>
      <c r="U14" s="223">
        <v>8</v>
      </c>
      <c r="V14" s="56"/>
      <c r="W14" s="110"/>
      <c r="X14" s="118"/>
      <c r="Y14" s="183">
        <f>M14*4</f>
        <v>1.3295566625155665E-2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1.3295566625155665E-2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3.3238916562889163E-3</v>
      </c>
      <c r="AJ14" s="120">
        <f t="shared" si="14"/>
        <v>6.6477833125778325E-3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1</v>
      </c>
      <c r="F15" s="22"/>
      <c r="H15" s="24">
        <f t="shared" si="1"/>
        <v>1</v>
      </c>
      <c r="I15" s="22">
        <f t="shared" si="2"/>
        <v>4.3448180434481811E-3</v>
      </c>
      <c r="J15" s="24">
        <f>IF(I$32&lt;=1+I131,I15,B15*H15+J$33*(I15-B15*H15))</f>
        <v>2.0401852409917391E-3</v>
      </c>
      <c r="K15" s="22">
        <f t="shared" si="4"/>
        <v>1.4482726811493934E-3</v>
      </c>
      <c r="L15" s="22">
        <f t="shared" si="5"/>
        <v>1.4482726811493934E-3</v>
      </c>
      <c r="M15" s="226">
        <f t="shared" si="6"/>
        <v>2.0401852409917391E-3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8.1607409639669563E-3</v>
      </c>
      <c r="Z15" s="156">
        <f>Poor!Z15</f>
        <v>0.25</v>
      </c>
      <c r="AA15" s="121">
        <f t="shared" si="16"/>
        <v>2.0401852409917391E-3</v>
      </c>
      <c r="AB15" s="156">
        <f>Poor!AB15</f>
        <v>0.25</v>
      </c>
      <c r="AC15" s="121">
        <f t="shared" si="7"/>
        <v>2.0401852409917391E-3</v>
      </c>
      <c r="AD15" s="156">
        <f>Poor!AD15</f>
        <v>0.25</v>
      </c>
      <c r="AE15" s="121">
        <f t="shared" si="8"/>
        <v>2.0401852409917391E-3</v>
      </c>
      <c r="AF15" s="122">
        <f t="shared" si="10"/>
        <v>0.25</v>
      </c>
      <c r="AG15" s="121">
        <f t="shared" si="11"/>
        <v>2.0401852409917391E-3</v>
      </c>
      <c r="AH15" s="123">
        <f t="shared" si="12"/>
        <v>1</v>
      </c>
      <c r="AI15" s="183">
        <f t="shared" si="13"/>
        <v>2.0401852409917391E-3</v>
      </c>
      <c r="AJ15" s="120">
        <f t="shared" si="14"/>
        <v>2.0401852409917391E-3</v>
      </c>
      <c r="AK15" s="119">
        <f t="shared" si="15"/>
        <v>2.0401852409917391E-3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1</v>
      </c>
      <c r="F16" s="22"/>
      <c r="H16" s="24">
        <f t="shared" si="1"/>
        <v>1</v>
      </c>
      <c r="I16" s="22">
        <f t="shared" si="2"/>
        <v>5.9150207555002082E-2</v>
      </c>
      <c r="J16" s="24">
        <f>IF(I$32&lt;=1+I131,I16,B16*H16+J$33*(I16-B16*H16))</f>
        <v>2.5766193126646731E-2</v>
      </c>
      <c r="K16" s="22">
        <f t="shared" si="4"/>
        <v>1.7191977999169782E-2</v>
      </c>
      <c r="L16" s="22">
        <f t="shared" si="5"/>
        <v>1.7191977999169782E-2</v>
      </c>
      <c r="M16" s="224">
        <f t="shared" si="6"/>
        <v>2.5766193126646731E-2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380.66111733278029</v>
      </c>
      <c r="U16" s="223">
        <v>10</v>
      </c>
      <c r="V16" s="56"/>
      <c r="W16" s="110"/>
      <c r="X16" s="118"/>
      <c r="Y16" s="183">
        <f t="shared" si="9"/>
        <v>0.10306477250658692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0.10306477250658692</v>
      </c>
      <c r="AH16" s="123">
        <f t="shared" si="12"/>
        <v>1</v>
      </c>
      <c r="AI16" s="183">
        <f t="shared" si="13"/>
        <v>2.5766193126646731E-2</v>
      </c>
      <c r="AJ16" s="120">
        <f t="shared" si="14"/>
        <v>0</v>
      </c>
      <c r="AK16" s="119">
        <f t="shared" si="15"/>
        <v>5.1532386253293462E-2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1</v>
      </c>
      <c r="F17" s="22"/>
      <c r="H17" s="24">
        <f t="shared" si="1"/>
        <v>1</v>
      </c>
      <c r="I17" s="22">
        <f t="shared" si="2"/>
        <v>3.7226805728518054E-3</v>
      </c>
      <c r="J17" s="24">
        <f t="shared" ref="J17:J25" si="17">IF(I$32&lt;=1+I131,I17,B17*H17+J$33*(I17-B17*H17))</f>
        <v>3.7226805728518054E-3</v>
      </c>
      <c r="K17" s="22">
        <f t="shared" si="4"/>
        <v>3.7226805728518054E-3</v>
      </c>
      <c r="L17" s="22">
        <f t="shared" si="5"/>
        <v>3.7226805728518054E-3</v>
      </c>
      <c r="M17" s="225">
        <f t="shared" si="6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1.4890722291407222E-2</v>
      </c>
      <c r="Z17" s="156">
        <f>Poor!Z17</f>
        <v>0.29409999999999997</v>
      </c>
      <c r="AA17" s="121">
        <f t="shared" si="16"/>
        <v>4.3793614259028633E-3</v>
      </c>
      <c r="AB17" s="156">
        <f>Poor!AB17</f>
        <v>0.17649999999999999</v>
      </c>
      <c r="AC17" s="121">
        <f t="shared" si="7"/>
        <v>2.6282124844333745E-3</v>
      </c>
      <c r="AD17" s="156">
        <f>Poor!AD17</f>
        <v>0.23530000000000001</v>
      </c>
      <c r="AE17" s="121">
        <f t="shared" si="8"/>
        <v>3.5037869551681196E-3</v>
      </c>
      <c r="AF17" s="122">
        <f t="shared" si="10"/>
        <v>0.29410000000000003</v>
      </c>
      <c r="AG17" s="121">
        <f t="shared" si="11"/>
        <v>4.3793614259028642E-3</v>
      </c>
      <c r="AH17" s="123">
        <f t="shared" si="12"/>
        <v>1</v>
      </c>
      <c r="AI17" s="183">
        <f t="shared" si="13"/>
        <v>3.7226805728518058E-3</v>
      </c>
      <c r="AJ17" s="120">
        <f t="shared" si="14"/>
        <v>3.5037869551681191E-3</v>
      </c>
      <c r="AK17" s="119">
        <f t="shared" si="15"/>
        <v>3.9415741905354917E-3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3.0043586550435868E-2</v>
      </c>
      <c r="J18" s="24">
        <f t="shared" si="17"/>
        <v>2.1079532857959365E-2</v>
      </c>
      <c r="K18" s="22">
        <f t="shared" ref="K18:K25" si="21">B18</f>
        <v>1.8777241594022415E-2</v>
      </c>
      <c r="L18" s="22">
        <f t="shared" ref="L18:L25" si="22">IF(K18="","",K18*H18)</f>
        <v>1.8777241594022415E-2</v>
      </c>
      <c r="M18" s="225">
        <f t="shared" ref="M18:M25" si="23">J18</f>
        <v>2.1079532857959365E-2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7.0961253096736765E-3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7.0961253096736765E-3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116344.07810158792</v>
      </c>
      <c r="T23" s="179">
        <f>SUM(T7:T22)</f>
        <v>117279.15946314677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1.3710791800042109E-2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1.3710791800042109E-2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5.4843167200168436E-2</v>
      </c>
      <c r="Z27" s="156">
        <f>Poor!Z27</f>
        <v>0.25</v>
      </c>
      <c r="AA27" s="121">
        <f t="shared" si="16"/>
        <v>1.3710791800042109E-2</v>
      </c>
      <c r="AB27" s="156">
        <f>Poor!AB27</f>
        <v>0.25</v>
      </c>
      <c r="AC27" s="121">
        <f t="shared" si="7"/>
        <v>1.3710791800042109E-2</v>
      </c>
      <c r="AD27" s="156">
        <f>Poor!AD27</f>
        <v>0.25</v>
      </c>
      <c r="AE27" s="121">
        <f t="shared" si="8"/>
        <v>1.3710791800042109E-2</v>
      </c>
      <c r="AF27" s="122">
        <f t="shared" si="10"/>
        <v>0.25</v>
      </c>
      <c r="AG27" s="121">
        <f t="shared" si="11"/>
        <v>1.3710791800042109E-2</v>
      </c>
      <c r="AH27" s="123">
        <f t="shared" si="12"/>
        <v>1</v>
      </c>
      <c r="AI27" s="183">
        <f t="shared" si="13"/>
        <v>1.3710791800042109E-2</v>
      </c>
      <c r="AJ27" s="120">
        <f t="shared" si="14"/>
        <v>1.3710791800042109E-2</v>
      </c>
      <c r="AK27" s="119">
        <f t="shared" si="15"/>
        <v>1.3710791800042109E-2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2.7379909637058105E-3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2.7379909637058105E-3</v>
      </c>
      <c r="N28" s="229"/>
      <c r="O28" s="2"/>
      <c r="P28" s="22"/>
      <c r="V28" s="56"/>
      <c r="W28" s="110"/>
      <c r="X28" s="118"/>
      <c r="Y28" s="183">
        <f t="shared" si="9"/>
        <v>1.0951963854823242E-2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5.475981927411621E-3</v>
      </c>
      <c r="AF28" s="122">
        <f t="shared" si="10"/>
        <v>0.5</v>
      </c>
      <c r="AG28" s="121">
        <f t="shared" si="11"/>
        <v>5.475981927411621E-3</v>
      </c>
      <c r="AH28" s="123">
        <f t="shared" si="12"/>
        <v>1</v>
      </c>
      <c r="AI28" s="183">
        <f t="shared" si="13"/>
        <v>2.7379909637058105E-3</v>
      </c>
      <c r="AJ28" s="120">
        <f t="shared" si="14"/>
        <v>0</v>
      </c>
      <c r="AK28" s="119">
        <f t="shared" si="15"/>
        <v>5.475981927411621E-3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0.22375934920514851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0.22375934920514851</v>
      </c>
      <c r="N29" s="229"/>
      <c r="P29" s="22"/>
      <c r="V29" s="56"/>
      <c r="W29" s="110"/>
      <c r="X29" s="118"/>
      <c r="Y29" s="183">
        <f t="shared" si="9"/>
        <v>0.89503739682059402</v>
      </c>
      <c r="Z29" s="156">
        <f>Poor!Z29</f>
        <v>0.25</v>
      </c>
      <c r="AA29" s="121">
        <f t="shared" si="16"/>
        <v>0.22375934920514851</v>
      </c>
      <c r="AB29" s="156">
        <f>Poor!AB29</f>
        <v>0.25</v>
      </c>
      <c r="AC29" s="121">
        <f t="shared" si="7"/>
        <v>0.22375934920514851</v>
      </c>
      <c r="AD29" s="156">
        <f>Poor!AD29</f>
        <v>0.25</v>
      </c>
      <c r="AE29" s="121">
        <f t="shared" si="8"/>
        <v>0.22375934920514851</v>
      </c>
      <c r="AF29" s="122">
        <f t="shared" si="10"/>
        <v>0.25</v>
      </c>
      <c r="AG29" s="121">
        <f t="shared" si="11"/>
        <v>0.22375934920514851</v>
      </c>
      <c r="AH29" s="123">
        <f t="shared" si="12"/>
        <v>1</v>
      </c>
      <c r="AI29" s="183">
        <f t="shared" si="13"/>
        <v>0.22375934920514851</v>
      </c>
      <c r="AJ29" s="120">
        <f t="shared" si="14"/>
        <v>0.22375934920514851</v>
      </c>
      <c r="AK29" s="119">
        <f t="shared" si="15"/>
        <v>0.22375934920514851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4.4524632512909861</v>
      </c>
      <c r="J30" s="231">
        <f>IF(I$32&lt;=1,I30,1-SUM(J6:J29))</f>
        <v>0.14029393642207899</v>
      </c>
      <c r="K30" s="22">
        <f t="shared" si="4"/>
        <v>0.6190340508094645</v>
      </c>
      <c r="L30" s="22">
        <f>IF(L124=L119,0,IF(K30="",0,(L119-L124)/(B119-B124)*K30))</f>
        <v>0.31755339452062459</v>
      </c>
      <c r="M30" s="175">
        <f t="shared" si="6"/>
        <v>0.14029393642207899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0.56117574568831596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1.9783874003025576E-16</v>
      </c>
      <c r="AC30" s="187">
        <f>IF(AC79*4/$I$84+SUM(AC6:AC29)&lt;1,AC79*4/$I$84,1-SUM(AC6:AC29))</f>
        <v>1.1102230246251565E-16</v>
      </c>
      <c r="AD30" s="122">
        <f>IF($Y30=0,0,AE30/($Y$30))</f>
        <v>0.29214085563299053</v>
      </c>
      <c r="AE30" s="187">
        <f>IF(AE79*4/$I$84+SUM(AE6:AE29)&lt;1,AE79*4/$I$84,1-SUM(AE6:AE29))</f>
        <v>0.16394236250586613</v>
      </c>
      <c r="AF30" s="122">
        <f>IF($Y30=0,0,AG30/($Y$30))</f>
        <v>0.9311147419342416</v>
      </c>
      <c r="AG30" s="187">
        <f>IF(AG79*4/$I$84+SUM(AG6:AG29)&lt;1,AG79*4/$I$84,1-SUM(AG6:AG29))</f>
        <v>0.52251900962633191</v>
      </c>
      <c r="AH30" s="123">
        <f t="shared" si="12"/>
        <v>1.2232555975672323</v>
      </c>
      <c r="AI30" s="183">
        <f t="shared" si="13"/>
        <v>0.17161534303304954</v>
      </c>
      <c r="AJ30" s="120">
        <f t="shared" si="14"/>
        <v>5.5511151231257827E-17</v>
      </c>
      <c r="AK30" s="119">
        <f t="shared" si="15"/>
        <v>0.34323068606609902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-6.7435806755813399E-2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5.7397716442356188</v>
      </c>
      <c r="J32" s="17"/>
      <c r="L32" s="22">
        <f>SUM(L6:L30)</f>
        <v>1.0674358067558134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3.874714373556118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0.20435121353410662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881.06666666666661</v>
      </c>
      <c r="J37" s="38">
        <f>J91*I$83</f>
        <v>881.06666666666672</v>
      </c>
      <c r="K37" s="40">
        <f>(B37/B$65)</f>
        <v>9.311482387996171E-3</v>
      </c>
      <c r="L37" s="22">
        <f t="shared" ref="L37" si="28">(K37*H37)</f>
        <v>8.7900393742683849E-3</v>
      </c>
      <c r="M37" s="24">
        <f>J37/B$65</f>
        <v>8.7900393742683849E-3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881.06666666666672</v>
      </c>
      <c r="AH37" s="123">
        <f>SUM(Z37,AB37,AD37,AF37)</f>
        <v>1</v>
      </c>
      <c r="AI37" s="112">
        <f>SUM(AA37,AC37,AE37,AG37)</f>
        <v>881.06666666666672</v>
      </c>
      <c r="AJ37" s="148">
        <f>(AA37+AC37)</f>
        <v>0</v>
      </c>
      <c r="AK37" s="147">
        <f>(AE37+AG37)</f>
        <v>881.06666666666672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8968</v>
      </c>
      <c r="J38" s="38">
        <f t="shared" ref="J38:J64" si="32">J92*I$83</f>
        <v>7340.6330154150919</v>
      </c>
      <c r="K38" s="40">
        <f t="shared" ref="K38:K64" si="33">(B38/B$65)</f>
        <v>7.316164733425562E-2</v>
      </c>
      <c r="L38" s="22">
        <f t="shared" ref="L38:L64" si="34">(K38*H38)</f>
        <v>6.9064595083537295E-2</v>
      </c>
      <c r="M38" s="24">
        <f t="shared" ref="M38:M64" si="35">J38/B$65</f>
        <v>7.3234473256908045E-2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7340.6330154150919</v>
      </c>
      <c r="AH38" s="123">
        <f t="shared" ref="AH38:AI58" si="37">SUM(Z38,AB38,AD38,AF38)</f>
        <v>1</v>
      </c>
      <c r="AI38" s="112">
        <f t="shared" si="37"/>
        <v>7340.6330154150919</v>
      </c>
      <c r="AJ38" s="148">
        <f t="shared" ref="AJ38:AJ64" si="38">(AA38+AC38)</f>
        <v>0</v>
      </c>
      <c r="AK38" s="147">
        <f t="shared" ref="AK38:AK64" si="39">(AE38+AG38)</f>
        <v>7340.6330154150919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1878.56</v>
      </c>
      <c r="J39" s="38">
        <f t="shared" si="32"/>
        <v>1866.0417924262701</v>
      </c>
      <c r="K39" s="40">
        <f t="shared" si="33"/>
        <v>1.9687134191763329E-2</v>
      </c>
      <c r="L39" s="22">
        <f t="shared" si="34"/>
        <v>1.8584654677024581E-2</v>
      </c>
      <c r="M39" s="24">
        <f t="shared" si="35"/>
        <v>1.8616730662973591E-2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0.32611485943261326</v>
      </c>
      <c r="AA39" s="147">
        <f t="shared" ref="AA39:AA64" si="40">$J39*Z39</f>
        <v>608.54395683247481</v>
      </c>
      <c r="AB39" s="122">
        <f>AB8</f>
        <v>0.40578142898689862</v>
      </c>
      <c r="AC39" s="147">
        <f t="shared" ref="AC39:AC64" si="41">$J39*AB39</f>
        <v>757.20510508000552</v>
      </c>
      <c r="AD39" s="122">
        <f>AD8</f>
        <v>0.26810371158048812</v>
      </c>
      <c r="AE39" s="147">
        <f t="shared" ref="AE39:AE64" si="42">$J39*AD39</f>
        <v>500.29273051378982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1866.0417924262701</v>
      </c>
      <c r="AJ39" s="148">
        <f t="shared" si="38"/>
        <v>1365.7490619124803</v>
      </c>
      <c r="AK39" s="147">
        <f t="shared" si="39"/>
        <v>500.29273051378982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0.32611485943261326</v>
      </c>
      <c r="AA40" s="147">
        <f t="shared" si="40"/>
        <v>134.68543694566927</v>
      </c>
      <c r="AB40" s="122">
        <f>AB9</f>
        <v>0.40578142898689856</v>
      </c>
      <c r="AC40" s="147">
        <f t="shared" si="41"/>
        <v>167.5877301715891</v>
      </c>
      <c r="AD40" s="122">
        <f>AD9</f>
        <v>0.26810371158048818</v>
      </c>
      <c r="AE40" s="147">
        <f t="shared" si="42"/>
        <v>110.72683288274162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413</v>
      </c>
      <c r="AJ40" s="148">
        <f t="shared" si="38"/>
        <v>302.27316711725837</v>
      </c>
      <c r="AK40" s="147">
        <f t="shared" si="39"/>
        <v>110.72683288274162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11981.666666666666</v>
      </c>
      <c r="J41" s="38">
        <f t="shared" si="32"/>
        <v>11981.666666666668</v>
      </c>
      <c r="K41" s="40">
        <f t="shared" si="33"/>
        <v>8.5382967968500603E-2</v>
      </c>
      <c r="L41" s="22">
        <f t="shared" si="34"/>
        <v>0.11953615515590084</v>
      </c>
      <c r="M41" s="24">
        <f t="shared" si="35"/>
        <v>0.11953615515590084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0.32611485943261331</v>
      </c>
      <c r="AA41" s="147">
        <f t="shared" si="40"/>
        <v>3907.3995407684288</v>
      </c>
      <c r="AB41" s="122">
        <f>AB11</f>
        <v>0.40578142898689862</v>
      </c>
      <c r="AC41" s="147">
        <f t="shared" si="41"/>
        <v>4861.9378216446912</v>
      </c>
      <c r="AD41" s="122">
        <f>AD11</f>
        <v>0.26810371158048818</v>
      </c>
      <c r="AE41" s="147">
        <f t="shared" si="42"/>
        <v>3212.3293042535497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11981.66666666667</v>
      </c>
      <c r="AJ41" s="148">
        <f t="shared" si="38"/>
        <v>8769.33736241312</v>
      </c>
      <c r="AK41" s="147">
        <f t="shared" si="39"/>
        <v>3212.3293042535497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2915.6029956168841</v>
      </c>
      <c r="K42" s="40">
        <f t="shared" si="33"/>
        <v>2.3957113972544433E-2</v>
      </c>
      <c r="L42" s="22">
        <f t="shared" si="34"/>
        <v>3.6558555922102803E-2</v>
      </c>
      <c r="M42" s="24">
        <f t="shared" si="35"/>
        <v>2.9087770654366598E-2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728.90074890422102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1457.801497808442</v>
      </c>
      <c r="AF42" s="122">
        <f t="shared" si="29"/>
        <v>0.25</v>
      </c>
      <c r="AG42" s="147">
        <f t="shared" si="36"/>
        <v>728.90074890422102</v>
      </c>
      <c r="AH42" s="123">
        <f t="shared" si="37"/>
        <v>1</v>
      </c>
      <c r="AI42" s="112">
        <f t="shared" si="37"/>
        <v>2915.6029956168841</v>
      </c>
      <c r="AJ42" s="148">
        <f t="shared" si="38"/>
        <v>728.90074890422102</v>
      </c>
      <c r="AK42" s="147">
        <f t="shared" si="39"/>
        <v>2186.7022467126631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121.41600481469534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1.2113174897709577E-3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30.354001203673835</v>
      </c>
      <c r="AB43" s="156">
        <f>Poor!AB43</f>
        <v>0.25</v>
      </c>
      <c r="AC43" s="147">
        <f t="shared" si="41"/>
        <v>30.354001203673835</v>
      </c>
      <c r="AD43" s="156">
        <f>Poor!AD43</f>
        <v>0.25</v>
      </c>
      <c r="AE43" s="147">
        <f t="shared" si="42"/>
        <v>30.354001203673835</v>
      </c>
      <c r="AF43" s="122">
        <f t="shared" si="29"/>
        <v>0.25</v>
      </c>
      <c r="AG43" s="147">
        <f t="shared" si="36"/>
        <v>30.354001203673835</v>
      </c>
      <c r="AH43" s="123">
        <f t="shared" si="37"/>
        <v>1</v>
      </c>
      <c r="AI43" s="112">
        <f t="shared" si="37"/>
        <v>121.41600481469534</v>
      </c>
      <c r="AJ43" s="148">
        <f t="shared" si="38"/>
        <v>60.708002407347671</v>
      </c>
      <c r="AK43" s="147">
        <f t="shared" si="39"/>
        <v>60.708002407347671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268.33333333333337</v>
      </c>
      <c r="J44" s="38">
        <f t="shared" si="32"/>
        <v>351.8764559122522</v>
      </c>
      <c r="K44" s="40">
        <f t="shared" si="33"/>
        <v>2.6604235394274774E-3</v>
      </c>
      <c r="L44" s="22">
        <f t="shared" si="34"/>
        <v>3.7245929551984682E-3</v>
      </c>
      <c r="M44" s="24">
        <f t="shared" si="35"/>
        <v>3.5105265235472649E-3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87.969113978063049</v>
      </c>
      <c r="AB44" s="156">
        <f>Poor!AB44</f>
        <v>0.25</v>
      </c>
      <c r="AC44" s="147">
        <f t="shared" si="41"/>
        <v>87.969113978063049</v>
      </c>
      <c r="AD44" s="156">
        <f>Poor!AD44</f>
        <v>0.25</v>
      </c>
      <c r="AE44" s="147">
        <f t="shared" si="42"/>
        <v>87.969113978063049</v>
      </c>
      <c r="AF44" s="122">
        <f t="shared" si="29"/>
        <v>0.25</v>
      </c>
      <c r="AG44" s="147">
        <f t="shared" si="36"/>
        <v>87.969113978063049</v>
      </c>
      <c r="AH44" s="123">
        <f t="shared" si="37"/>
        <v>1</v>
      </c>
      <c r="AI44" s="112">
        <f t="shared" si="37"/>
        <v>351.8764559122522</v>
      </c>
      <c r="AJ44" s="148">
        <f t="shared" si="38"/>
        <v>175.9382279561261</v>
      </c>
      <c r="AK44" s="147">
        <f t="shared" si="39"/>
        <v>175.9382279561261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267.33799225254012</v>
      </c>
      <c r="K45" s="40">
        <f t="shared" si="33"/>
        <v>2.3943811854847293E-3</v>
      </c>
      <c r="L45" s="22">
        <f t="shared" si="34"/>
        <v>3.352133659678621E-3</v>
      </c>
      <c r="M45" s="24">
        <f t="shared" si="35"/>
        <v>2.6671210783947683E-3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66.83449806313503</v>
      </c>
      <c r="AB45" s="156">
        <f>Poor!AB45</f>
        <v>0.25</v>
      </c>
      <c r="AC45" s="147">
        <f t="shared" si="41"/>
        <v>66.83449806313503</v>
      </c>
      <c r="AD45" s="156">
        <f>Poor!AD45</f>
        <v>0.25</v>
      </c>
      <c r="AE45" s="147">
        <f t="shared" si="42"/>
        <v>66.83449806313503</v>
      </c>
      <c r="AF45" s="122">
        <f t="shared" si="29"/>
        <v>0.25</v>
      </c>
      <c r="AG45" s="147">
        <f t="shared" si="36"/>
        <v>66.83449806313503</v>
      </c>
      <c r="AH45" s="123">
        <f t="shared" si="37"/>
        <v>1</v>
      </c>
      <c r="AI45" s="112">
        <f t="shared" si="37"/>
        <v>267.33799225254012</v>
      </c>
      <c r="AJ45" s="148">
        <f t="shared" si="38"/>
        <v>133.66899612627006</v>
      </c>
      <c r="AK45" s="147">
        <f t="shared" si="39"/>
        <v>133.66899612627006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1113.9083010522509</v>
      </c>
      <c r="K46" s="40">
        <f t="shared" si="33"/>
        <v>9.9765882728530385E-3</v>
      </c>
      <c r="L46" s="22">
        <f t="shared" si="34"/>
        <v>1.3967223581994252E-2</v>
      </c>
      <c r="M46" s="24">
        <f t="shared" si="35"/>
        <v>1.1113004493311538E-2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278.47707526306272</v>
      </c>
      <c r="AB46" s="156">
        <f>Poor!AB46</f>
        <v>0.25</v>
      </c>
      <c r="AC46" s="147">
        <f t="shared" si="41"/>
        <v>278.47707526306272</v>
      </c>
      <c r="AD46" s="156">
        <f>Poor!AD46</f>
        <v>0.25</v>
      </c>
      <c r="AE46" s="147">
        <f t="shared" si="42"/>
        <v>278.47707526306272</v>
      </c>
      <c r="AF46" s="122">
        <f t="shared" si="29"/>
        <v>0.25</v>
      </c>
      <c r="AG46" s="147">
        <f t="shared" si="36"/>
        <v>278.47707526306272</v>
      </c>
      <c r="AH46" s="123">
        <f t="shared" si="37"/>
        <v>1</v>
      </c>
      <c r="AI46" s="112">
        <f t="shared" si="37"/>
        <v>1113.9083010522509</v>
      </c>
      <c r="AJ46" s="148">
        <f t="shared" si="38"/>
        <v>556.95415052612543</v>
      </c>
      <c r="AK46" s="147">
        <f t="shared" si="39"/>
        <v>556.95415052612543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334.17249031567519</v>
      </c>
      <c r="K47" s="40">
        <f t="shared" si="33"/>
        <v>2.9929764818559116E-3</v>
      </c>
      <c r="L47" s="22">
        <f t="shared" si="34"/>
        <v>4.1901670745982762E-3</v>
      </c>
      <c r="M47" s="24">
        <f t="shared" si="35"/>
        <v>3.3339013479934611E-3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83.543122578918798</v>
      </c>
      <c r="AB47" s="156">
        <f>Poor!AB47</f>
        <v>0.25</v>
      </c>
      <c r="AC47" s="147">
        <f t="shared" si="41"/>
        <v>83.543122578918798</v>
      </c>
      <c r="AD47" s="156">
        <f>Poor!AD47</f>
        <v>0.25</v>
      </c>
      <c r="AE47" s="147">
        <f t="shared" si="42"/>
        <v>83.543122578918798</v>
      </c>
      <c r="AF47" s="122">
        <f t="shared" si="29"/>
        <v>0.25</v>
      </c>
      <c r="AG47" s="147">
        <f t="shared" si="36"/>
        <v>83.543122578918798</v>
      </c>
      <c r="AH47" s="123">
        <f t="shared" si="37"/>
        <v>1</v>
      </c>
      <c r="AI47" s="112">
        <f t="shared" si="37"/>
        <v>334.17249031567519</v>
      </c>
      <c r="AJ47" s="148">
        <f t="shared" si="38"/>
        <v>167.0862451578376</v>
      </c>
      <c r="AK47" s="147">
        <f t="shared" si="39"/>
        <v>167.0862451578376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64.977984228047973</v>
      </c>
      <c r="K48" s="40">
        <f t="shared" si="33"/>
        <v>5.8196764924976069E-4</v>
      </c>
      <c r="L48" s="22">
        <f t="shared" si="34"/>
        <v>8.1475470894966492E-4</v>
      </c>
      <c r="M48" s="24">
        <f t="shared" si="35"/>
        <v>6.4825859544317315E-4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16.244496057011993</v>
      </c>
      <c r="AB48" s="156">
        <f>Poor!AB48</f>
        <v>0.25</v>
      </c>
      <c r="AC48" s="147">
        <f t="shared" si="41"/>
        <v>16.244496057011993</v>
      </c>
      <c r="AD48" s="156">
        <f>Poor!AD48</f>
        <v>0.25</v>
      </c>
      <c r="AE48" s="147">
        <f t="shared" si="42"/>
        <v>16.244496057011993</v>
      </c>
      <c r="AF48" s="122">
        <f t="shared" si="29"/>
        <v>0.25</v>
      </c>
      <c r="AG48" s="147">
        <f t="shared" si="36"/>
        <v>16.244496057011993</v>
      </c>
      <c r="AH48" s="123">
        <f t="shared" si="37"/>
        <v>1</v>
      </c>
      <c r="AI48" s="112">
        <f t="shared" si="37"/>
        <v>64.977984228047973</v>
      </c>
      <c r="AJ48" s="148">
        <f t="shared" si="38"/>
        <v>32.488992114023986</v>
      </c>
      <c r="AK48" s="147">
        <f t="shared" si="39"/>
        <v>32.488992114023986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373.33333333333331</v>
      </c>
      <c r="J49" s="38">
        <f t="shared" si="32"/>
        <v>373.33333333333337</v>
      </c>
      <c r="K49" s="40">
        <f t="shared" si="33"/>
        <v>2.6604235394274774E-3</v>
      </c>
      <c r="L49" s="22">
        <f t="shared" si="34"/>
        <v>3.7245929551984682E-3</v>
      </c>
      <c r="M49" s="24">
        <f t="shared" si="35"/>
        <v>3.7245929551984682E-3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93.333333333333343</v>
      </c>
      <c r="AB49" s="156">
        <f>Poor!AB49</f>
        <v>0.25</v>
      </c>
      <c r="AC49" s="147">
        <f t="shared" si="41"/>
        <v>93.333333333333343</v>
      </c>
      <c r="AD49" s="156">
        <f>Poor!AD49</f>
        <v>0.25</v>
      </c>
      <c r="AE49" s="147">
        <f t="shared" si="42"/>
        <v>93.333333333333343</v>
      </c>
      <c r="AF49" s="122">
        <f t="shared" si="29"/>
        <v>0.25</v>
      </c>
      <c r="AG49" s="147">
        <f t="shared" si="36"/>
        <v>93.333333333333343</v>
      </c>
      <c r="AH49" s="123">
        <f t="shared" si="37"/>
        <v>1</v>
      </c>
      <c r="AI49" s="112">
        <f t="shared" si="37"/>
        <v>373.33333333333337</v>
      </c>
      <c r="AJ49" s="148">
        <f t="shared" si="38"/>
        <v>186.66666666666669</v>
      </c>
      <c r="AK49" s="147">
        <f t="shared" si="39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185.65138350870848</v>
      </c>
      <c r="K50" s="40">
        <f t="shared" si="33"/>
        <v>1.6627647121421731E-3</v>
      </c>
      <c r="L50" s="22">
        <f t="shared" si="34"/>
        <v>2.3278705969990423E-3</v>
      </c>
      <c r="M50" s="24">
        <f t="shared" si="35"/>
        <v>1.852167415551923E-3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46.412845877177119</v>
      </c>
      <c r="AB50" s="156">
        <f>Poor!AB55</f>
        <v>0.25</v>
      </c>
      <c r="AC50" s="147">
        <f t="shared" si="41"/>
        <v>46.412845877177119</v>
      </c>
      <c r="AD50" s="156">
        <f>Poor!AD55</f>
        <v>0.25</v>
      </c>
      <c r="AE50" s="147">
        <f t="shared" si="42"/>
        <v>46.412845877177119</v>
      </c>
      <c r="AF50" s="122">
        <f t="shared" si="29"/>
        <v>0.25</v>
      </c>
      <c r="AG50" s="147">
        <f t="shared" si="36"/>
        <v>46.412845877177119</v>
      </c>
      <c r="AH50" s="123">
        <f t="shared" si="37"/>
        <v>1</v>
      </c>
      <c r="AI50" s="112">
        <f t="shared" si="37"/>
        <v>185.65138350870848</v>
      </c>
      <c r="AJ50" s="148">
        <f t="shared" si="38"/>
        <v>92.825691754354239</v>
      </c>
      <c r="AK50" s="147">
        <f t="shared" si="39"/>
        <v>92.825691754354239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13688</v>
      </c>
      <c r="J57" s="38">
        <f t="shared" si="32"/>
        <v>13688</v>
      </c>
      <c r="K57" s="40">
        <f t="shared" si="33"/>
        <v>0.14466052995636908</v>
      </c>
      <c r="L57" s="22">
        <f t="shared" si="34"/>
        <v>0.1365595402788124</v>
      </c>
      <c r="M57" s="24">
        <f t="shared" si="35"/>
        <v>0.1365595402788124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11328</v>
      </c>
      <c r="J58" s="38">
        <f t="shared" si="32"/>
        <v>11328</v>
      </c>
      <c r="K58" s="40">
        <f t="shared" si="33"/>
        <v>0.11971905927423647</v>
      </c>
      <c r="L58" s="22">
        <f t="shared" si="34"/>
        <v>0.11301479195487922</v>
      </c>
      <c r="M58" s="24">
        <f t="shared" si="35"/>
        <v>0.11301479195487923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2832</v>
      </c>
      <c r="AB58" s="156">
        <f>Poor!AB58</f>
        <v>0.25</v>
      </c>
      <c r="AC58" s="147">
        <f t="shared" si="41"/>
        <v>2832</v>
      </c>
      <c r="AD58" s="156">
        <f>Poor!AD58</f>
        <v>0.25</v>
      </c>
      <c r="AE58" s="147">
        <f t="shared" si="42"/>
        <v>2832</v>
      </c>
      <c r="AF58" s="122">
        <f t="shared" si="29"/>
        <v>0.25</v>
      </c>
      <c r="AG58" s="147">
        <f t="shared" si="36"/>
        <v>2832</v>
      </c>
      <c r="AH58" s="123">
        <f t="shared" si="37"/>
        <v>1</v>
      </c>
      <c r="AI58" s="112">
        <f t="shared" si="37"/>
        <v>11328</v>
      </c>
      <c r="AJ58" s="148">
        <f t="shared" si="38"/>
        <v>5664</v>
      </c>
      <c r="AK58" s="147">
        <f t="shared" si="39"/>
        <v>5664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333.07847766618278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3.3229868342241819E-3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83.269619416545694</v>
      </c>
      <c r="AB59" s="156">
        <f>Poor!AB59</f>
        <v>0.25</v>
      </c>
      <c r="AC59" s="147">
        <f t="shared" si="41"/>
        <v>83.269619416545694</v>
      </c>
      <c r="AD59" s="156">
        <f>Poor!AD59</f>
        <v>0.25</v>
      </c>
      <c r="AE59" s="147">
        <f t="shared" si="42"/>
        <v>83.269619416545694</v>
      </c>
      <c r="AF59" s="122">
        <f t="shared" si="29"/>
        <v>0.25</v>
      </c>
      <c r="AG59" s="147">
        <f t="shared" si="36"/>
        <v>83.269619416545694</v>
      </c>
      <c r="AH59" s="123">
        <f t="shared" ref="AH59:AI64" si="43">SUM(Z59,AB59,AD59,AF59)</f>
        <v>1</v>
      </c>
      <c r="AI59" s="112">
        <f t="shared" si="43"/>
        <v>333.07847766618278</v>
      </c>
      <c r="AJ59" s="148">
        <f t="shared" si="38"/>
        <v>166.53923883309139</v>
      </c>
      <c r="AK59" s="147">
        <f t="shared" si="39"/>
        <v>166.53923883309139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7.9014579120996076E-2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90023.426666666652</v>
      </c>
      <c r="J65" s="39">
        <f>SUM(J37:J64)</f>
        <v>93419.230226541942</v>
      </c>
      <c r="K65" s="40">
        <f>SUM(K37:K64)</f>
        <v>1.0000000000000002</v>
      </c>
      <c r="L65" s="22">
        <f>SUM(L37:L64)</f>
        <v>0.94070642226242418</v>
      </c>
      <c r="M65" s="24">
        <f>SUM(M37:M64)</f>
        <v>0.93200519673707638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18962.83445588838</v>
      </c>
      <c r="AB65" s="137"/>
      <c r="AC65" s="153">
        <f>SUM(AC37:AC64)</f>
        <v>19370.035429333871</v>
      </c>
      <c r="AD65" s="137"/>
      <c r="AE65" s="153">
        <f>SUM(AE37:AE64)</f>
        <v>18864.455137896108</v>
      </c>
      <c r="AF65" s="137"/>
      <c r="AG65" s="153">
        <f>SUM(AG37:AG64)</f>
        <v>22533.905203423568</v>
      </c>
      <c r="AH65" s="137"/>
      <c r="AI65" s="153">
        <f>SUM(AI37:AI64)</f>
        <v>79731.230226541942</v>
      </c>
      <c r="AJ65" s="153">
        <f>SUM(AJ37:AJ64)</f>
        <v>38332.869885222251</v>
      </c>
      <c r="AK65" s="153">
        <f>SUM(AK37:AK64)</f>
        <v>41398.360341319676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30009.760000000002</v>
      </c>
      <c r="K72" s="40">
        <f t="shared" si="47"/>
        <v>0.2537245929551985</v>
      </c>
      <c r="L72" s="22">
        <f t="shared" si="45"/>
        <v>0.29939501968713417</v>
      </c>
      <c r="M72" s="24">
        <f t="shared" si="48"/>
        <v>0.29939501968713422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20416.911009142907</v>
      </c>
      <c r="K73" s="40">
        <f>B73/B$76</f>
        <v>0.25385428860274556</v>
      </c>
      <c r="L73" s="22">
        <f t="shared" si="45"/>
        <v>0.18612953886833211</v>
      </c>
      <c r="M73" s="24">
        <f>J73/B$76</f>
        <v>0.20369111494169923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66122.601154613876</v>
      </c>
      <c r="J74" s="51">
        <f t="shared" si="44"/>
        <v>2083.4759275684414</v>
      </c>
      <c r="K74" s="40">
        <f>B74/B$76</f>
        <v>5.5585591308825309E-2</v>
      </c>
      <c r="L74" s="22">
        <f t="shared" si="45"/>
        <v>4.7048783104465933E-2</v>
      </c>
      <c r="M74" s="24">
        <f>J74/B$76</f>
        <v>2.0785981505750922E-2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9.8297988434767997E-13</v>
      </c>
      <c r="AD74" s="156"/>
      <c r="AE74" s="147">
        <f>AE30*$I$84/4</f>
        <v>1451.5285754419597</v>
      </c>
      <c r="AF74" s="156"/>
      <c r="AG74" s="147">
        <f>AG30*$I$84/4</f>
        <v>4626.3288029481364</v>
      </c>
      <c r="AH74" s="155"/>
      <c r="AI74" s="147">
        <f>SUM(AA74,AC74,AE74,AG74)</f>
        <v>6077.8573783900974</v>
      </c>
      <c r="AJ74" s="148">
        <f>(AA74+AC74)</f>
        <v>9.8297988434767997E-13</v>
      </c>
      <c r="AK74" s="147">
        <f>(AE74+AG74)</f>
        <v>6077.8573783900956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0.12271470399147691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27606.371752661449</v>
      </c>
      <c r="AB75" s="158"/>
      <c r="AC75" s="149">
        <f>AA75+AC65-SUM(AC70,AC74)</f>
        <v>41001.200803982123</v>
      </c>
      <c r="AD75" s="158"/>
      <c r="AE75" s="149">
        <f>AC75+AE65-SUM(AE70,AE74)</f>
        <v>52438.920988423066</v>
      </c>
      <c r="AF75" s="158"/>
      <c r="AG75" s="149">
        <f>IF(SUM(AG6:AG29)+((AG65-AG70-$J$75)*4/I$83)&lt;1,0,AG65-AG70-$J$75-(1-SUM(AG6:AG29))*I$83/4)</f>
        <v>14618.74367478627</v>
      </c>
      <c r="AH75" s="134"/>
      <c r="AI75" s="149">
        <f>AI76-SUM(AI70,AI74)</f>
        <v>49752.547336099015</v>
      </c>
      <c r="AJ75" s="151">
        <f>AJ76-SUM(AJ70,AJ74)</f>
        <v>26382.457129195842</v>
      </c>
      <c r="AK75" s="149">
        <f>AJ75+AK76-SUM(AK70,AK74)</f>
        <v>49752.547336099022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90023.426666666681</v>
      </c>
      <c r="J76" s="51">
        <f t="shared" si="44"/>
        <v>93419.230226541942</v>
      </c>
      <c r="K76" s="40">
        <f>SUM(K70:K75)</f>
        <v>1.0000000000000002</v>
      </c>
      <c r="L76" s="22">
        <f>SUM(L70:L75)</f>
        <v>0.9407064222624244</v>
      </c>
      <c r="M76" s="24">
        <f>SUM(M70:M75)</f>
        <v>0.93200519673707649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18962.83445588838</v>
      </c>
      <c r="AB76" s="137"/>
      <c r="AC76" s="153">
        <f>AC65</f>
        <v>19370.035429333871</v>
      </c>
      <c r="AD76" s="137"/>
      <c r="AE76" s="153">
        <f>AE65</f>
        <v>18864.455137896108</v>
      </c>
      <c r="AF76" s="137"/>
      <c r="AG76" s="153">
        <f>AG65</f>
        <v>22533.905203423568</v>
      </c>
      <c r="AH76" s="137"/>
      <c r="AI76" s="153">
        <f>SUM(AA76,AC76,AE76,AG76)</f>
        <v>79731.230226541928</v>
      </c>
      <c r="AJ76" s="154">
        <f>SUM(AA76,AC76)</f>
        <v>38332.869885222251</v>
      </c>
      <c r="AK76" s="154">
        <f>SUM(AE76,AG76)</f>
        <v>41398.360341319676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14618.74367478627</v>
      </c>
      <c r="AB78" s="112"/>
      <c r="AC78" s="112">
        <f>IF(AA75&lt;0,0,AA75)</f>
        <v>27606.371752661449</v>
      </c>
      <c r="AD78" s="112"/>
      <c r="AE78" s="112">
        <f>AC75</f>
        <v>41001.200803982123</v>
      </c>
      <c r="AF78" s="112"/>
      <c r="AG78" s="112">
        <f>AE75</f>
        <v>52438.920988423066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27606.371752661449</v>
      </c>
      <c r="AB79" s="112"/>
      <c r="AC79" s="112">
        <f>AA79-AA74+AC65-AC70</f>
        <v>41001.200803982123</v>
      </c>
      <c r="AD79" s="112"/>
      <c r="AE79" s="112">
        <f>AC79-AC74+AE65-AE70</f>
        <v>53890.449563865026</v>
      </c>
      <c r="AF79" s="112"/>
      <c r="AG79" s="112">
        <f>AE79-AE74+AG65-AG70</f>
        <v>68997.619813833429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0.57212121212121214</v>
      </c>
      <c r="I91" s="22">
        <f t="shared" ref="I91" si="52">(D91*H91)</f>
        <v>5.9327928526251669E-2</v>
      </c>
      <c r="J91" s="24">
        <f>IF(I$32&lt;=1+I$131,I91,L91+J$33*(I91-L91))</f>
        <v>5.9327928526251669E-2</v>
      </c>
      <c r="K91" s="22">
        <f t="shared" ref="K91" si="53">(B91)</f>
        <v>0.10369818015711361</v>
      </c>
      <c r="L91" s="22">
        <f t="shared" ref="L91" si="54">(K91*H91)</f>
        <v>5.9327928526251669E-2</v>
      </c>
      <c r="M91" s="227">
        <f t="shared" si="49"/>
        <v>5.9327928526251669E-2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0.57212121212121214</v>
      </c>
      <c r="I92" s="22">
        <f t="shared" ref="I92:I118" si="58">(D92*H92)</f>
        <v>0.60387355821363298</v>
      </c>
      <c r="J92" s="24">
        <f t="shared" ref="J92:J118" si="59">IF(I$32&lt;=1+I$131,I92,L92+J$33*(I92-L92))</f>
        <v>0.49429239279205867</v>
      </c>
      <c r="K92" s="22">
        <f t="shared" ref="K92:K118" si="60">(B92)</f>
        <v>0.81477141552017829</v>
      </c>
      <c r="L92" s="22">
        <f t="shared" ref="L92:L118" si="61">(K92*H92)</f>
        <v>0.46614800984912019</v>
      </c>
      <c r="M92" s="227">
        <f t="shared" ref="M92:M118" si="62">(J92)</f>
        <v>0.49429239279205867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0.57212121212121214</v>
      </c>
      <c r="I93" s="22">
        <f t="shared" si="58"/>
        <v>0.12649561903632944</v>
      </c>
      <c r="J93" s="24">
        <f t="shared" si="59"/>
        <v>0.12565268699462503</v>
      </c>
      <c r="K93" s="22">
        <f t="shared" si="60"/>
        <v>0.21924758090361163</v>
      </c>
      <c r="L93" s="22">
        <f t="shared" si="61"/>
        <v>0.12543619174121781</v>
      </c>
      <c r="M93" s="227">
        <f t="shared" si="62"/>
        <v>0.12565268699462503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0.84848484848484851</v>
      </c>
      <c r="I95" s="22">
        <f t="shared" si="58"/>
        <v>0.80680326531330071</v>
      </c>
      <c r="J95" s="24">
        <f t="shared" si="59"/>
        <v>0.80680326531330071</v>
      </c>
      <c r="K95" s="22">
        <f t="shared" si="60"/>
        <v>0.95087527697639007</v>
      </c>
      <c r="L95" s="22">
        <f t="shared" si="61"/>
        <v>0.80680326531330071</v>
      </c>
      <c r="M95" s="227">
        <f t="shared" si="62"/>
        <v>0.80680326531330071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0.1963264446143505</v>
      </c>
      <c r="K96" s="22">
        <f t="shared" si="60"/>
        <v>0.26680060351851659</v>
      </c>
      <c r="L96" s="22">
        <f t="shared" si="61"/>
        <v>0.24675013392076142</v>
      </c>
      <c r="M96" s="227">
        <f t="shared" si="62"/>
        <v>0.1963264446143505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8.1757264553449678E-3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8.1757264553449678E-3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0.84848484848484851</v>
      </c>
      <c r="I98" s="22">
        <f t="shared" si="58"/>
        <v>1.8068622300103133E-2</v>
      </c>
      <c r="J98" s="24">
        <f t="shared" si="59"/>
        <v>2.3694122154698294E-2</v>
      </c>
      <c r="K98" s="22">
        <f t="shared" si="60"/>
        <v>2.9628051473461033E-2</v>
      </c>
      <c r="L98" s="22">
        <f t="shared" si="61"/>
        <v>2.5138952765360878E-2</v>
      </c>
      <c r="M98" s="227">
        <f t="shared" si="62"/>
        <v>2.3694122154698294E-2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1.8001599534704513E-2</v>
      </c>
      <c r="K99" s="22">
        <f t="shared" si="60"/>
        <v>2.6665246326114927E-2</v>
      </c>
      <c r="L99" s="22">
        <f t="shared" si="61"/>
        <v>2.2625057488824787E-2</v>
      </c>
      <c r="M99" s="227">
        <f t="shared" si="62"/>
        <v>1.8001599534704513E-2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7.500666472793549E-2</v>
      </c>
      <c r="K100" s="22">
        <f t="shared" si="60"/>
        <v>0.11110519302547887</v>
      </c>
      <c r="L100" s="22">
        <f t="shared" si="61"/>
        <v>9.4271072870103292E-2</v>
      </c>
      <c r="M100" s="227">
        <f t="shared" si="62"/>
        <v>7.500666472793549E-2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2.2501999418380644E-2</v>
      </c>
      <c r="K101" s="22">
        <f t="shared" si="60"/>
        <v>3.3331557907643659E-2</v>
      </c>
      <c r="L101" s="22">
        <f t="shared" si="61"/>
        <v>2.8281321861030984E-2</v>
      </c>
      <c r="M101" s="227">
        <f t="shared" si="62"/>
        <v>2.2501999418380644E-2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4.3753887757962372E-3</v>
      </c>
      <c r="K102" s="22">
        <f t="shared" si="60"/>
        <v>6.4811362598196009E-3</v>
      </c>
      <c r="L102" s="22">
        <f t="shared" si="61"/>
        <v>5.4991459174226921E-3</v>
      </c>
      <c r="M102" s="227">
        <f t="shared" si="62"/>
        <v>4.3753887757962372E-3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0.84848484848484851</v>
      </c>
      <c r="I103" s="22">
        <f t="shared" si="58"/>
        <v>2.5138952765360878E-2</v>
      </c>
      <c r="J103" s="24">
        <f t="shared" si="59"/>
        <v>2.5138952765360878E-2</v>
      </c>
      <c r="K103" s="22">
        <f t="shared" si="60"/>
        <v>2.9628051473461033E-2</v>
      </c>
      <c r="L103" s="22">
        <f t="shared" si="61"/>
        <v>2.5138952765360878E-2</v>
      </c>
      <c r="M103" s="227">
        <f t="shared" si="62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1.2501110787989248E-2</v>
      </c>
      <c r="K104" s="22">
        <f t="shared" si="60"/>
        <v>1.8517532170913144E-2</v>
      </c>
      <c r="L104" s="22">
        <f t="shared" si="61"/>
        <v>1.5711845478350549E-2</v>
      </c>
      <c r="M104" s="227">
        <f t="shared" si="62"/>
        <v>1.2501110787989248E-2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0.57212121212121214</v>
      </c>
      <c r="I111" s="22">
        <f t="shared" si="58"/>
        <v>0.92170174674712413</v>
      </c>
      <c r="J111" s="24">
        <f t="shared" si="59"/>
        <v>0.92170174674712413</v>
      </c>
      <c r="K111" s="22">
        <f t="shared" si="60"/>
        <v>1.6110252988694436</v>
      </c>
      <c r="L111" s="22">
        <f t="shared" si="61"/>
        <v>0.92170174674712413</v>
      </c>
      <c r="M111" s="227">
        <f t="shared" si="62"/>
        <v>0.92170174674712413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0.57212121212121214</v>
      </c>
      <c r="I112" s="22">
        <f t="shared" si="58"/>
        <v>0.76278765248037861</v>
      </c>
      <c r="J112" s="24">
        <f t="shared" si="59"/>
        <v>0.76278765248037861</v>
      </c>
      <c r="K112" s="22">
        <f t="shared" si="60"/>
        <v>1.3332623163057464</v>
      </c>
      <c r="L112" s="22">
        <f t="shared" si="61"/>
        <v>0.76278765248037861</v>
      </c>
      <c r="M112" s="227">
        <f t="shared" si="62"/>
        <v>0.76278765248037861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2.242833245680842E-2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2.242833245680842E-2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0.87995312876179266</v>
      </c>
      <c r="L115" s="22">
        <f t="shared" si="61"/>
        <v>0</v>
      </c>
      <c r="M115" s="227">
        <f t="shared" si="62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6.0618607252212389</v>
      </c>
      <c r="J119" s="24">
        <f>SUM(J91:J118)</f>
        <v>6.2905221858252078</v>
      </c>
      <c r="K119" s="22">
        <f>SUM(K91:K118)</f>
        <v>11.136591987844533</v>
      </c>
      <c r="L119" s="22">
        <f>SUM(L91:L118)</f>
        <v>6.3492506697464304</v>
      </c>
      <c r="M119" s="57">
        <f t="shared" si="49"/>
        <v>6.2905221858252078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65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1.3748029325180893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1.2562719583407667</v>
      </c>
      <c r="M127" s="57">
        <f t="shared" si="63"/>
        <v>1.3748029325180893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4.4524632512909861</v>
      </c>
      <c r="J128" s="228">
        <f>(J30)</f>
        <v>0.14029393642207899</v>
      </c>
      <c r="K128" s="22">
        <f>(B128)</f>
        <v>0.6190340508094645</v>
      </c>
      <c r="L128" s="22">
        <f>IF(L124=L119,0,(L119-L124)/(B119-B124)*K128)</f>
        <v>0.31755339452062459</v>
      </c>
      <c r="M128" s="57">
        <f t="shared" si="63"/>
        <v>0.14029393642207899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6.0618607252212389</v>
      </c>
      <c r="J130" s="228">
        <f>(J119)</f>
        <v>6.2905221858252078</v>
      </c>
      <c r="K130" s="22">
        <f>(B130)</f>
        <v>11.136591987844533</v>
      </c>
      <c r="L130" s="22">
        <f>(L119)</f>
        <v>6.3492506697464304</v>
      </c>
      <c r="M130" s="57">
        <f t="shared" si="63"/>
        <v>6.2905221858252078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4.3618396726561114E-2</v>
      </c>
      <c r="J6" s="24">
        <f t="shared" ref="J6:J13" si="3">IF(I$32&lt;=1+I$131,I6,B6*H6+J$33*(I6-B6*H6))</f>
        <v>4.3618396726561114E-2</v>
      </c>
      <c r="K6" s="22">
        <f t="shared" ref="K6:K31" si="4">B6</f>
        <v>8.7236793453122227E-2</v>
      </c>
      <c r="L6" s="22">
        <f t="shared" ref="L6:L29" si="5">IF(K6="","",K6*H6)</f>
        <v>4.3618396726561114E-2</v>
      </c>
      <c r="M6" s="177">
        <f t="shared" ref="M6:M31" si="6">J6</f>
        <v>4.3618396726561114E-2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0.17447358690624445</v>
      </c>
      <c r="Z6" s="156">
        <f>Poor!Z6</f>
        <v>0.17</v>
      </c>
      <c r="AA6" s="121">
        <f>$M6*Z6*4</f>
        <v>2.9660509774061559E-2</v>
      </c>
      <c r="AB6" s="156">
        <f>Poor!AB6</f>
        <v>0.17</v>
      </c>
      <c r="AC6" s="121">
        <f t="shared" ref="AC6:AC29" si="7">$M6*AB6*4</f>
        <v>2.9660509774061559E-2</v>
      </c>
      <c r="AD6" s="156">
        <f>Poor!AD6</f>
        <v>0.33</v>
      </c>
      <c r="AE6" s="121">
        <f t="shared" ref="AE6:AE29" si="8">$M6*AD6*4</f>
        <v>5.7576283679060675E-2</v>
      </c>
      <c r="AF6" s="122">
        <f>1-SUM(Z6,AB6,AD6)</f>
        <v>0.32999999999999996</v>
      </c>
      <c r="AG6" s="121">
        <f>$M6*AF6*4</f>
        <v>5.7576283679060661E-2</v>
      </c>
      <c r="AH6" s="123">
        <f>SUM(Z6,AB6,AD6,AF6)</f>
        <v>1</v>
      </c>
      <c r="AI6" s="183">
        <f>SUM(AA6,AC6,AE6,AG6)/4</f>
        <v>4.3618396726561114E-2</v>
      </c>
      <c r="AJ6" s="120">
        <f>(AA6+AC6)/2</f>
        <v>2.9660509774061559E-2</v>
      </c>
      <c r="AK6" s="119">
        <f>(AE6+AG6)/2</f>
        <v>5.7576283679060668E-2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1.0725835260629778E-2</v>
      </c>
      <c r="J7" s="24">
        <f t="shared" si="3"/>
        <v>1.0725835260629778E-2</v>
      </c>
      <c r="K7" s="22">
        <f t="shared" si="4"/>
        <v>2.1451670521259555E-2</v>
      </c>
      <c r="L7" s="22">
        <f t="shared" si="5"/>
        <v>1.0725835260629778E-2</v>
      </c>
      <c r="M7" s="177">
        <f t="shared" si="6"/>
        <v>1.0725835260629778E-2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6973.4948466549677</v>
      </c>
      <c r="T7" s="222">
        <f>IF($B$81=0,0,(SUMIF($N$6:$N$28,$U7,M$6:M$28)+SUMIF($N$91:$N$118,$U7,M$91:M$118))*$I$83*Poor!$B$81/$B$81)</f>
        <v>6437.0636881233486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4.2903341042519111E-2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4.2903341042519111E-2</v>
      </c>
      <c r="AH7" s="123">
        <f t="shared" ref="AH7:AH30" si="12">SUM(Z7,AB7,AD7,AF7)</f>
        <v>1</v>
      </c>
      <c r="AI7" s="183">
        <f t="shared" ref="AI7:AI30" si="13">SUM(AA7,AC7,AE7,AG7)/4</f>
        <v>1.0725835260629778E-2</v>
      </c>
      <c r="AJ7" s="120">
        <f t="shared" ref="AJ7:AJ31" si="14">(AA7+AC7)/2</f>
        <v>0</v>
      </c>
      <c r="AK7" s="119">
        <f t="shared" ref="AK7:AK31" si="15">(AE7+AG7)/2</f>
        <v>2.1451670521259555E-2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2.4994534187273914E-2</v>
      </c>
      <c r="J8" s="24">
        <f t="shared" si="3"/>
        <v>2.4994534187273914E-2</v>
      </c>
      <c r="K8" s="22">
        <f t="shared" si="4"/>
        <v>4.9989068374547828E-2</v>
      </c>
      <c r="L8" s="22">
        <f t="shared" si="5"/>
        <v>2.4994534187273914E-2</v>
      </c>
      <c r="M8" s="224">
        <f t="shared" si="6"/>
        <v>2.4994534187273914E-2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35094.400000000001</v>
      </c>
      <c r="T8" s="222">
        <f>IF($B$81=0,0,(SUMIF($N$6:$N$28,$U8,M$6:M$28)+SUMIF($N$91:$N$118,$U8,M$91:M$118))*$I$83*Poor!$B$81/$B$81)</f>
        <v>35466.534148872699</v>
      </c>
      <c r="U8" s="223">
        <v>2</v>
      </c>
      <c r="V8" s="56"/>
      <c r="W8" s="115"/>
      <c r="X8" s="118">
        <f>Poor!X8</f>
        <v>1</v>
      </c>
      <c r="Y8" s="183">
        <f t="shared" si="9"/>
        <v>9.9978136749095656E-2</v>
      </c>
      <c r="Z8" s="125">
        <f>IF($Y8=0,0,AA8/$Y8)</f>
        <v>0.44816530449254921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4.4806732098756179E-2</v>
      </c>
      <c r="AB8" s="125">
        <f>IF($Y8=0,0,AC8/$Y8)</f>
        <v>0.52084322783299053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5.2072935457127108E-2</v>
      </c>
      <c r="AD8" s="125">
        <f>IF($Y8=0,0,AE8/$Y8)</f>
        <v>3.0991467674460298E-2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3.0984691932123692E-3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2.4994534187273914E-2</v>
      </c>
      <c r="AJ8" s="120">
        <f t="shared" si="14"/>
        <v>4.8439833777941643E-2</v>
      </c>
      <c r="AK8" s="119">
        <f t="shared" si="15"/>
        <v>1.5492345966061846E-3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1346.563924800749</v>
      </c>
      <c r="T9" s="222">
        <f>IF($B$81=0,0,(SUMIF($N$6:$N$28,$U9,M$6:M$28)+SUMIF($N$91:$N$118,$U9,M$91:M$118))*$I$83*Poor!$B$81/$B$81)</f>
        <v>1346.563924800749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0.44816530449254932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6.9714602921063231E-3</v>
      </c>
      <c r="AB9" s="125">
        <f>IF($Y9=0,0,AC9/$Y9)</f>
        <v>0.52084322783299053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8.1020057662909636E-3</v>
      </c>
      <c r="AD9" s="125">
        <f>IF($Y9=0,0,AE9/$Y9)</f>
        <v>3.0991467674460271E-2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4.8208949715827093E-4</v>
      </c>
      <c r="AF9" s="122">
        <f t="shared" si="10"/>
        <v>0</v>
      </c>
      <c r="AG9" s="121">
        <f t="shared" si="11"/>
        <v>0</v>
      </c>
      <c r="AH9" s="123">
        <f t="shared" si="12"/>
        <v>1.0000000000000002</v>
      </c>
      <c r="AI9" s="183">
        <f t="shared" si="13"/>
        <v>3.8888888888888896E-3</v>
      </c>
      <c r="AJ9" s="120">
        <f t="shared" si="14"/>
        <v>7.5367330291986438E-3</v>
      </c>
      <c r="AK9" s="119">
        <f t="shared" si="15"/>
        <v>2.4104474857913546E-4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0.44816530449254927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1.693068928082964E-2</v>
      </c>
      <c r="AB10" s="125">
        <f>IF($Y10=0,0,AC10/$Y10)</f>
        <v>0.52084322783299042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1.9676299718135195E-2</v>
      </c>
      <c r="AD10" s="125">
        <f>IF($Y10=0,0,AE10/$Y10)</f>
        <v>3.0991467674460274E-2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1.1707887788129437E-3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1.8303494499482417E-2</v>
      </c>
      <c r="AK10" s="119">
        <f t="shared" si="15"/>
        <v>5.8539438940647184E-4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1.5171256252837573</v>
      </c>
      <c r="J11" s="24">
        <f t="shared" si="3"/>
        <v>0.2504928109152193</v>
      </c>
      <c r="K11" s="22">
        <f t="shared" si="4"/>
        <v>0.25475845009784731</v>
      </c>
      <c r="L11" s="22">
        <f t="shared" si="5"/>
        <v>0.27768671060665356</v>
      </c>
      <c r="M11" s="224">
        <f t="shared" si="6"/>
        <v>0.2504928109152193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20154.399999999994</v>
      </c>
      <c r="T11" s="222">
        <f>IF($B$81=0,0,(SUMIF($N$6:$N$28,$U11,M$6:M$28)+SUMIF($N$91:$N$118,$U11,M$91:M$118))*$I$83*Poor!$B$81/$B$81)</f>
        <v>20149.271357736969</v>
      </c>
      <c r="U11" s="223">
        <v>5</v>
      </c>
      <c r="V11" s="56"/>
      <c r="W11" s="115"/>
      <c r="X11" s="118">
        <f>Poor!X11</f>
        <v>1</v>
      </c>
      <c r="Y11" s="183">
        <f t="shared" si="9"/>
        <v>1.0019712436608772</v>
      </c>
      <c r="Z11" s="125">
        <f>IF($Y11=0,0,AA11/$Y11)</f>
        <v>0.44816530449254927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0.44904874750805529</v>
      </c>
      <c r="AB11" s="125">
        <f>IF($Y11=0,0,AC11/$Y11)</f>
        <v>0.52084322783299042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0.52186993674416704</v>
      </c>
      <c r="AD11" s="125">
        <f>IF($Y11=0,0,AE11/$Y11)</f>
        <v>3.099146767446025E-2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3.1052559408654812E-2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0.2504928109152193</v>
      </c>
      <c r="AJ11" s="120">
        <f t="shared" si="14"/>
        <v>0.48545934212611119</v>
      </c>
      <c r="AK11" s="119">
        <f t="shared" si="15"/>
        <v>1.5526279704327406E-2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1.7988587838600006E-2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1.7988587838600006E-2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7.1954351354400023E-2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4.8209415407448018E-2</v>
      </c>
      <c r="AF12" s="122">
        <f>1-SUM(Z12,AB12,AD12)</f>
        <v>0.32999999999999996</v>
      </c>
      <c r="AG12" s="121">
        <f>$M12*AF12*4</f>
        <v>2.3744935946952005E-2</v>
      </c>
      <c r="AH12" s="123">
        <f t="shared" si="12"/>
        <v>1</v>
      </c>
      <c r="AI12" s="183">
        <f t="shared" si="13"/>
        <v>1.7988587838600006E-2</v>
      </c>
      <c r="AJ12" s="120">
        <f t="shared" si="14"/>
        <v>0</v>
      </c>
      <c r="AK12" s="119">
        <f t="shared" si="15"/>
        <v>3.5977175677200011E-2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1</v>
      </c>
      <c r="H13" s="24">
        <f t="shared" si="1"/>
        <v>1</v>
      </c>
      <c r="I13" s="22">
        <f t="shared" si="2"/>
        <v>8.1596212417719263E-2</v>
      </c>
      <c r="J13" s="24">
        <f t="shared" si="3"/>
        <v>2.9987392161184557E-2</v>
      </c>
      <c r="K13" s="22">
        <f t="shared" si="4"/>
        <v>3.1095404732254046E-2</v>
      </c>
      <c r="L13" s="22">
        <f t="shared" si="5"/>
        <v>3.1095404732254046E-2</v>
      </c>
      <c r="M13" s="225">
        <f t="shared" si="6"/>
        <v>2.9987392161184557E-2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0.11994956864473823</v>
      </c>
      <c r="Z13" s="156">
        <f>Poor!Z13</f>
        <v>1</v>
      </c>
      <c r="AA13" s="121">
        <f>$M13*Z13*4</f>
        <v>0.11994956864473823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2.9987392161184557E-2</v>
      </c>
      <c r="AJ13" s="120">
        <f t="shared" si="14"/>
        <v>5.9974784322369114E-2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1</v>
      </c>
      <c r="F14" s="22"/>
      <c r="H14" s="24">
        <f t="shared" si="1"/>
        <v>1</v>
      </c>
      <c r="I14" s="22">
        <f t="shared" si="2"/>
        <v>9.4968333036826186E-3</v>
      </c>
      <c r="J14" s="24">
        <f>IF(I$32&lt;=1+I131,I14,B14*H14+J$33*(I14-B14*H14))</f>
        <v>9.4968333036826186E-3</v>
      </c>
      <c r="K14" s="22">
        <f t="shared" si="4"/>
        <v>9.4968333036826186E-3</v>
      </c>
      <c r="L14" s="22">
        <f t="shared" si="5"/>
        <v>9.4968333036826186E-3</v>
      </c>
      <c r="M14" s="225">
        <f t="shared" si="6"/>
        <v>9.4968333036826186E-3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135936</v>
      </c>
      <c r="T14" s="222">
        <f>IF($B$81=0,0,(SUMIF($N$6:$N$28,$U14,M$6:M$28)+SUMIF($N$91:$N$118,$U14,M$91:M$118))*$I$83*Poor!$B$81/$B$81)</f>
        <v>135936</v>
      </c>
      <c r="U14" s="223">
        <v>8</v>
      </c>
      <c r="V14" s="56"/>
      <c r="W14" s="110"/>
      <c r="X14" s="118"/>
      <c r="Y14" s="183">
        <f>M14*4</f>
        <v>3.7987333214730475E-2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3.7987333214730475E-2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9.4968333036826186E-3</v>
      </c>
      <c r="AJ14" s="120">
        <f t="shared" si="14"/>
        <v>1.8993666607365237E-2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1</v>
      </c>
      <c r="F15" s="22"/>
      <c r="H15" s="24">
        <f t="shared" si="1"/>
        <v>1</v>
      </c>
      <c r="I15" s="22">
        <f t="shared" si="2"/>
        <v>1.8103408514367418E-2</v>
      </c>
      <c r="J15" s="24">
        <f>IF(I$32&lt;=1+I131,I15,B15*H15+J$33*(I15-B15*H15))</f>
        <v>3.3029235499653872E-3</v>
      </c>
      <c r="K15" s="22">
        <f t="shared" si="4"/>
        <v>3.6206817028734835E-3</v>
      </c>
      <c r="L15" s="22">
        <f t="shared" si="5"/>
        <v>3.6206817028734835E-3</v>
      </c>
      <c r="M15" s="226">
        <f t="shared" si="6"/>
        <v>3.3029235499653872E-3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1.3211694199861549E-2</v>
      </c>
      <c r="Z15" s="156">
        <f>Poor!Z15</f>
        <v>0.25</v>
      </c>
      <c r="AA15" s="121">
        <f t="shared" si="16"/>
        <v>3.3029235499653872E-3</v>
      </c>
      <c r="AB15" s="156">
        <f>Poor!AB15</f>
        <v>0.25</v>
      </c>
      <c r="AC15" s="121">
        <f t="shared" si="7"/>
        <v>3.3029235499653872E-3</v>
      </c>
      <c r="AD15" s="156">
        <f>Poor!AD15</f>
        <v>0.25</v>
      </c>
      <c r="AE15" s="121">
        <f t="shared" si="8"/>
        <v>3.3029235499653872E-3</v>
      </c>
      <c r="AF15" s="122">
        <f t="shared" si="10"/>
        <v>0.25</v>
      </c>
      <c r="AG15" s="121">
        <f t="shared" si="11"/>
        <v>3.3029235499653872E-3</v>
      </c>
      <c r="AH15" s="123">
        <f t="shared" si="12"/>
        <v>1</v>
      </c>
      <c r="AI15" s="183">
        <f t="shared" si="13"/>
        <v>3.3029235499653872E-3</v>
      </c>
      <c r="AJ15" s="120">
        <f t="shared" si="14"/>
        <v>3.3029235499653872E-3</v>
      </c>
      <c r="AK15" s="119">
        <f t="shared" si="15"/>
        <v>3.3029235499653872E-3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1</v>
      </c>
      <c r="F16" s="22"/>
      <c r="H16" s="24">
        <f t="shared" si="1"/>
        <v>1</v>
      </c>
      <c r="I16" s="22">
        <f t="shared" si="2"/>
        <v>0.12616441914250134</v>
      </c>
      <c r="J16" s="24">
        <f>IF(I$32&lt;=1+I131,I16,B16*H16+J$33*(I16-B16*H16))</f>
        <v>2.5746751343706374E-2</v>
      </c>
      <c r="K16" s="22">
        <f t="shared" si="4"/>
        <v>2.7902662634169489E-2</v>
      </c>
      <c r="L16" s="22">
        <f t="shared" si="5"/>
        <v>2.7902662634169489E-2</v>
      </c>
      <c r="M16" s="224">
        <f t="shared" si="6"/>
        <v>2.5746751343706374E-2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0.1029870053748255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0.1029870053748255</v>
      </c>
      <c r="AH16" s="123">
        <f t="shared" si="12"/>
        <v>1</v>
      </c>
      <c r="AI16" s="183">
        <f t="shared" si="13"/>
        <v>2.5746751343706374E-2</v>
      </c>
      <c r="AJ16" s="120">
        <f t="shared" si="14"/>
        <v>0</v>
      </c>
      <c r="AK16" s="119">
        <f t="shared" si="15"/>
        <v>5.1493502687412748E-2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1</v>
      </c>
      <c r="F17" s="22"/>
      <c r="H17" s="24">
        <f t="shared" si="1"/>
        <v>1</v>
      </c>
      <c r="I17" s="22">
        <f t="shared" si="2"/>
        <v>4.2544920832592072E-3</v>
      </c>
      <c r="J17" s="24">
        <f t="shared" ref="J17:J25" si="17">IF(I$32&lt;=1+I131,I17,B17*H17+J$33*(I17-B17*H17))</f>
        <v>4.2544920832592072E-3</v>
      </c>
      <c r="K17" s="22">
        <f t="shared" si="4"/>
        <v>4.2544920832592072E-3</v>
      </c>
      <c r="L17" s="22">
        <f t="shared" si="5"/>
        <v>4.2544920832592072E-3</v>
      </c>
      <c r="M17" s="225">
        <f t="shared" si="6"/>
        <v>4.2544920832592072E-3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1.7017968333036829E-2</v>
      </c>
      <c r="Z17" s="156">
        <f>Poor!Z17</f>
        <v>0.29409999999999997</v>
      </c>
      <c r="AA17" s="121">
        <f t="shared" si="16"/>
        <v>5.0049844867461309E-3</v>
      </c>
      <c r="AB17" s="156">
        <f>Poor!AB17</f>
        <v>0.17649999999999999</v>
      </c>
      <c r="AC17" s="121">
        <f t="shared" si="7"/>
        <v>3.0036714107810002E-3</v>
      </c>
      <c r="AD17" s="156">
        <f>Poor!AD17</f>
        <v>0.23530000000000001</v>
      </c>
      <c r="AE17" s="121">
        <f t="shared" si="8"/>
        <v>4.0043279487635662E-3</v>
      </c>
      <c r="AF17" s="122">
        <f t="shared" si="10"/>
        <v>0.29410000000000003</v>
      </c>
      <c r="AG17" s="121">
        <f t="shared" si="11"/>
        <v>5.0049844867461318E-3</v>
      </c>
      <c r="AH17" s="123">
        <f t="shared" si="12"/>
        <v>1</v>
      </c>
      <c r="AI17" s="183">
        <f t="shared" si="13"/>
        <v>4.2544920832592072E-3</v>
      </c>
      <c r="AJ17" s="120">
        <f t="shared" si="14"/>
        <v>4.0043279487635653E-3</v>
      </c>
      <c r="AK17" s="119">
        <f t="shared" si="15"/>
        <v>4.504656217754849E-3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3.4335527486212415E-2</v>
      </c>
      <c r="J18" s="24">
        <f t="shared" si="17"/>
        <v>1.6791094558664878E-2</v>
      </c>
      <c r="K18" s="22">
        <f t="shared" ref="K18:K25" si="21">B18</f>
        <v>1.7167763743106208E-2</v>
      </c>
      <c r="L18" s="22">
        <f t="shared" ref="L18:L25" si="22">IF(K18="","",K18*H18)</f>
        <v>1.7167763743106208E-2</v>
      </c>
      <c r="M18" s="225">
        <f t="shared" ref="M18:M25" si="23">J18</f>
        <v>1.6791094558664878E-2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1</v>
      </c>
      <c r="F19" s="22"/>
      <c r="H19" s="24">
        <f t="shared" si="19"/>
        <v>1</v>
      </c>
      <c r="I19" s="22">
        <f t="shared" si="20"/>
        <v>8.9396904465397619E-3</v>
      </c>
      <c r="J19" s="24">
        <f t="shared" si="17"/>
        <v>7.8738434202418606E-3</v>
      </c>
      <c r="K19" s="22">
        <f t="shared" si="21"/>
        <v>7.8967265611101234E-3</v>
      </c>
      <c r="L19" s="22">
        <f t="shared" si="22"/>
        <v>7.8967265611101234E-3</v>
      </c>
      <c r="M19" s="225">
        <f t="shared" si="23"/>
        <v>7.8738434202418606E-3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244093.12480694451</v>
      </c>
      <c r="T23" s="179">
        <f>SUM(T7:T22)</f>
        <v>243923.69915502256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1.1741134491824042E-2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1.1741134491824042E-2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4.6964537967296167E-2</v>
      </c>
      <c r="Z27" s="156">
        <f>Poor!Z27</f>
        <v>0.25</v>
      </c>
      <c r="AA27" s="121">
        <f t="shared" si="16"/>
        <v>1.1741134491824042E-2</v>
      </c>
      <c r="AB27" s="156">
        <f>Poor!AB27</f>
        <v>0.25</v>
      </c>
      <c r="AC27" s="121">
        <f t="shared" si="7"/>
        <v>1.1741134491824042E-2</v>
      </c>
      <c r="AD27" s="156">
        <f>Poor!AD27</f>
        <v>0.25</v>
      </c>
      <c r="AE27" s="121">
        <f t="shared" si="8"/>
        <v>1.1741134491824042E-2</v>
      </c>
      <c r="AF27" s="122">
        <f t="shared" si="10"/>
        <v>0.25</v>
      </c>
      <c r="AG27" s="121">
        <f t="shared" si="11"/>
        <v>1.1741134491824042E-2</v>
      </c>
      <c r="AH27" s="123">
        <f t="shared" si="12"/>
        <v>1</v>
      </c>
      <c r="AI27" s="183">
        <f t="shared" si="13"/>
        <v>1.1741134491824042E-2</v>
      </c>
      <c r="AJ27" s="120">
        <f t="shared" si="14"/>
        <v>1.1741134491824042E-2</v>
      </c>
      <c r="AK27" s="119">
        <f t="shared" si="15"/>
        <v>1.1741134491824042E-2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7.033414442041014E-3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7.033414442041014E-3</v>
      </c>
      <c r="N28" s="229"/>
      <c r="O28" s="2"/>
      <c r="P28" s="22"/>
      <c r="V28" s="56"/>
      <c r="W28" s="110"/>
      <c r="X28" s="118"/>
      <c r="Y28" s="183">
        <f t="shared" si="9"/>
        <v>2.8133657768164056E-2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1.4066828884082028E-2</v>
      </c>
      <c r="AF28" s="122">
        <f t="shared" si="10"/>
        <v>0.5</v>
      </c>
      <c r="AG28" s="121">
        <f t="shared" si="11"/>
        <v>1.4066828884082028E-2</v>
      </c>
      <c r="AH28" s="123">
        <f t="shared" si="12"/>
        <v>1</v>
      </c>
      <c r="AI28" s="183">
        <f t="shared" si="13"/>
        <v>7.033414442041014E-3</v>
      </c>
      <c r="AJ28" s="120">
        <f t="shared" si="14"/>
        <v>0</v>
      </c>
      <c r="AK28" s="119">
        <f t="shared" si="15"/>
        <v>1.4066828884082028E-2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0.26849153911453982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0.26849153911453982</v>
      </c>
      <c r="N29" s="229"/>
      <c r="P29" s="22"/>
      <c r="V29" s="56"/>
      <c r="W29" s="110"/>
      <c r="X29" s="118"/>
      <c r="Y29" s="183">
        <f t="shared" si="9"/>
        <v>1.0739661564581593</v>
      </c>
      <c r="Z29" s="156">
        <f>Poor!Z29</f>
        <v>0.25</v>
      </c>
      <c r="AA29" s="121">
        <f t="shared" si="16"/>
        <v>0.26849153911453982</v>
      </c>
      <c r="AB29" s="156">
        <f>Poor!AB29</f>
        <v>0.25</v>
      </c>
      <c r="AC29" s="121">
        <f t="shared" si="7"/>
        <v>0.26849153911453982</v>
      </c>
      <c r="AD29" s="156">
        <f>Poor!AD29</f>
        <v>0.25</v>
      </c>
      <c r="AE29" s="121">
        <f t="shared" si="8"/>
        <v>0.26849153911453982</v>
      </c>
      <c r="AF29" s="122">
        <f t="shared" si="10"/>
        <v>0.25</v>
      </c>
      <c r="AG29" s="121">
        <f t="shared" si="11"/>
        <v>0.26849153911453982</v>
      </c>
      <c r="AH29" s="123">
        <f t="shared" si="12"/>
        <v>1</v>
      </c>
      <c r="AI29" s="183">
        <f t="shared" si="13"/>
        <v>0.26849153911453982</v>
      </c>
      <c r="AJ29" s="120">
        <f t="shared" si="14"/>
        <v>0.26849153911453982</v>
      </c>
      <c r="AK29" s="119">
        <f t="shared" si="15"/>
        <v>0.26849153911453982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11.252559580992337</v>
      </c>
      <c r="J30" s="231">
        <f>IF(I$32&lt;=1,I30,1-SUM(J6:J29))</f>
        <v>0.21003537251089532</v>
      </c>
      <c r="K30" s="22">
        <f t="shared" si="4"/>
        <v>0.65368818174702015</v>
      </c>
      <c r="L30" s="22">
        <f>IF(L124=L119,0,IF(K30="",0,(L119-L124)/(B119-B124)*K30))</f>
        <v>0.36623783354946621</v>
      </c>
      <c r="M30" s="175">
        <f t="shared" si="6"/>
        <v>0.21003537251089532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0.8401414900435813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0.61026855043369455</v>
      </c>
      <c r="AE30" s="187">
        <f>IF(AE79*4/$I$83+SUM(AE6:AE29)&lt;1,AE79*4/$I$83,1-SUM(AE6:AE29))</f>
        <v>0.51271192928810061</v>
      </c>
      <c r="AF30" s="122">
        <f>IF($Y30=0,0,AG30/($Y$30))</f>
        <v>0.50716375482063736</v>
      </c>
      <c r="AG30" s="187">
        <f>IF(AG79*4/$I$83+SUM(AG6:AG29)&lt;1,AG79*4/$I$83,1-SUM(AG6:AG29))</f>
        <v>0.42608931267110783</v>
      </c>
      <c r="AH30" s="123">
        <f t="shared" si="12"/>
        <v>1.117432305254332</v>
      </c>
      <c r="AI30" s="183">
        <f t="shared" si="13"/>
        <v>0.23470031048980211</v>
      </c>
      <c r="AJ30" s="120">
        <f t="shared" si="14"/>
        <v>0</v>
      </c>
      <c r="AK30" s="119">
        <f t="shared" si="15"/>
        <v>0.46940062097960422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-0.18646405763676221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13.452043685326689</v>
      </c>
      <c r="J32" s="17"/>
      <c r="L32" s="22">
        <f>SUM(L6:L30)</f>
        <v>1.1864640576367622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3.9013402480843733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-2.1940492080256162E-2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1541.8666666666666</v>
      </c>
      <c r="J37" s="38">
        <f>J91*I$83</f>
        <v>1541.8666666666668</v>
      </c>
      <c r="K37" s="40">
        <f t="shared" ref="K37:K52" si="28">(B37/B$65)</f>
        <v>7.6440434181666147E-3</v>
      </c>
      <c r="L37" s="22">
        <f t="shared" ref="L37:L52" si="29">(K37*H37)</f>
        <v>7.2159769867492837E-3</v>
      </c>
      <c r="M37" s="24">
        <f t="shared" ref="M37:M52" si="30">J37/B$65</f>
        <v>7.2159769867492854E-3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1541.8666666666668</v>
      </c>
      <c r="AH37" s="123">
        <f>SUM(Z37,AB37,AD37,AF37)</f>
        <v>1</v>
      </c>
      <c r="AI37" s="112">
        <f>SUM(AA37,AC37,AE37,AG37)</f>
        <v>1541.8666666666668</v>
      </c>
      <c r="AJ37" s="148">
        <f>(AA37+AC37)</f>
        <v>0</v>
      </c>
      <c r="AK37" s="147">
        <f>(AE37+AG37)</f>
        <v>1541.8666666666668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12901.333333333332</v>
      </c>
      <c r="J38" s="38">
        <f t="shared" ref="J38:J64" si="33">J92*I$83</f>
        <v>11936.621508809571</v>
      </c>
      <c r="K38" s="40">
        <f t="shared" si="28"/>
        <v>5.9280336712312524E-2</v>
      </c>
      <c r="L38" s="22">
        <f t="shared" si="29"/>
        <v>5.5960637856423023E-2</v>
      </c>
      <c r="M38" s="24">
        <f t="shared" si="30"/>
        <v>5.5863705967078681E-2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11936.621508809571</v>
      </c>
      <c r="AH38" s="123">
        <f t="shared" ref="AH38:AI58" si="35">SUM(Z38,AB38,AD38,AF38)</f>
        <v>1</v>
      </c>
      <c r="AI38" s="112">
        <f t="shared" si="35"/>
        <v>11936.621508809571</v>
      </c>
      <c r="AJ38" s="148">
        <f t="shared" ref="AJ38:AJ64" si="36">(AA38+AC38)</f>
        <v>0</v>
      </c>
      <c r="AK38" s="147">
        <f t="shared" ref="AK38:AK64" si="37">(AE38+AG38)</f>
        <v>11936.621508809571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2422.9333333333329</v>
      </c>
      <c r="J39" s="38">
        <f t="shared" si="33"/>
        <v>3178.6242625436134</v>
      </c>
      <c r="K39" s="40">
        <f t="shared" si="28"/>
        <v>1.5678089051545812E-2</v>
      </c>
      <c r="L39" s="22">
        <f t="shared" si="29"/>
        <v>1.4800116064659245E-2</v>
      </c>
      <c r="M39" s="24">
        <f t="shared" si="30"/>
        <v>1.4876046044645645E-2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0.44816530449254921</v>
      </c>
      <c r="AA39" s="147">
        <f>$J39*Z39</f>
        <v>1424.5491104902633</v>
      </c>
      <c r="AB39" s="122">
        <f>AB8</f>
        <v>0.52084322783299053</v>
      </c>
      <c r="AC39" s="147">
        <f>$J39*AB39</f>
        <v>1655.5649209714747</v>
      </c>
      <c r="AD39" s="122">
        <f>AD8</f>
        <v>3.0991467674460298E-2</v>
      </c>
      <c r="AE39" s="147">
        <f>$J39*AD39</f>
        <v>98.510231081875602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3178.6242625436134</v>
      </c>
      <c r="AJ39" s="148">
        <f t="shared" si="36"/>
        <v>3080.1140314617378</v>
      </c>
      <c r="AK39" s="147">
        <f t="shared" si="37"/>
        <v>98.510231081875602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0.44816530449254932</v>
      </c>
      <c r="AA40" s="147">
        <f>$J40*Z40</f>
        <v>436.28892392349672</v>
      </c>
      <c r="AB40" s="122">
        <f>AB9</f>
        <v>0.52084322783299053</v>
      </c>
      <c r="AC40" s="147">
        <f>$J40*AB40</f>
        <v>507.04088229541622</v>
      </c>
      <c r="AD40" s="122">
        <f>AD9</f>
        <v>3.0991467674460271E-2</v>
      </c>
      <c r="AE40" s="147">
        <f>$J40*AD40</f>
        <v>30.170193781087068</v>
      </c>
      <c r="AF40" s="122">
        <f t="shared" si="31"/>
        <v>0</v>
      </c>
      <c r="AG40" s="147">
        <f t="shared" si="34"/>
        <v>0</v>
      </c>
      <c r="AH40" s="123">
        <f t="shared" si="35"/>
        <v>1.0000000000000002</v>
      </c>
      <c r="AI40" s="112">
        <f t="shared" si="35"/>
        <v>973.5</v>
      </c>
      <c r="AJ40" s="148">
        <f t="shared" si="36"/>
        <v>943.32980621891295</v>
      </c>
      <c r="AK40" s="147">
        <f t="shared" si="37"/>
        <v>30.170193781087068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14000</v>
      </c>
      <c r="J41" s="38">
        <f t="shared" si="33"/>
        <v>14000.000000000002</v>
      </c>
      <c r="K41" s="40">
        <f t="shared" si="28"/>
        <v>4.680026582550989E-2</v>
      </c>
      <c r="L41" s="22">
        <f t="shared" si="29"/>
        <v>6.5520372155713838E-2</v>
      </c>
      <c r="M41" s="24">
        <f t="shared" si="30"/>
        <v>6.5520372155713852E-2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0.44816530449254927</v>
      </c>
      <c r="AA41" s="147">
        <f>$J41*Z41</f>
        <v>6274.3142628956903</v>
      </c>
      <c r="AB41" s="122">
        <f>AB11</f>
        <v>0.52084322783299042</v>
      </c>
      <c r="AC41" s="147">
        <f>$J41*AB41</f>
        <v>7291.8051896618672</v>
      </c>
      <c r="AD41" s="122">
        <f>AD11</f>
        <v>3.099146767446025E-2</v>
      </c>
      <c r="AE41" s="147">
        <f>$J41*AD41</f>
        <v>433.88054744244357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14000.000000000002</v>
      </c>
      <c r="AJ41" s="148">
        <f t="shared" si="36"/>
        <v>13566.119452557557</v>
      </c>
      <c r="AK41" s="147">
        <f t="shared" si="37"/>
        <v>433.88054744244357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7797.4059545723539</v>
      </c>
      <c r="K42" s="40">
        <f t="shared" si="28"/>
        <v>2.3400132912754945E-2</v>
      </c>
      <c r="L42" s="22">
        <f t="shared" si="29"/>
        <v>3.5708602824864044E-2</v>
      </c>
      <c r="M42" s="24">
        <f t="shared" si="30"/>
        <v>3.6492067142339983E-2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1949.3514886430885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3898.702977286177</v>
      </c>
      <c r="AF42" s="122">
        <f t="shared" si="31"/>
        <v>0.25</v>
      </c>
      <c r="AG42" s="147">
        <f t="shared" si="34"/>
        <v>1949.3514886430885</v>
      </c>
      <c r="AH42" s="123">
        <f t="shared" si="35"/>
        <v>1</v>
      </c>
      <c r="AI42" s="112">
        <f t="shared" si="35"/>
        <v>7797.4059545723539</v>
      </c>
      <c r="AJ42" s="148">
        <f t="shared" si="36"/>
        <v>1949.3514886430885</v>
      </c>
      <c r="AK42" s="147">
        <f t="shared" si="37"/>
        <v>5848.0544659292655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155.9481190914471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7.2984134284679973E-4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38.987029772861774</v>
      </c>
      <c r="AB43" s="156">
        <f>Poor!AB43</f>
        <v>0.25</v>
      </c>
      <c r="AC43" s="147">
        <f t="shared" si="39"/>
        <v>38.987029772861774</v>
      </c>
      <c r="AD43" s="156">
        <f>Poor!AD43</f>
        <v>0.25</v>
      </c>
      <c r="AE43" s="147">
        <f t="shared" si="40"/>
        <v>38.987029772861774</v>
      </c>
      <c r="AF43" s="122">
        <f t="shared" si="31"/>
        <v>0.25</v>
      </c>
      <c r="AG43" s="147">
        <f t="shared" si="34"/>
        <v>38.987029772861774</v>
      </c>
      <c r="AH43" s="123">
        <f t="shared" si="35"/>
        <v>1</v>
      </c>
      <c r="AI43" s="112">
        <f t="shared" si="35"/>
        <v>155.9481190914471</v>
      </c>
      <c r="AJ43" s="148">
        <f t="shared" si="36"/>
        <v>77.974059545723549</v>
      </c>
      <c r="AK43" s="147">
        <f t="shared" si="37"/>
        <v>77.974059545723549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1493.3333333333333</v>
      </c>
      <c r="J44" s="38">
        <f t="shared" si="33"/>
        <v>2637.9066844632207</v>
      </c>
      <c r="K44" s="40">
        <f t="shared" si="28"/>
        <v>8.7360496207618456E-3</v>
      </c>
      <c r="L44" s="22">
        <f t="shared" si="29"/>
        <v>1.2230469469066583E-2</v>
      </c>
      <c r="M44" s="24">
        <f t="shared" si="30"/>
        <v>1.2345473405576816E-2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659.47667111580517</v>
      </c>
      <c r="AB44" s="156">
        <f>Poor!AB44</f>
        <v>0.25</v>
      </c>
      <c r="AC44" s="147">
        <f t="shared" si="39"/>
        <v>659.47667111580517</v>
      </c>
      <c r="AD44" s="156">
        <f>Poor!AD44</f>
        <v>0.25</v>
      </c>
      <c r="AE44" s="147">
        <f t="shared" si="40"/>
        <v>659.47667111580517</v>
      </c>
      <c r="AF44" s="122">
        <f t="shared" si="31"/>
        <v>0.25</v>
      </c>
      <c r="AG44" s="147">
        <f t="shared" si="34"/>
        <v>659.47667111580517</v>
      </c>
      <c r="AH44" s="123">
        <f t="shared" si="35"/>
        <v>1</v>
      </c>
      <c r="AI44" s="112">
        <f t="shared" si="35"/>
        <v>2637.9066844632207</v>
      </c>
      <c r="AJ44" s="148">
        <f t="shared" si="36"/>
        <v>1318.9533422316103</v>
      </c>
      <c r="AK44" s="147">
        <f t="shared" si="37"/>
        <v>1318.9533422316103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1716.8600266948301</v>
      </c>
      <c r="K45" s="40">
        <f t="shared" si="28"/>
        <v>5.6160318990611862E-3</v>
      </c>
      <c r="L45" s="22">
        <f t="shared" si="29"/>
        <v>7.8624446586856595E-3</v>
      </c>
      <c r="M45" s="24">
        <f t="shared" si="30"/>
        <v>8.0349505634510054E-3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429.21500667370753</v>
      </c>
      <c r="AB45" s="156">
        <f>Poor!AB45</f>
        <v>0.25</v>
      </c>
      <c r="AC45" s="147">
        <f t="shared" si="39"/>
        <v>429.21500667370753</v>
      </c>
      <c r="AD45" s="156">
        <f>Poor!AD45</f>
        <v>0.25</v>
      </c>
      <c r="AE45" s="147">
        <f t="shared" si="40"/>
        <v>429.21500667370753</v>
      </c>
      <c r="AF45" s="122">
        <f t="shared" si="31"/>
        <v>0.25</v>
      </c>
      <c r="AG45" s="147">
        <f t="shared" si="34"/>
        <v>429.21500667370753</v>
      </c>
      <c r="AH45" s="123">
        <f t="shared" si="35"/>
        <v>1</v>
      </c>
      <c r="AI45" s="112">
        <f t="shared" si="35"/>
        <v>1716.8600266948301</v>
      </c>
      <c r="AJ45" s="148">
        <f t="shared" si="36"/>
        <v>858.43001334741507</v>
      </c>
      <c r="AK45" s="147">
        <f t="shared" si="37"/>
        <v>858.43001334741507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3099.8861593101105</v>
      </c>
      <c r="K46" s="40">
        <f t="shared" si="28"/>
        <v>1.0140057595527142E-2</v>
      </c>
      <c r="L46" s="22">
        <f t="shared" si="29"/>
        <v>1.4196080633737998E-2</v>
      </c>
      <c r="M46" s="24">
        <f t="shared" si="30"/>
        <v>1.4507549628453208E-2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774.97153982752764</v>
      </c>
      <c r="AB46" s="156">
        <f>Poor!AB46</f>
        <v>0.25</v>
      </c>
      <c r="AC46" s="147">
        <f t="shared" si="39"/>
        <v>774.97153982752764</v>
      </c>
      <c r="AD46" s="156">
        <f>Poor!AD46</f>
        <v>0.25</v>
      </c>
      <c r="AE46" s="147">
        <f t="shared" si="40"/>
        <v>774.97153982752764</v>
      </c>
      <c r="AF46" s="122">
        <f t="shared" si="31"/>
        <v>0.25</v>
      </c>
      <c r="AG46" s="147">
        <f t="shared" si="34"/>
        <v>774.97153982752764</v>
      </c>
      <c r="AH46" s="123">
        <f t="shared" si="35"/>
        <v>1</v>
      </c>
      <c r="AI46" s="112">
        <f t="shared" si="35"/>
        <v>3099.8861593101105</v>
      </c>
      <c r="AJ46" s="148">
        <f t="shared" si="36"/>
        <v>1549.9430796550553</v>
      </c>
      <c r="AK46" s="147">
        <f t="shared" si="37"/>
        <v>1549.9430796550553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572.28667556494361</v>
      </c>
      <c r="K47" s="40">
        <f t="shared" si="28"/>
        <v>1.8720106330203956E-3</v>
      </c>
      <c r="L47" s="22">
        <f t="shared" si="29"/>
        <v>2.6208148862285536E-3</v>
      </c>
      <c r="M47" s="24">
        <f t="shared" si="30"/>
        <v>2.6783168544836696E-3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143.0716688912359</v>
      </c>
      <c r="AB47" s="156">
        <f>Poor!AB47</f>
        <v>0.25</v>
      </c>
      <c r="AC47" s="147">
        <f t="shared" si="39"/>
        <v>143.0716688912359</v>
      </c>
      <c r="AD47" s="156">
        <f>Poor!AD47</f>
        <v>0.25</v>
      </c>
      <c r="AE47" s="147">
        <f t="shared" si="40"/>
        <v>143.0716688912359</v>
      </c>
      <c r="AF47" s="122">
        <f t="shared" si="31"/>
        <v>0.25</v>
      </c>
      <c r="AG47" s="147">
        <f t="shared" si="34"/>
        <v>143.0716688912359</v>
      </c>
      <c r="AH47" s="123">
        <f t="shared" si="35"/>
        <v>1</v>
      </c>
      <c r="AI47" s="112">
        <f t="shared" si="35"/>
        <v>572.28667556494361</v>
      </c>
      <c r="AJ47" s="148">
        <f t="shared" si="36"/>
        <v>286.1433377824718</v>
      </c>
      <c r="AK47" s="147">
        <f t="shared" si="37"/>
        <v>286.1433377824718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83.45847351988759</v>
      </c>
      <c r="K48" s="40">
        <f t="shared" si="28"/>
        <v>2.7300155064880768E-4</v>
      </c>
      <c r="L48" s="22">
        <f t="shared" si="29"/>
        <v>3.8220217090833073E-4</v>
      </c>
      <c r="M48" s="24">
        <f t="shared" si="30"/>
        <v>3.9058787461220175E-4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20.864618379971898</v>
      </c>
      <c r="AB48" s="156">
        <f>Poor!AB48</f>
        <v>0.25</v>
      </c>
      <c r="AC48" s="147">
        <f t="shared" si="39"/>
        <v>20.864618379971898</v>
      </c>
      <c r="AD48" s="156">
        <f>Poor!AD48</f>
        <v>0.25</v>
      </c>
      <c r="AE48" s="147">
        <f t="shared" si="40"/>
        <v>20.864618379971898</v>
      </c>
      <c r="AF48" s="122">
        <f t="shared" si="31"/>
        <v>0.25</v>
      </c>
      <c r="AG48" s="147">
        <f t="shared" si="34"/>
        <v>20.864618379971898</v>
      </c>
      <c r="AH48" s="123">
        <f t="shared" si="35"/>
        <v>1</v>
      </c>
      <c r="AI48" s="112">
        <f t="shared" si="35"/>
        <v>83.45847351988759</v>
      </c>
      <c r="AJ48" s="148">
        <f t="shared" si="36"/>
        <v>41.729236759943795</v>
      </c>
      <c r="AK48" s="147">
        <f t="shared" si="37"/>
        <v>41.729236759943795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373.33333333333331</v>
      </c>
      <c r="J49" s="38">
        <f t="shared" si="33"/>
        <v>373.33333333333337</v>
      </c>
      <c r="K49" s="40">
        <f t="shared" si="28"/>
        <v>1.2480070886802638E-3</v>
      </c>
      <c r="L49" s="22">
        <f t="shared" si="29"/>
        <v>1.7472099241523692E-3</v>
      </c>
      <c r="M49" s="24">
        <f t="shared" si="30"/>
        <v>1.7472099241523694E-3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93.333333333333343</v>
      </c>
      <c r="AB49" s="156">
        <f>Poor!AB49</f>
        <v>0.25</v>
      </c>
      <c r="AC49" s="147">
        <f t="shared" si="39"/>
        <v>93.333333333333343</v>
      </c>
      <c r="AD49" s="156">
        <f>Poor!AD49</f>
        <v>0.25</v>
      </c>
      <c r="AE49" s="147">
        <f t="shared" si="40"/>
        <v>93.333333333333343</v>
      </c>
      <c r="AF49" s="122">
        <f t="shared" si="31"/>
        <v>0.25</v>
      </c>
      <c r="AG49" s="147">
        <f t="shared" si="34"/>
        <v>93.333333333333343</v>
      </c>
      <c r="AH49" s="123">
        <f t="shared" si="35"/>
        <v>1</v>
      </c>
      <c r="AI49" s="112">
        <f t="shared" si="35"/>
        <v>373.33333333333337</v>
      </c>
      <c r="AJ49" s="148">
        <f t="shared" si="36"/>
        <v>186.66666666666669</v>
      </c>
      <c r="AK49" s="147">
        <f t="shared" si="37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596.13195371348274</v>
      </c>
      <c r="K50" s="40">
        <f t="shared" si="28"/>
        <v>1.950011076062912E-3</v>
      </c>
      <c r="L50" s="22">
        <f t="shared" si="29"/>
        <v>2.7300155064880769E-3</v>
      </c>
      <c r="M50" s="24">
        <f t="shared" si="30"/>
        <v>2.7899133900871551E-3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149.03298842837069</v>
      </c>
      <c r="AB50" s="156">
        <f>Poor!AB55</f>
        <v>0.25</v>
      </c>
      <c r="AC50" s="147">
        <f t="shared" si="39"/>
        <v>149.03298842837069</v>
      </c>
      <c r="AD50" s="156">
        <f>Poor!AD55</f>
        <v>0.25</v>
      </c>
      <c r="AE50" s="147">
        <f t="shared" si="40"/>
        <v>149.03298842837069</v>
      </c>
      <c r="AF50" s="122">
        <f t="shared" si="31"/>
        <v>0.25</v>
      </c>
      <c r="AG50" s="147">
        <f t="shared" si="34"/>
        <v>149.03298842837069</v>
      </c>
      <c r="AH50" s="123">
        <f t="shared" si="35"/>
        <v>1</v>
      </c>
      <c r="AI50" s="112">
        <f t="shared" si="35"/>
        <v>596.13195371348274</v>
      </c>
      <c r="AJ50" s="148">
        <f t="shared" si="36"/>
        <v>298.06597685674137</v>
      </c>
      <c r="AK50" s="147">
        <f t="shared" si="37"/>
        <v>298.06597685674137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20768</v>
      </c>
      <c r="J57" s="38">
        <f t="shared" si="33"/>
        <v>20767.999999999996</v>
      </c>
      <c r="K57" s="40">
        <f t="shared" si="43"/>
        <v>0.10296058481612176</v>
      </c>
      <c r="L57" s="22">
        <f t="shared" si="44"/>
        <v>9.7194792066418942E-2</v>
      </c>
      <c r="M57" s="24">
        <f t="shared" si="45"/>
        <v>9.7194792066418914E-2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98176</v>
      </c>
      <c r="J58" s="38">
        <f t="shared" si="33"/>
        <v>98176</v>
      </c>
      <c r="K58" s="40">
        <f t="shared" si="43"/>
        <v>0.48672276458530284</v>
      </c>
      <c r="L58" s="22">
        <f t="shared" si="44"/>
        <v>0.45946628976852583</v>
      </c>
      <c r="M58" s="24">
        <f t="shared" si="45"/>
        <v>0.45946628976852588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24544</v>
      </c>
      <c r="AB58" s="156">
        <f>Poor!AB58</f>
        <v>0.25</v>
      </c>
      <c r="AC58" s="147">
        <f t="shared" si="39"/>
        <v>24544</v>
      </c>
      <c r="AD58" s="156">
        <f>Poor!AD58</f>
        <v>0.25</v>
      </c>
      <c r="AE58" s="147">
        <f t="shared" si="40"/>
        <v>24544</v>
      </c>
      <c r="AF58" s="122">
        <f t="shared" si="31"/>
        <v>0.25</v>
      </c>
      <c r="AG58" s="147">
        <f t="shared" si="34"/>
        <v>24544</v>
      </c>
      <c r="AH58" s="123">
        <f t="shared" si="35"/>
        <v>1</v>
      </c>
      <c r="AI58" s="112">
        <f t="shared" si="35"/>
        <v>98176</v>
      </c>
      <c r="AJ58" s="148">
        <f t="shared" si="36"/>
        <v>49088</v>
      </c>
      <c r="AK58" s="147">
        <f t="shared" si="37"/>
        <v>49088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3.7065810533803832E-2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191010.23599999998</v>
      </c>
      <c r="J65" s="39">
        <f>SUM(J37:J64)</f>
        <v>205967.76581828343</v>
      </c>
      <c r="K65" s="40">
        <f>SUM(K37:K64)</f>
        <v>1</v>
      </c>
      <c r="L65" s="22">
        <f>SUM(L37:L64)</f>
        <v>0.96243172309218716</v>
      </c>
      <c r="M65" s="24">
        <f>SUM(M37:M64)</f>
        <v>0.96393461917820356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46527.440642375353</v>
      </c>
      <c r="AB65" s="137"/>
      <c r="AC65" s="153">
        <f>SUM(AC37:AC64)</f>
        <v>45897.347849351572</v>
      </c>
      <c r="AD65" s="137"/>
      <c r="AE65" s="153">
        <f>SUM(AE37:AE64)</f>
        <v>40904.2008060144</v>
      </c>
      <c r="AF65" s="137"/>
      <c r="AG65" s="153">
        <f>SUM(AG37:AG64)</f>
        <v>51870.776520542131</v>
      </c>
      <c r="AH65" s="137"/>
      <c r="AI65" s="153">
        <f>SUM(AI37:AI64)</f>
        <v>185199.76581828343</v>
      </c>
      <c r="AJ65" s="153">
        <f>SUM(AJ37:AJ64)</f>
        <v>92424.788491726911</v>
      </c>
      <c r="AK65" s="153">
        <f>SUM(AK37:AK64)</f>
        <v>92774.977326556545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55942.226666666669</v>
      </c>
      <c r="K73" s="40">
        <f>B73/B$76</f>
        <v>0.22187382024329896</v>
      </c>
      <c r="L73" s="22">
        <f>(L127*G$37*F$9/F$7)/B$130</f>
        <v>0.26181110788709283</v>
      </c>
      <c r="M73" s="24">
        <f>J73/B$76</f>
        <v>0.26181110788709283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167109.4104879472</v>
      </c>
      <c r="J74" s="51">
        <f>J128*I$83</f>
        <v>3119.1914185640612</v>
      </c>
      <c r="K74" s="40">
        <f>B74/B$76</f>
        <v>2.7534969194229441E-2</v>
      </c>
      <c r="L74" s="22">
        <f>(L128*G$37*F$9/F$7)/B$130</f>
        <v>2.5454297295128599E-2</v>
      </c>
      <c r="M74" s="24">
        <f>J74/B$76</f>
        <v>1.4597898754944735E-2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1903.5444255323091</v>
      </c>
      <c r="AF74" s="156"/>
      <c r="AG74" s="147">
        <f>AG30*$I$83/4</f>
        <v>1581.9408318432597</v>
      </c>
      <c r="AH74" s="155"/>
      <c r="AI74" s="147">
        <f>SUM(AA74,AC74,AE74,AG74)</f>
        <v>3485.4852573755688</v>
      </c>
      <c r="AJ74" s="148">
        <f>(AA74+AC74)</f>
        <v>0</v>
      </c>
      <c r="AK74" s="147">
        <f>(AE74+AG74)</f>
        <v>3485.4852573755688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75987.504443222133</v>
      </c>
      <c r="K75" s="40">
        <f>B75/B$76</f>
        <v>0.48421441225910899</v>
      </c>
      <c r="L75" s="22">
        <f>(L129*G$37*F$9/F$7)/B$130</f>
        <v>0.34326424610979067</v>
      </c>
      <c r="M75" s="24">
        <f>J75/B$76</f>
        <v>0.35562354073599095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40552.234264362152</v>
      </c>
      <c r="AB75" s="158"/>
      <c r="AC75" s="149">
        <f>AA75+AC65-SUM(AC70,AC74)</f>
        <v>80474.375735700523</v>
      </c>
      <c r="AD75" s="158"/>
      <c r="AE75" s="149">
        <f>AC75+AE65-SUM(AE70,AE74)</f>
        <v>113499.82573816941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157813.45504885507</v>
      </c>
      <c r="AJ75" s="151">
        <f>AJ76-SUM(AJ70,AJ74)</f>
        <v>80474.375735700523</v>
      </c>
      <c r="AK75" s="149">
        <f>AJ75+AK76-SUM(AK70,AK74)</f>
        <v>157813.45504885507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191010.236</v>
      </c>
      <c r="J76" s="51">
        <f>J130*I$83</f>
        <v>205967.76581828346</v>
      </c>
      <c r="K76" s="40">
        <f>SUM(K70:K75)</f>
        <v>0.81352070079758021</v>
      </c>
      <c r="L76" s="22">
        <f>SUM(L70:L75)</f>
        <v>0.74238615003333219</v>
      </c>
      <c r="M76" s="24">
        <f>SUM(M70:M75)</f>
        <v>0.74388904611934847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46527.440642375353</v>
      </c>
      <c r="AB76" s="137"/>
      <c r="AC76" s="153">
        <f>AC65</f>
        <v>45897.347849351572</v>
      </c>
      <c r="AD76" s="137"/>
      <c r="AE76" s="153">
        <f>AE65</f>
        <v>40904.2008060144</v>
      </c>
      <c r="AF76" s="137"/>
      <c r="AG76" s="153">
        <f>AG65</f>
        <v>51870.776520542131</v>
      </c>
      <c r="AH76" s="137"/>
      <c r="AI76" s="153">
        <f>SUM(AA76,AC76,AE76,AG76)</f>
        <v>185199.76581828346</v>
      </c>
      <c r="AJ76" s="154">
        <f>SUM(AA76,AC76)</f>
        <v>92424.788491726926</v>
      </c>
      <c r="AK76" s="154">
        <f>SUM(AE76,AG76)</f>
        <v>92774.977326556531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40552.234264362152</v>
      </c>
      <c r="AD78" s="112"/>
      <c r="AE78" s="112">
        <f>AC75</f>
        <v>80474.375735700523</v>
      </c>
      <c r="AF78" s="112"/>
      <c r="AG78" s="112">
        <f>AE75</f>
        <v>113499.82573816941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40552.234264362152</v>
      </c>
      <c r="AB79" s="112"/>
      <c r="AC79" s="112">
        <f>AA79-AA74+AC65-AC70</f>
        <v>80474.375735700523</v>
      </c>
      <c r="AD79" s="112"/>
      <c r="AE79" s="112">
        <f>AC79-AC74+AE65-AE70</f>
        <v>115403.37016370172</v>
      </c>
      <c r="AF79" s="112"/>
      <c r="AG79" s="112">
        <f>AE79-AE74+AG65-AG70</f>
        <v>159395.39588069831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0.57212121212121214</v>
      </c>
      <c r="I91" s="22">
        <f t="shared" ref="I91" si="52">(D91*H91)</f>
        <v>0.10382387492094042</v>
      </c>
      <c r="J91" s="24">
        <f>IF(I$32&lt;=1+I$131,I91,L91+J$33*(I91-L91))</f>
        <v>0.10382387492094042</v>
      </c>
      <c r="K91" s="22">
        <f t="shared" ref="K91" si="53">(B91)</f>
        <v>0.18147181527494882</v>
      </c>
      <c r="L91" s="22">
        <f t="shared" ref="L91" si="54">(K91*H91)</f>
        <v>0.10382387492094042</v>
      </c>
      <c r="M91" s="227">
        <f t="shared" si="50"/>
        <v>0.10382387492094042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0.57212121212121214</v>
      </c>
      <c r="I92" s="22">
        <f t="shared" ref="I92:I118" si="59">(D92*H92)</f>
        <v>0.86873038199154229</v>
      </c>
      <c r="J92" s="24">
        <f t="shared" ref="J92:J118" si="60">IF(I$32&lt;=1+I$131,I92,L92+J$33*(I92-L92))</f>
        <v>0.80377008291416374</v>
      </c>
      <c r="K92" s="22">
        <f t="shared" ref="K92:K118" si="61">(B92)</f>
        <v>1.4073324449893989</v>
      </c>
      <c r="L92" s="22">
        <f t="shared" ref="L92:L118" si="62">(K92*H92)</f>
        <v>0.80516474428484397</v>
      </c>
      <c r="M92" s="227">
        <f t="shared" ref="M92:M118" si="63">(J92)</f>
        <v>0.80377008291416374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0.57212121212121214</v>
      </c>
      <c r="I93" s="22">
        <f t="shared" si="59"/>
        <v>0.1631518034471921</v>
      </c>
      <c r="J93" s="24">
        <f t="shared" si="60"/>
        <v>0.21403737105780521</v>
      </c>
      <c r="K93" s="22">
        <f t="shared" si="61"/>
        <v>0.3722023966353542</v>
      </c>
      <c r="L93" s="22">
        <f t="shared" si="62"/>
        <v>0.21294488631743902</v>
      </c>
      <c r="M93" s="227">
        <f t="shared" si="63"/>
        <v>0.21403737105780521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0.84848484848484851</v>
      </c>
      <c r="I95" s="22">
        <f t="shared" si="59"/>
        <v>0.9427107287010329</v>
      </c>
      <c r="J95" s="24">
        <f t="shared" si="60"/>
        <v>0.9427107287010329</v>
      </c>
      <c r="K95" s="22">
        <f t="shared" si="61"/>
        <v>1.1110519302547888</v>
      </c>
      <c r="L95" s="22">
        <f t="shared" si="62"/>
        <v>0.9427107287010329</v>
      </c>
      <c r="M95" s="227">
        <f t="shared" si="63"/>
        <v>0.9427107287010329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0.52504987495804833</v>
      </c>
      <c r="K96" s="22">
        <f t="shared" si="61"/>
        <v>0.55552596512739438</v>
      </c>
      <c r="L96" s="22">
        <f t="shared" si="62"/>
        <v>0.51377734714206291</v>
      </c>
      <c r="M96" s="227">
        <f t="shared" si="63"/>
        <v>0.52504987495804833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1.0500997499160968E-2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1.0500997499160968E-2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0.84848484848484851</v>
      </c>
      <c r="I98" s="22">
        <f t="shared" si="59"/>
        <v>0.10055581106144351</v>
      </c>
      <c r="J98" s="24">
        <f t="shared" si="60"/>
        <v>0.17762735233968915</v>
      </c>
      <c r="K98" s="22">
        <f t="shared" si="61"/>
        <v>0.20739636031422723</v>
      </c>
      <c r="L98" s="22">
        <f t="shared" si="62"/>
        <v>0.17597266935752615</v>
      </c>
      <c r="M98" s="227">
        <f t="shared" si="63"/>
        <v>0.17762735233968915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0.11560731191736844</v>
      </c>
      <c r="K99" s="22">
        <f t="shared" si="61"/>
        <v>0.13332623163057464</v>
      </c>
      <c r="L99" s="22">
        <f t="shared" si="62"/>
        <v>0.11312528744412394</v>
      </c>
      <c r="M99" s="227">
        <f t="shared" si="63"/>
        <v>0.11560731191736844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0.20873542429524858</v>
      </c>
      <c r="K100" s="22">
        <f t="shared" si="61"/>
        <v>0.24072791822187087</v>
      </c>
      <c r="L100" s="22">
        <f t="shared" si="62"/>
        <v>0.20425399121855711</v>
      </c>
      <c r="M100" s="227">
        <f t="shared" si="63"/>
        <v>0.20873542429524858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3.8535770639122821E-2</v>
      </c>
      <c r="K101" s="22">
        <f t="shared" si="61"/>
        <v>4.4442077210191548E-2</v>
      </c>
      <c r="L101" s="22">
        <f t="shared" si="62"/>
        <v>3.7708429148041317E-2</v>
      </c>
      <c r="M101" s="227">
        <f t="shared" si="63"/>
        <v>3.8535770639122821E-2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5.6197998848720775E-3</v>
      </c>
      <c r="K102" s="22">
        <f t="shared" si="61"/>
        <v>6.4811362598196009E-3</v>
      </c>
      <c r="L102" s="22">
        <f t="shared" si="62"/>
        <v>5.4991459174226921E-3</v>
      </c>
      <c r="M102" s="227">
        <f t="shared" si="63"/>
        <v>5.6197998848720775E-3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0.84848484848484851</v>
      </c>
      <c r="I103" s="22">
        <f t="shared" si="59"/>
        <v>2.5138952765360878E-2</v>
      </c>
      <c r="J103" s="24">
        <f t="shared" si="60"/>
        <v>2.5138952765360878E-2</v>
      </c>
      <c r="K103" s="22">
        <f t="shared" si="61"/>
        <v>2.9628051473461033E-2</v>
      </c>
      <c r="L103" s="22">
        <f t="shared" si="62"/>
        <v>2.5138952765360878E-2</v>
      </c>
      <c r="M103" s="227">
        <f t="shared" si="63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4.0141427749086266E-2</v>
      </c>
      <c r="K104" s="22">
        <f t="shared" si="61"/>
        <v>4.6293830427282863E-2</v>
      </c>
      <c r="L104" s="22">
        <f t="shared" si="62"/>
        <v>3.9279613695876368E-2</v>
      </c>
      <c r="M104" s="227">
        <f t="shared" si="63"/>
        <v>4.0141427749086266E-2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0.57212121212121214</v>
      </c>
      <c r="I111" s="22">
        <f t="shared" si="59"/>
        <v>1.3984440295473606</v>
      </c>
      <c r="J111" s="24">
        <f t="shared" si="60"/>
        <v>1.3984440295473606</v>
      </c>
      <c r="K111" s="22">
        <f t="shared" si="61"/>
        <v>2.444314246560535</v>
      </c>
      <c r="L111" s="22">
        <f t="shared" si="62"/>
        <v>1.3984440295473606</v>
      </c>
      <c r="M111" s="227">
        <f t="shared" si="63"/>
        <v>1.3984440295473606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0.57212121212121214</v>
      </c>
      <c r="I112" s="22">
        <f t="shared" si="59"/>
        <v>6.6108263214966145</v>
      </c>
      <c r="J112" s="24">
        <f t="shared" si="60"/>
        <v>6.6108263214966145</v>
      </c>
      <c r="K112" s="22">
        <f t="shared" si="61"/>
        <v>11.554940074649803</v>
      </c>
      <c r="L112" s="22">
        <f t="shared" si="62"/>
        <v>6.6108263214966145</v>
      </c>
      <c r="M112" s="227">
        <f t="shared" si="63"/>
        <v>6.6108263214966145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0.87995312876179266</v>
      </c>
      <c r="L115" s="22">
        <f t="shared" si="62"/>
        <v>0</v>
      </c>
      <c r="M115" s="227">
        <f t="shared" si="63"/>
        <v>0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12.861957054922589</v>
      </c>
      <c r="J119" s="24">
        <f>SUM(J91:J118)</f>
        <v>13.869144471676977</v>
      </c>
      <c r="K119" s="22">
        <f>SUM(K91:K118)</f>
        <v>23.740291014526168</v>
      </c>
      <c r="L119" s="22">
        <f>SUM(L91:L118)</f>
        <v>13.847520719891145</v>
      </c>
      <c r="M119" s="57">
        <f t="shared" si="50"/>
        <v>13.869144471676977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3.7669526618636917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3.7669526618636917</v>
      </c>
      <c r="M127" s="57">
        <f t="shared" si="90"/>
        <v>3.7669526618636917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11.252559580992337</v>
      </c>
      <c r="J128" s="228">
        <f>(J30)</f>
        <v>0.21003537251089532</v>
      </c>
      <c r="K128" s="22">
        <f>(B128)</f>
        <v>0.65368818174702015</v>
      </c>
      <c r="L128" s="22">
        <f>IF(L124=L119,0,(L119-L124)/(B119-B124)*K128)</f>
        <v>0.36623783354946621</v>
      </c>
      <c r="M128" s="57">
        <f t="shared" si="90"/>
        <v>0.21003537251089532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5.1167311204173505</v>
      </c>
      <c r="K129" s="29">
        <f>(B129)</f>
        <v>11.495391060458996</v>
      </c>
      <c r="L129" s="60">
        <f>IF(SUM(L124:L128)&gt;L130,0,L130-SUM(L124:L128))</f>
        <v>4.9389049075929474</v>
      </c>
      <c r="M129" s="57">
        <f t="shared" si="90"/>
        <v>5.1167311204173505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12.861957054922589</v>
      </c>
      <c r="J130" s="228">
        <f>(J119)</f>
        <v>13.869144471676977</v>
      </c>
      <c r="K130" s="22">
        <f>(B130)</f>
        <v>23.740291014526168</v>
      </c>
      <c r="L130" s="22">
        <f>(L119)</f>
        <v>13.847520719891145</v>
      </c>
      <c r="M130" s="57">
        <f t="shared" si="90"/>
        <v>13.869144471676977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4523.7126263254277</v>
      </c>
      <c r="G72" s="109">
        <f>Poor!T7</f>
        <v>8186.0977148473385</v>
      </c>
      <c r="H72" s="109">
        <f>Middle!T7</f>
        <v>8895.0557632413274</v>
      </c>
      <c r="I72" s="109">
        <f>Rich!T7</f>
        <v>6437.0636881233486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0</v>
      </c>
      <c r="H73" s="109">
        <f>Middle!T8</f>
        <v>20239.935551658353</v>
      </c>
      <c r="I73" s="109">
        <f>Rich!T8</f>
        <v>35466.534148872699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321.40113045639407</v>
      </c>
      <c r="G74" s="109">
        <f>Poor!T9</f>
        <v>632.90826817789718</v>
      </c>
      <c r="H74" s="109">
        <f>Middle!T9</f>
        <v>817.53928819432997</v>
      </c>
      <c r="I74" s="109">
        <f>Rich!T9</f>
        <v>1346.563924800749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2932.6933333333332</v>
      </c>
      <c r="H76" s="109">
        <f>Middle!T11</f>
        <v>12000.847399437745</v>
      </c>
      <c r="I76" s="109">
        <f>Rich!T11</f>
        <v>20149.271357736969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855.49999999999989</v>
      </c>
      <c r="G77" s="109">
        <f>Poor!T12</f>
        <v>1784.75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6316.3953735891346</v>
      </c>
      <c r="G78" s="109">
        <f>Poor!T13</f>
        <v>10357.754743918073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8307.1999999999989</v>
      </c>
      <c r="H79" s="109">
        <f>Middle!T14</f>
        <v>28589.714285714286</v>
      </c>
      <c r="I79" s="109">
        <f>Rich!T14</f>
        <v>135936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733.43999999999994</v>
      </c>
      <c r="G81" s="109">
        <f>Poor!T16</f>
        <v>4067.2</v>
      </c>
      <c r="H81" s="109">
        <f>Middle!T16</f>
        <v>380.66111733278029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18879.687718643596</v>
      </c>
      <c r="G88" s="109">
        <f>Poor!T23</f>
        <v>44592.779525014092</v>
      </c>
      <c r="H88" s="109">
        <f>Middle!T23</f>
        <v>117279.15946314677</v>
      </c>
      <c r="I88" s="109">
        <f>Rich!T23</f>
        <v>243923.69915502256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21595.263969227592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41033.272858116514</v>
      </c>
      <c r="G99" s="239">
        <f t="shared" si="0"/>
        <v>15320.181051746018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75330.141429545096</v>
      </c>
      <c r="G100" s="239">
        <f t="shared" si="0"/>
        <v>49617.049623174593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2016-06-02T08:56:12Z</dcterms:modified>
  <cp:category/>
</cp:coreProperties>
</file>