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56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<sst xmlns="http://schemas.openxmlformats.org/spreadsheetml/2006/main" count="790" uniqueCount="145">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</sst>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0.0104278953922789</c:v>
                </c:pt>
                <c:pt idx="2" formatCode="0.0%">
                  <c:v>0.0104278953922789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0.00196880837484433</c:v>
                </c:pt>
                <c:pt idx="2" formatCode="0.0%">
                  <c:v>0.00196880837484433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0.27076910239726</c:v>
                </c:pt>
                <c:pt idx="2" formatCode="0.0%">
                  <c:v>0.27076910239726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0.0184660647571606</c:v>
                </c:pt>
                <c:pt idx="2" formatCode="0.0%">
                  <c:v>0.0184660647571606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0.0736470112079701</c:v>
                </c:pt>
                <c:pt idx="2" formatCode="0.0%">
                  <c:v>0.0736470112079701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0.0601901693271333</c:v>
                </c:pt>
                <c:pt idx="2" formatCode="0.0%">
                  <c:v>0.314710547253322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283256"/>
        <c:axId val="-2107275480"/>
      </c:barChart>
      <c:catAx>
        <c:axId val="-204428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275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275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28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0.0624233561418187</c:v>
                </c:pt>
                <c:pt idx="2">
                  <c:v>0.0624233561418187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0.0110974855363233</c:v>
                </c:pt>
                <c:pt idx="2">
                  <c:v>0.0109872416544486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0.00611669538465914</c:v>
                </c:pt>
                <c:pt idx="2">
                  <c:v>0.00611669538465914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0.553487091124126</c:v>
                </c:pt>
                <c:pt idx="2">
                  <c:v>0.553487091124126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0.177967978786406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050648"/>
        <c:axId val="-2017284280"/>
      </c:barChart>
      <c:catAx>
        <c:axId val="-201705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284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284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05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0.0332870129008408</c:v>
                </c:pt>
                <c:pt idx="2">
                  <c:v>0.0332870129008408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0.00887653677355754</c:v>
                </c:pt>
                <c:pt idx="2">
                  <c:v>0.00882970781414248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0.00665740258016816</c:v>
                </c:pt>
                <c:pt idx="2">
                  <c:v>0.00665740258016815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0.0161427907902594</c:v>
                </c:pt>
                <c:pt idx="2">
                  <c:v>0.016369891400643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0.732314283818497</c:v>
                </c:pt>
                <c:pt idx="2">
                  <c:v>0.732314283818497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075480"/>
        <c:axId val="-2018099592"/>
      </c:barChart>
      <c:catAx>
        <c:axId val="-201807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09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09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07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0.127117284621717</c:v>
                </c:pt>
                <c:pt idx="2">
                  <c:v>0.127117284621717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0.149150947289481</c:v>
                </c:pt>
                <c:pt idx="2">
                  <c:v>0.149150947289481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616760"/>
        <c:axId val="-2017613736"/>
      </c:barChart>
      <c:catAx>
        <c:axId val="-201761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13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61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1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667.8801090348222</c:v>
                </c:pt>
                <c:pt idx="5">
                  <c:v>5082.984868510996</c:v>
                </c:pt>
                <c:pt idx="6">
                  <c:v>7766.932484327554</c:v>
                </c:pt>
                <c:pt idx="7">
                  <c:v>7092.305919696371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6685.062321652798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170.8154318984513</c:v>
                </c:pt>
                <c:pt idx="6">
                  <c:v>442.2117796661332</c:v>
                </c:pt>
                <c:pt idx="7">
                  <c:v>1362.961214417243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3426.72</c:v>
                </c:pt>
                <c:pt idx="6">
                  <c:v>9991.395487613965</c:v>
                </c:pt>
                <c:pt idx="7">
                  <c:v>19918.1562010397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4495.5</c:v>
                </c:pt>
                <c:pt idx="5">
                  <c:v>8075.250000000003</c:v>
                </c:pt>
                <c:pt idx="6">
                  <c:v>832.5000000000001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5274.72</c:v>
                </c:pt>
                <c:pt idx="5">
                  <c:v>6260.400000000001</c:v>
                </c:pt>
                <c:pt idx="6">
                  <c:v>75331.2</c:v>
                </c:pt>
                <c:pt idx="7">
                  <c:v>299059.2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24221.95859405855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724184"/>
        <c:axId val="207209335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724184"/>
        <c:axId val="2072093352"/>
      </c:lineChart>
      <c:catAx>
        <c:axId val="-201672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209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209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72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411688"/>
        <c:axId val="20305458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11688"/>
        <c:axId val="2030545864"/>
      </c:lineChart>
      <c:catAx>
        <c:axId val="-209641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30545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30545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411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933768"/>
        <c:axId val="-21059304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33768"/>
        <c:axId val="-2105930424"/>
      </c:lineChart>
      <c:catAx>
        <c:axId val="-2105933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30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930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3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0.0901521888971973</c:v>
                </c:pt>
                <c:pt idx="2">
                  <c:v>0.108575067633335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0.0189475656051597</c:v>
                </c:pt>
                <c:pt idx="2">
                  <c:v>0.0990693132679053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-0.314978224058254</c:v>
                </c:pt>
                <c:pt idx="2">
                  <c:v>-0.305472469692825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985080"/>
        <c:axId val="-2106069576"/>
      </c:barChart>
      <c:catAx>
        <c:axId val="-214398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069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606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398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0.0319166773192296</c:v>
                </c:pt>
                <c:pt idx="2">
                  <c:v>0.0119084729824267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0.183165884065395</c:v>
                </c:pt>
                <c:pt idx="2">
                  <c:v>0.201638148217435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0.0319166773192296</c:v>
                </c:pt>
                <c:pt idx="2">
                  <c:v>0.0119084729824267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203320"/>
        <c:axId val="-2096181736"/>
      </c:barChart>
      <c:catAx>
        <c:axId val="-210620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18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18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203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0.0110876277502957</c:v>
                </c:pt>
                <c:pt idx="2">
                  <c:v>0.0015839896740407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0.594467188355723</c:v>
                </c:pt>
                <c:pt idx="2">
                  <c:v>0.604151098082946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0.0110876277502957</c:v>
                </c:pt>
                <c:pt idx="2">
                  <c:v>0.0015839896740407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450376"/>
        <c:axId val="-2017189288"/>
      </c:barChart>
      <c:catAx>
        <c:axId val="-2016450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89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189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450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0.41308154965421</c:v>
                </c:pt>
                <c:pt idx="2">
                  <c:v>0.440444213202812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-0.576476502960149</c:v>
                </c:pt>
                <c:pt idx="2">
                  <c:v>-0.576476502960149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199480"/>
        <c:axId val="-2106196136"/>
      </c:barChart>
      <c:catAx>
        <c:axId val="-210619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19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619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19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0.00393761674968867</c:v>
                </c:pt>
                <c:pt idx="2" formatCode="0.0%">
                  <c:v>0.00393761674968867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0.300854558219178</c:v>
                </c:pt>
                <c:pt idx="2" formatCode="0.0%">
                  <c:v>0.300854558219178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0.0336256176836862</c:v>
                </c:pt>
                <c:pt idx="2" formatCode="0.0%">
                  <c:v>0.0336256176836862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0.1034099626401</c:v>
                </c:pt>
                <c:pt idx="2" formatCode="0.0%">
                  <c:v>0.1034099626401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0.0957411145703611</c:v>
                </c:pt>
                <c:pt idx="2" formatCode="0.0%">
                  <c:v>0.0957411145703611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0.0300435865504359</c:v>
                </c:pt>
                <c:pt idx="2" formatCode="0.0%">
                  <c:v>0.0300435865504359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0.0093785581293141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0.0026834602739945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0.195179329671075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0.315256596163745</c:v>
                </c:pt>
                <c:pt idx="2" formatCode="0.0%">
                  <c:v>0.117625798587934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973816"/>
        <c:axId val="-2044090184"/>
      </c:barChart>
      <c:catAx>
        <c:axId val="-201897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09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409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973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8115496"/>
        <c:axId val="-20171748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8115496"/>
        <c:axId val="-20171748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8115496"/>
        <c:axId val="-2017174856"/>
      </c:scatterChart>
      <c:catAx>
        <c:axId val="-2018115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1748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17174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81154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220264"/>
        <c:axId val="20309649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220264"/>
        <c:axId val="2030964920"/>
      </c:lineChart>
      <c:catAx>
        <c:axId val="-20172202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09649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309649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22026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887816"/>
        <c:axId val="-201766810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164344"/>
        <c:axId val="-2017237160"/>
      </c:scatterChart>
      <c:valAx>
        <c:axId val="-201788781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668104"/>
        <c:crosses val="autoZero"/>
        <c:crossBetween val="midCat"/>
      </c:valAx>
      <c:valAx>
        <c:axId val="-20176681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887816"/>
        <c:crosses val="autoZero"/>
        <c:crossBetween val="midCat"/>
      </c:valAx>
      <c:valAx>
        <c:axId val="20721643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17237160"/>
        <c:crosses val="autoZero"/>
        <c:crossBetween val="midCat"/>
      </c:valAx>
      <c:valAx>
        <c:axId val="-20172371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1643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7092104"/>
        <c:axId val="20722744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92104"/>
        <c:axId val="2072274424"/>
      </c:lineChart>
      <c:catAx>
        <c:axId val="-201709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2274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72274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170921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0.023775601494396</c:v>
                </c:pt>
                <c:pt idx="2" formatCode="0.0%">
                  <c:v>0.023775601494396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0.0601233343711083</c:v>
                </c:pt>
                <c:pt idx="2" formatCode="0.0%">
                  <c:v>0.0601233343711083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0.12378016109589</c:v>
                </c:pt>
                <c:pt idx="2" formatCode="0.0%">
                  <c:v>0.109849211731066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0.0403507412204234</c:v>
                </c:pt>
                <c:pt idx="2" formatCode="0.0%">
                  <c:v>0.0403507412204234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0.141819377334994</c:v>
                </c:pt>
                <c:pt idx="2" formatCode="0.0%">
                  <c:v>0.141819377334994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0.132564620174346</c:v>
                </c:pt>
                <c:pt idx="2" formatCode="0.0%">
                  <c:v>0.132564620174346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0.0901307596513076</c:v>
                </c:pt>
                <c:pt idx="2" formatCode="0.0%">
                  <c:v>0.0901307596513076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0.00314065545704321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0.336284336274343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0.328607460238367</c:v>
                </c:pt>
                <c:pt idx="2" formatCode="0.0%">
                  <c:v>0.0469451929260911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087064"/>
        <c:axId val="-2038724600"/>
      </c:barChart>
      <c:catAx>
        <c:axId val="-210708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72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72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087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0.0412600536986301</c:v>
                </c:pt>
                <c:pt idx="2" formatCode="0.0%">
                  <c:v>0.0412600536986301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0.00721046077210461</c:v>
                </c:pt>
                <c:pt idx="2" formatCode="0.0%">
                  <c:v>0.00721046077210461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868424"/>
        <c:axId val="-2017050040"/>
      </c:barChart>
      <c:catAx>
        <c:axId val="-201686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50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050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68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0.00709096886674969</c:v>
                </c:pt>
                <c:pt idx="1">
                  <c:v>0.00709096886674969</c:v>
                </c:pt>
                <c:pt idx="2">
                  <c:v>0.0137648219178082</c:v>
                </c:pt>
                <c:pt idx="3">
                  <c:v>0.0137648219178082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0.00449515212478377</c:v>
                </c:pt>
                <c:pt idx="1">
                  <c:v>0.00338008137459356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0.618215729635483</c:v>
                </c:pt>
                <c:pt idx="1">
                  <c:v>0.464860679953558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0.0421614268255581</c:v>
                </c:pt>
                <c:pt idx="1">
                  <c:v>0.0317028322030844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0.19737399003736</c:v>
                </c:pt>
                <c:pt idx="3">
                  <c:v>0.0972140547945205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0.188963584294938</c:v>
                </c:pt>
                <c:pt idx="2">
                  <c:v>0.484859334737755</c:v>
                </c:pt>
                <c:pt idx="3">
                  <c:v>0.585019269980595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7005256"/>
        <c:axId val="-2043694472"/>
      </c:barChart>
      <c:catAx>
        <c:axId val="-2107005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3694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4369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700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0.165040214794521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0.0288418430884184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-0.0276152121817198</c:v>
                </c:pt>
                <c:pt idx="1">
                  <c:v>-0.709060778253498</c:v>
                </c:pt>
                <c:pt idx="2">
                  <c:v>0.0565508596153095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666920"/>
        <c:axId val="-2038704008"/>
      </c:barChart>
      <c:catAx>
        <c:axId val="-2044666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7040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870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666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0.00519699733789382</c:v>
                </c:pt>
                <c:pt idx="1">
                  <c:v>0.00626800411105011</c:v>
                </c:pt>
                <c:pt idx="2">
                  <c:v>0.00382638909889111</c:v>
                </c:pt>
                <c:pt idx="3">
                  <c:v>0.000459076450919624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0.397077836049411</c:v>
                </c:pt>
                <c:pt idx="1">
                  <c:v>0.478908367071293</c:v>
                </c:pt>
                <c:pt idx="2">
                  <c:v>0.292356182711937</c:v>
                </c:pt>
                <c:pt idx="3">
                  <c:v>0.035075847044071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0.0443802067839562</c:v>
                </c:pt>
                <c:pt idx="1">
                  <c:v>0.0535261614514944</c:v>
                </c:pt>
                <c:pt idx="2">
                  <c:v>0.0326757795711098</c:v>
                </c:pt>
                <c:pt idx="3">
                  <c:v>0.00392032292818425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0.136483902501377</c:v>
                </c:pt>
                <c:pt idx="1">
                  <c:v>0.164610756240544</c:v>
                </c:pt>
                <c:pt idx="2">
                  <c:v>0.100488894403982</c:v>
                </c:pt>
                <c:pt idx="3">
                  <c:v>0.0120562974144961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0.256586187048568</c:v>
                </c:pt>
                <c:pt idx="3">
                  <c:v>0.126378271232877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0.120174346201743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0.00536692054798899</c:v>
                </c:pt>
                <c:pt idx="3">
                  <c:v>0.00536692054798899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0.195179329671075</c:v>
                </c:pt>
                <c:pt idx="1">
                  <c:v>0.195179329671075</c:v>
                </c:pt>
                <c:pt idx="2">
                  <c:v>0.195179329671075</c:v>
                </c:pt>
                <c:pt idx="3">
                  <c:v>0.195179329671075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-2.22044604925031E-16</c:v>
                </c:pt>
                <c:pt idx="3">
                  <c:v>0.470503194351735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427528"/>
        <c:axId val="-2039110152"/>
      </c:barChart>
      <c:catAx>
        <c:axId val="-20444275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110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911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4442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0.0161674090161893</c:v>
                </c:pt>
                <c:pt idx="1">
                  <c:v>0.0161674090161893</c:v>
                </c:pt>
                <c:pt idx="2">
                  <c:v>0.0313837939726027</c:v>
                </c:pt>
                <c:pt idx="3">
                  <c:v>0.0313837939726027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0.0490054593570892</c:v>
                </c:pt>
                <c:pt idx="1">
                  <c:v>0.11055962297889</c:v>
                </c:pt>
                <c:pt idx="2">
                  <c:v>0.0462313726727993</c:v>
                </c:pt>
                <c:pt idx="3">
                  <c:v>0.0346968824756549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0.0895361366298718</c:v>
                </c:pt>
                <c:pt idx="1">
                  <c:v>0.201999565735179</c:v>
                </c:pt>
                <c:pt idx="2">
                  <c:v>0.0844677012423407</c:v>
                </c:pt>
                <c:pt idx="3">
                  <c:v>0.0633934433168705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0.0328891707286299</c:v>
                </c:pt>
                <c:pt idx="1">
                  <c:v>0.0742001883779841</c:v>
                </c:pt>
                <c:pt idx="2">
                  <c:v>0.0310273901888168</c:v>
                </c:pt>
                <c:pt idx="3">
                  <c:v>0.0232862155862628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0.115594449388646</c:v>
                </c:pt>
                <c:pt idx="1">
                  <c:v>0.260788877617414</c:v>
                </c:pt>
                <c:pt idx="2">
                  <c:v>0.109050912667763</c:v>
                </c:pt>
                <c:pt idx="3">
                  <c:v>0.0818432696661517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0.355273182067248</c:v>
                </c:pt>
                <c:pt idx="3">
                  <c:v>0.174985298630137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0.36052303860523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0.00628131091408641</c:v>
                </c:pt>
                <c:pt idx="3">
                  <c:v>0.00628131091408641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0.336284336274343</c:v>
                </c:pt>
                <c:pt idx="1">
                  <c:v>0.336284336274343</c:v>
                </c:pt>
                <c:pt idx="2">
                  <c:v>0.336284336274343</c:v>
                </c:pt>
                <c:pt idx="3">
                  <c:v>0.336284336274343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2.22044604925031E-16</c:v>
                </c:pt>
                <c:pt idx="2">
                  <c:v>0.0</c:v>
                </c:pt>
                <c:pt idx="3">
                  <c:v>0.187780771704364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976952"/>
        <c:axId val="-2108887832"/>
      </c:barChart>
      <c:catAx>
        <c:axId val="-2106976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887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8887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976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0.0646993955614353</c:v>
                </c:pt>
                <c:pt idx="2">
                  <c:v>0.0646993955614353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0.0135868730679014</c:v>
                </c:pt>
                <c:pt idx="2">
                  <c:v>0.0135868730679014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0.184485802968743</c:v>
                </c:pt>
                <c:pt idx="2">
                  <c:v>0.184485802968743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0.143024045188139</c:v>
                </c:pt>
                <c:pt idx="2">
                  <c:v>0.143024045188139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924648"/>
        <c:axId val="-2105668904"/>
      </c:barChart>
      <c:catAx>
        <c:axId val="-210592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668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668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24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667.88010903482223</v>
      </c>
      <c r="T7" s="223">
        <f>IF($B$81=0,0,(SUMIF($N$6:$N$28,$U7,M$6:M$28)+SUMIF($N$91:$N$118,$U7,M$91:M$118))*$I$83*Poor!$B$81/$B$81)</f>
        <v>667.88010903482223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4.1260053698630138E-2</v>
      </c>
      <c r="J9" s="24">
        <f t="shared" si="3"/>
        <v>4.1260053698630138E-2</v>
      </c>
      <c r="K9" s="22">
        <f t="shared" si="4"/>
        <v>3.7853260273972601E-2</v>
      </c>
      <c r="L9" s="22">
        <f t="shared" si="5"/>
        <v>4.1260053698630138E-2</v>
      </c>
      <c r="M9" s="225">
        <f t="shared" si="6"/>
        <v>4.1260053698630138E-2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0.16504021479452055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0.16504021479452055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4.1260053698630138E-2</v>
      </c>
      <c r="AJ9" s="120">
        <f t="shared" si="14"/>
        <v>8.2520107397260276E-2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4495.5</v>
      </c>
      <c r="T12" s="223">
        <f>IF($B$81=0,0,(SUMIF($N$6:$N$28,$U12,M$6:M$28)+SUMIF($N$91:$N$118,$U12,M$91:M$118))*$I$83*Poor!$B$81/$B$81)</f>
        <v>4495.5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1</v>
      </c>
      <c r="H13" s="24">
        <f t="shared" si="1"/>
        <v>1</v>
      </c>
      <c r="I13" s="22">
        <f t="shared" si="2"/>
        <v>7.2104607721046078E-3</v>
      </c>
      <c r="J13" s="24">
        <f t="shared" si="3"/>
        <v>7.2104607721046078E-3</v>
      </c>
      <c r="K13" s="22">
        <f t="shared" si="4"/>
        <v>7.2104607721046078E-3</v>
      </c>
      <c r="L13" s="22">
        <f t="shared" si="5"/>
        <v>7.2104607721046078E-3</v>
      </c>
      <c r="M13" s="226">
        <f t="shared" si="6"/>
        <v>7.2104607721046078E-3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5274.72</v>
      </c>
      <c r="T13" s="223">
        <f>IF($B$81=0,0,(SUMIF($N$6:$N$28,$U13,M$6:M$28)+SUMIF($N$91:$N$118,$U13,M$91:M$118))*$I$83*Poor!$B$81/$B$81)</f>
        <v>5274.72</v>
      </c>
      <c r="U13" s="224">
        <v>7</v>
      </c>
      <c r="V13" s="56"/>
      <c r="W13" s="110"/>
      <c r="X13" s="118"/>
      <c r="Y13" s="183">
        <f t="shared" si="9"/>
        <v>2.8841843088418431E-2</v>
      </c>
      <c r="Z13" s="156">
        <f>Poor!Z13</f>
        <v>1</v>
      </c>
      <c r="AA13" s="121">
        <f>$M13*Z13*4</f>
        <v>2.8841843088418431E-2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7.2104607721046078E-3</v>
      </c>
      <c r="AJ13" s="120">
        <f t="shared" si="14"/>
        <v>1.4420921544209216E-2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16588.795431798364</v>
      </c>
      <c r="T23" s="179">
        <f>SUM(T7:T22)</f>
        <v>17556.475431798364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2">
        <f>IF(I$32&lt;=1,I30,1-SUM(J6:J29))</f>
        <v>0</v>
      </c>
      <c r="K30" s="22">
        <f t="shared" si="4"/>
        <v>0.92868750784557907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16271.271647998536</v>
      </c>
      <c r="T30" s="235">
        <f t="shared" si="24"/>
        <v>15303.591647998535</v>
      </c>
      <c r="U30" s="56"/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-2.7615212181719816E-2</v>
      </c>
      <c r="AB30" s="122">
        <f>IF($Y30=0,0,AC30/($Y$30))</f>
        <v>0</v>
      </c>
      <c r="AC30" s="187">
        <f>IF(AC79*4/$I$83+SUM(AC6:AC29)&lt;1,AC79*4/$I$83,1-SUM(AC6:AC29))</f>
        <v>-0.70906077825349789</v>
      </c>
      <c r="AD30" s="122">
        <f>IF($Y30=0,0,AE30/($Y$30))</f>
        <v>0</v>
      </c>
      <c r="AE30" s="187">
        <f>IF(AE79*4/$I$83+SUM(AE6:AE29)&lt;1,AE79*4/$I$83,1-SUM(AE6:AE29))</f>
        <v>5.6550859615309514E-2</v>
      </c>
      <c r="AF30" s="122">
        <f>IF($Y30=0,0,AG30/($Y$30))</f>
        <v>0</v>
      </c>
      <c r="AG30" s="187">
        <f>IF(AG79*4/$I$83+SUM(AG6:AG29)&lt;1,AG79*4/$I$83,1-SUM(AG6:AG29))</f>
        <v>0.68012513081990766</v>
      </c>
      <c r="AH30" s="123">
        <f t="shared" si="12"/>
        <v>0</v>
      </c>
      <c r="AI30" s="183">
        <f t="shared" si="13"/>
        <v>0</v>
      </c>
      <c r="AJ30" s="120">
        <f t="shared" si="14"/>
        <v>-0.36833799521760885</v>
      </c>
      <c r="AK30" s="119">
        <f t="shared" si="15"/>
        <v>0.36833799521760857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0.63165461634917297</v>
      </c>
      <c r="K31" s="22" t="str">
        <f t="shared" si="4"/>
        <v/>
      </c>
      <c r="L31" s="22">
        <f>(1-SUM(L6:L30))</f>
        <v>0.73741338281919</v>
      </c>
      <c r="M31" s="242">
        <f t="shared" si="6"/>
        <v>0.63165461634917297</v>
      </c>
      <c r="N31" s="167">
        <f>M31*I83</f>
        <v>7253.0272380739234</v>
      </c>
      <c r="P31" s="22"/>
      <c r="Q31" s="239" t="s">
        <v>142</v>
      </c>
      <c r="R31" s="235">
        <f t="shared" si="24"/>
        <v>0</v>
      </c>
      <c r="S31" s="235">
        <f t="shared" si="24"/>
        <v>30058.391647998538</v>
      </c>
      <c r="T31" s="235">
        <f>IF(T25&gt;T$23,T25-T$23,0)</f>
        <v>29090.711647998538</v>
      </c>
      <c r="U31" s="243"/>
      <c r="V31" s="56"/>
      <c r="W31" s="129" t="s">
        <v>84</v>
      </c>
      <c r="X31" s="130"/>
      <c r="Y31" s="121">
        <f>M31*4</f>
        <v>2.5266184653966919</v>
      </c>
      <c r="Z31" s="131"/>
      <c r="AA31" s="132">
        <f>1-AA32+IF($Y32&lt;0,$Y32/4,0)</f>
        <v>0.51385828511868847</v>
      </c>
      <c r="AB31" s="131"/>
      <c r="AC31" s="133">
        <f>1-AC32+IF($Y32&lt;0,$Y32/4,0)</f>
        <v>1.3891859090734056</v>
      </c>
      <c r="AD31" s="134"/>
      <c r="AE31" s="133">
        <f>1-AE32+IF($Y32&lt;0,$Y32/4,0)</f>
        <v>0.62357427120459819</v>
      </c>
      <c r="AF31" s="134"/>
      <c r="AG31" s="133">
        <f>1-AG32+IF($Y32&lt;0,$Y32/4,0)</f>
        <v>0</v>
      </c>
      <c r="AH31" s="123"/>
      <c r="AI31" s="182">
        <f>SUM(AA31,AC31,AE31,AG31)/4</f>
        <v>0.63165461634917297</v>
      </c>
      <c r="AJ31" s="135">
        <f t="shared" si="14"/>
        <v>0.95152209709604696</v>
      </c>
      <c r="AK31" s="136">
        <f t="shared" si="15"/>
        <v>0.31178713560229909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0.36834538365082703</v>
      </c>
      <c r="J32" s="17"/>
      <c r="L32" s="22">
        <f>SUM(L6:L30)</f>
        <v>0.26258661718081006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54611.831647998522</v>
      </c>
      <c r="T32" s="235">
        <f t="shared" si="24"/>
        <v>53644.151647998529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0.48614171488131153</v>
      </c>
      <c r="AB32" s="137"/>
      <c r="AC32" s="139">
        <f>SUM(AC6:AC30)</f>
        <v>-0.38918590907340561</v>
      </c>
      <c r="AD32" s="137"/>
      <c r="AE32" s="139">
        <f>SUM(AE6:AE30)</f>
        <v>0.37642572879540181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7.497308683785616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16989.232468591519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3746.2500000000005</v>
      </c>
      <c r="J41" s="38">
        <f t="shared" si="32"/>
        <v>3746.25</v>
      </c>
      <c r="K41" s="40">
        <f t="shared" si="33"/>
        <v>0.11452007623578067</v>
      </c>
      <c r="L41" s="22">
        <f t="shared" si="34"/>
        <v>0.12711728462171656</v>
      </c>
      <c r="M41" s="24">
        <f t="shared" si="35"/>
        <v>0.12711728462171654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3746.25</v>
      </c>
      <c r="AH41" s="123">
        <f t="shared" si="37"/>
        <v>1</v>
      </c>
      <c r="AI41" s="112">
        <f t="shared" si="37"/>
        <v>3746.25</v>
      </c>
      <c r="AJ41" s="148">
        <f t="shared" si="38"/>
        <v>0</v>
      </c>
      <c r="AK41" s="147">
        <f t="shared" si="39"/>
        <v>3746.25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4395.6000000000004</v>
      </c>
      <c r="J42" s="38">
        <f t="shared" si="32"/>
        <v>4395.6000000000004</v>
      </c>
      <c r="K42" s="40">
        <f t="shared" si="33"/>
        <v>0.13437022278331598</v>
      </c>
      <c r="L42" s="22">
        <f t="shared" si="34"/>
        <v>0.14915094728948075</v>
      </c>
      <c r="M42" s="24">
        <f t="shared" si="35"/>
        <v>0.14915094728948075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1098.9000000000001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2197.8000000000002</v>
      </c>
      <c r="AF42" s="122">
        <f t="shared" si="29"/>
        <v>0.25</v>
      </c>
      <c r="AG42" s="147">
        <f t="shared" si="36"/>
        <v>1098.9000000000001</v>
      </c>
      <c r="AH42" s="123">
        <f t="shared" si="37"/>
        <v>1</v>
      </c>
      <c r="AI42" s="112">
        <f t="shared" si="37"/>
        <v>4395.6000000000004</v>
      </c>
      <c r="AJ42" s="148">
        <f t="shared" si="38"/>
        <v>1098.9000000000001</v>
      </c>
      <c r="AK42" s="147">
        <f t="shared" si="39"/>
        <v>3296.7000000000003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0.58009305380213749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12980.25</v>
      </c>
      <c r="J65" s="39">
        <f>SUM(J37:J64)</f>
        <v>12980.25</v>
      </c>
      <c r="K65" s="40">
        <f>SUM(K37:K64)</f>
        <v>1</v>
      </c>
      <c r="L65" s="22">
        <f>SUM(L37:L64)</f>
        <v>0.41308154965420996</v>
      </c>
      <c r="M65" s="24">
        <f>SUM(M37:M64)</f>
        <v>0.44044421320281246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2308.5</v>
      </c>
      <c r="AB65" s="137"/>
      <c r="AC65" s="153">
        <f>SUM(AC37:AC64)</f>
        <v>1209.5999999999997</v>
      </c>
      <c r="AD65" s="137"/>
      <c r="AE65" s="153">
        <f>SUM(AE37:AE64)</f>
        <v>3407.3999999999996</v>
      </c>
      <c r="AF65" s="137"/>
      <c r="AG65" s="153">
        <f>SUM(AG37:AG64)</f>
        <v>6054.7499999999991</v>
      </c>
      <c r="AH65" s="137"/>
      <c r="AI65" s="153">
        <f>SUM(AI37:AI64)</f>
        <v>12980.25</v>
      </c>
      <c r="AJ65" s="153">
        <f>SUM(AJ37:AJ64)</f>
        <v>3518.0999999999995</v>
      </c>
      <c r="AK65" s="153">
        <f>SUM(AK37:AK64)</f>
        <v>9462.15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12980.25</v>
      </c>
      <c r="J70" s="51">
        <f t="shared" ref="J70:J77" si="44">J124*I$83</f>
        <v>12980.25</v>
      </c>
      <c r="K70" s="40">
        <f>B70/B$76</f>
        <v>0.44790597301378055</v>
      </c>
      <c r="L70" s="22">
        <f t="shared" ref="L70:L74" si="45">(L124*G$37*F$9/F$7)/B$130</f>
        <v>0.41308154965421001</v>
      </c>
      <c r="M70" s="24">
        <f>J70/B$76</f>
        <v>0.44044421320281246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3245.0625</v>
      </c>
      <c r="AB70" s="156">
        <f>Poor!AB70</f>
        <v>0.25</v>
      </c>
      <c r="AC70" s="147">
        <f>$J70*AB70</f>
        <v>3245.0625</v>
      </c>
      <c r="AD70" s="156">
        <f>Poor!AD70</f>
        <v>0.25</v>
      </c>
      <c r="AE70" s="147">
        <f>$J70*AD70</f>
        <v>3245.0625</v>
      </c>
      <c r="AF70" s="156">
        <f>Poor!AF70</f>
        <v>0.25</v>
      </c>
      <c r="AG70" s="147">
        <f>$J70*AF70</f>
        <v>3245.0625</v>
      </c>
      <c r="AH70" s="155">
        <f>SUM(Z70,AB70,AD70,AF70)</f>
        <v>1</v>
      </c>
      <c r="AI70" s="147">
        <f>SUM(AA70,AC70,AE70,AG70)</f>
        <v>12980.25</v>
      </c>
      <c r="AJ70" s="148">
        <f>(AA70+AC70)</f>
        <v>6490.125</v>
      </c>
      <c r="AK70" s="147">
        <f>(AE70+AG70)</f>
        <v>6490.125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0.33038335079971892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0.21929722935524132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-79.273498900736286</v>
      </c>
      <c r="AB74" s="156"/>
      <c r="AC74" s="147">
        <f>AC30*$I$83/4</f>
        <v>-2035.4625000000003</v>
      </c>
      <c r="AD74" s="156"/>
      <c r="AE74" s="147">
        <f>AE30*$I$83/4</f>
        <v>162.33749999999964</v>
      </c>
      <c r="AF74" s="156"/>
      <c r="AG74" s="147">
        <f>AG30*$I$83/4</f>
        <v>1952.3984989007354</v>
      </c>
      <c r="AH74" s="155"/>
      <c r="AI74" s="147">
        <f>SUM(AA74,AC74,AE74,AG74)</f>
        <v>0</v>
      </c>
      <c r="AJ74" s="148">
        <f>(AA74+AC74)</f>
        <v>-2114.7359989007364</v>
      </c>
      <c r="AK74" s="147">
        <f>(AE74+AG74)</f>
        <v>2114.735998900735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857.28900109926371</v>
      </c>
      <c r="AH75" s="134"/>
      <c r="AI75" s="149">
        <f>AI76-SUM(AI70,AI74)</f>
        <v>0</v>
      </c>
      <c r="AJ75" s="151">
        <f>AJ76-SUM(AJ70,AJ74)</f>
        <v>-857.28900109926417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12980.25</v>
      </c>
      <c r="J76" s="51">
        <f t="shared" si="44"/>
        <v>12980.25</v>
      </c>
      <c r="K76" s="40">
        <f>SUM(K70:K75)</f>
        <v>1.6042884681600766</v>
      </c>
      <c r="L76" s="22">
        <f>SUM(L70:L75)</f>
        <v>0.41308154965421001</v>
      </c>
      <c r="M76" s="24">
        <f>SUM(M70:M75)</f>
        <v>0.44044421320281246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2308.5</v>
      </c>
      <c r="AB76" s="137"/>
      <c r="AC76" s="153">
        <f>AC65</f>
        <v>1209.5999999999997</v>
      </c>
      <c r="AD76" s="137"/>
      <c r="AE76" s="153">
        <f>AE65</f>
        <v>3407.3999999999996</v>
      </c>
      <c r="AF76" s="137"/>
      <c r="AG76" s="153">
        <f>AG65</f>
        <v>6054.7499999999991</v>
      </c>
      <c r="AH76" s="137"/>
      <c r="AI76" s="153">
        <f>SUM(AA76,AC76,AE76,AG76)</f>
        <v>12980.249999999998</v>
      </c>
      <c r="AJ76" s="154">
        <f>SUM(AA76,AC76)</f>
        <v>3518.0999999999995</v>
      </c>
      <c r="AK76" s="154">
        <f>SUM(AE76,AG76)</f>
        <v>9462.1499999999978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16989.232468591519</v>
      </c>
      <c r="J77" s="100">
        <f t="shared" si="44"/>
        <v>16989.232468591519</v>
      </c>
      <c r="K77" s="40"/>
      <c r="L77" s="22">
        <f>-(L131*G$37*F$9/F$7)/B$130</f>
        <v>-0.57647650296014863</v>
      </c>
      <c r="M77" s="24">
        <f>-J77/B$76</f>
        <v>-0.57647650296014852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1475.1052402724531</v>
      </c>
      <c r="AB77" s="112"/>
      <c r="AC77" s="111">
        <f>AC31*$I$83/4</f>
        <v>3987.8609989007355</v>
      </c>
      <c r="AD77" s="112"/>
      <c r="AE77" s="111">
        <f>AE31*$I$83/4</f>
        <v>1790.0609989007357</v>
      </c>
      <c r="AF77" s="112"/>
      <c r="AG77" s="111">
        <f>AG31*$I$83/4</f>
        <v>0</v>
      </c>
      <c r="AH77" s="110"/>
      <c r="AI77" s="154">
        <f>SUM(AA77,AC77,AE77,AG77)</f>
        <v>7253.0272380739243</v>
      </c>
      <c r="AJ77" s="153">
        <f>SUM(AA77,AC77)</f>
        <v>5462.966239173189</v>
      </c>
      <c r="AK77" s="160">
        <f>SUM(AE77,AG77)</f>
        <v>1790.0609989007357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857.28900109926371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-79.273498900736286</v>
      </c>
      <c r="AB79" s="112"/>
      <c r="AC79" s="112">
        <f>AA79-AA74+AC65-AC70</f>
        <v>-2035.4625000000003</v>
      </c>
      <c r="AD79" s="112"/>
      <c r="AE79" s="112">
        <f>AC79-AC74+AE65-AE70</f>
        <v>162.33749999999964</v>
      </c>
      <c r="AF79" s="112"/>
      <c r="AG79" s="112">
        <f>AE79-AE74+AG65-AG70</f>
        <v>2809.6874999999991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0.67272727272727284</v>
      </c>
      <c r="I95" s="22">
        <f t="shared" si="54"/>
        <v>0.3262549593190941</v>
      </c>
      <c r="J95" s="24">
        <f t="shared" si="55"/>
        <v>0.3262549593190941</v>
      </c>
      <c r="K95" s="22">
        <f t="shared" si="56"/>
        <v>0.48497358817703168</v>
      </c>
      <c r="L95" s="22">
        <f t="shared" si="57"/>
        <v>0.3262549593190941</v>
      </c>
      <c r="M95" s="229">
        <f t="shared" si="49"/>
        <v>0.3262549593190941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0.67272727272727284</v>
      </c>
      <c r="I96" s="22">
        <f t="shared" si="54"/>
        <v>0.38280581893440374</v>
      </c>
      <c r="J96" s="24">
        <f t="shared" si="55"/>
        <v>0.38280581893440374</v>
      </c>
      <c r="K96" s="22">
        <f t="shared" si="56"/>
        <v>0.56903567679438383</v>
      </c>
      <c r="L96" s="22">
        <f t="shared" si="57"/>
        <v>0.38280581893440374</v>
      </c>
      <c r="M96" s="229">
        <f t="shared" si="49"/>
        <v>0.38280581893440374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0.57212121212121214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2.4565981706105067</v>
      </c>
      <c r="L100" s="22">
        <f t="shared" si="57"/>
        <v>0</v>
      </c>
      <c r="M100" s="229">
        <f t="shared" si="49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1.1304293455326448</v>
      </c>
      <c r="J119" s="24">
        <f>SUM(J91:J118)</f>
        <v>1.1304293455326448</v>
      </c>
      <c r="K119" s="22">
        <f>SUM(K91:K118)</f>
        <v>4.2348346605929557</v>
      </c>
      <c r="L119" s="22">
        <f>SUM(L91:L118)</f>
        <v>1.0602012509861205</v>
      </c>
      <c r="M119" s="57">
        <f t="shared" si="49"/>
        <v>1.1304293455326448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1.1304293455326448</v>
      </c>
      <c r="J124" s="238">
        <f>IF(SUMPRODUCT($B$124:$B124,$H$124:$H124)&lt;J$119,($B124*$H124),J$119)</f>
        <v>1.1304293455326448</v>
      </c>
      <c r="K124" s="29">
        <f>(B124)</f>
        <v>1.896807739205371</v>
      </c>
      <c r="L124" s="29">
        <f>IF(SUMPRODUCT($B$124:$B124,$H$124:$H124)&lt;L$119,($B124*$H124),L$119)</f>
        <v>1.0602012509861205</v>
      </c>
      <c r="M124" s="241">
        <f t="shared" si="66"/>
        <v>1.1304293455326448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8">
        <f>IF(SUMPRODUCT($B$124:$B125,$H$124:$H125)&lt;J$119,($B125*$H125),IF(SUMPRODUCT($B$124:$B124,$H$124:$H124)&lt;J$119,J$119-SUMPRODUCT($B$124:$B124,$H$124:$H124),0))</f>
        <v>0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</v>
      </c>
      <c r="M125" s="241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</v>
      </c>
      <c r="J128" s="229">
        <f>(J30)</f>
        <v>0</v>
      </c>
      <c r="K128" s="29">
        <f>(B128)</f>
        <v>0.92868750784557907</v>
      </c>
      <c r="L128" s="29">
        <f>IF(L124=L119,0,(L119-L124)/(B119-B124)*K128)</f>
        <v>0</v>
      </c>
      <c r="M128" s="241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1.1304293455326448</v>
      </c>
      <c r="J130" s="229">
        <f>(J119)</f>
        <v>1.1304293455326448</v>
      </c>
      <c r="K130" s="29">
        <f>(B130)</f>
        <v>4.2348346605929557</v>
      </c>
      <c r="L130" s="29">
        <f>(L119)</f>
        <v>1.0602012509861205</v>
      </c>
      <c r="M130" s="241">
        <f t="shared" si="66"/>
        <v>1.1304293455326448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1.4795652580321546</v>
      </c>
      <c r="J131" s="238">
        <f>IF(SUMPRODUCT($B124:$B125,$H124:$H125)&gt;(J119-J128),SUMPRODUCT($B124:$B125,$H124:$H125)+J128-J119,0)</f>
        <v>1.4795652580321546</v>
      </c>
      <c r="K131" s="29"/>
      <c r="L131" s="29">
        <f>IF(I131&lt;SUM(L126:L127),0,I131-(SUM(L126:L127)))</f>
        <v>1.4795652580321546</v>
      </c>
      <c r="M131" s="238">
        <f>IF(I131&lt;SUM(M126:M127),0,I131-(SUM(M126:M127)))</f>
        <v>1.4795652580321546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1.0427895392278952E-2</v>
      </c>
      <c r="J6" s="24">
        <f t="shared" ref="J6:J13" si="3">IF(I$32&lt;=1+I$131,I6,B6*H6+J$33*(I6-B6*H6))</f>
        <v>1.0427895392278952E-2</v>
      </c>
      <c r="K6" s="22">
        <f t="shared" ref="K6:K31" si="4">B6</f>
        <v>2.0855790784557904E-2</v>
      </c>
      <c r="L6" s="22">
        <f t="shared" ref="L6:L29" si="5">IF(K6="","",K6*H6)</f>
        <v>1.0427895392278952E-2</v>
      </c>
      <c r="M6" s="225">
        <f t="shared" ref="M6:M31" si="6">J6</f>
        <v>1.0427895392278952E-2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4.1711581569115808E-2</v>
      </c>
      <c r="Z6" s="116">
        <v>0.17</v>
      </c>
      <c r="AA6" s="121">
        <f>$M6*Z6*4</f>
        <v>7.0909688667496881E-3</v>
      </c>
      <c r="AB6" s="116">
        <v>0.17</v>
      </c>
      <c r="AC6" s="121">
        <f t="shared" ref="AC6:AC29" si="7">$M6*AB6*4</f>
        <v>7.0909688667496881E-3</v>
      </c>
      <c r="AD6" s="116">
        <v>0.33</v>
      </c>
      <c r="AE6" s="121">
        <f t="shared" ref="AE6:AE29" si="8">$M6*AD6*4</f>
        <v>1.3764821917808217E-2</v>
      </c>
      <c r="AF6" s="122">
        <f>1-SUM(Z6,AB6,AD6)</f>
        <v>0.32999999999999996</v>
      </c>
      <c r="AG6" s="121">
        <f>$M6*AF6*4</f>
        <v>1.3764821917808215E-2</v>
      </c>
      <c r="AH6" s="123">
        <f>SUM(Z6,AB6,AD6,AF6)</f>
        <v>1</v>
      </c>
      <c r="AI6" s="183">
        <f>SUM(AA6,AC6,AE6,AG6)/4</f>
        <v>1.0427895392278952E-2</v>
      </c>
      <c r="AJ6" s="120">
        <f>(AA6+AC6)/2</f>
        <v>7.0909688667496881E-3</v>
      </c>
      <c r="AK6" s="119">
        <f>(AE6+AG6)/2</f>
        <v>1.3764821917808215E-2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5082.9848685109964</v>
      </c>
      <c r="T7" s="223">
        <f>IF($B$81=0,0,(SUMIF($N$6:$N$28,$U7,M$6:M$28)+SUMIF($N$91:$N$118,$U7,M$91:M$118))*$I$83*Poor!$B$81/$B$81)</f>
        <v>5082.9848685109964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1.9688083748443338E-3</v>
      </c>
      <c r="J8" s="24">
        <f t="shared" si="3"/>
        <v>1.9688083748443338E-3</v>
      </c>
      <c r="K8" s="22">
        <f t="shared" si="4"/>
        <v>3.9376167496886676E-3</v>
      </c>
      <c r="L8" s="22">
        <f t="shared" si="5"/>
        <v>1.9688083748443338E-3</v>
      </c>
      <c r="M8" s="225">
        <f t="shared" si="6"/>
        <v>1.9688083748443338E-3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7.8752334993773352E-3</v>
      </c>
      <c r="Z8" s="125">
        <f>IF($Y8=0,0,AA8/$Y8)</f>
        <v>0.57079604371593395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4.4951521247837732E-3</v>
      </c>
      <c r="AB8" s="125">
        <f>IF($Y8=0,0,AC8/$Y8)</f>
        <v>0.42920395628406599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3.380081374593562E-3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1.9688083748443338E-3</v>
      </c>
      <c r="AJ8" s="120">
        <f t="shared" si="14"/>
        <v>3.9376167496886676E-3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0.27076910239726032</v>
      </c>
      <c r="J9" s="24">
        <f t="shared" si="3"/>
        <v>0.27076910239726032</v>
      </c>
      <c r="K9" s="22">
        <f t="shared" si="4"/>
        <v>0.24841202054794523</v>
      </c>
      <c r="L9" s="22">
        <f t="shared" si="5"/>
        <v>0.27076910239726032</v>
      </c>
      <c r="M9" s="225">
        <f t="shared" si="6"/>
        <v>0.27076910239726032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170.81543189845129</v>
      </c>
      <c r="T9" s="223">
        <f>IF($B$81=0,0,(SUMIF($N$6:$N$28,$U9,M$6:M$28)+SUMIF($N$91:$N$118,$U9,M$91:M$118))*$I$83*Poor!$B$81/$B$81)</f>
        <v>170.81543189845129</v>
      </c>
      <c r="U9" s="224">
        <v>3</v>
      </c>
      <c r="V9" s="56"/>
      <c r="W9" s="115"/>
      <c r="X9" s="124">
        <v>1</v>
      </c>
      <c r="Y9" s="183">
        <f t="shared" si="9"/>
        <v>1.0830764095890413</v>
      </c>
      <c r="Z9" s="125">
        <f>IF($Y9=0,0,AA9/$Y9)</f>
        <v>0.57079604371593395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0.61821572963548321</v>
      </c>
      <c r="AB9" s="125">
        <f>IF($Y9=0,0,AC9/$Y9)</f>
        <v>0.42920395628406605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0.46486067995355806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0.27076910239726032</v>
      </c>
      <c r="AJ9" s="120">
        <f t="shared" si="14"/>
        <v>0.54153820479452064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1.0900000000000001</v>
      </c>
      <c r="H10" s="24">
        <f t="shared" si="1"/>
        <v>1.0900000000000001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1</v>
      </c>
      <c r="H11" s="24">
        <f t="shared" si="1"/>
        <v>1</v>
      </c>
      <c r="I11" s="22">
        <f t="shared" si="2"/>
        <v>1.8466064757160647E-2</v>
      </c>
      <c r="J11" s="24">
        <f t="shared" si="3"/>
        <v>1.8466064757160647E-2</v>
      </c>
      <c r="K11" s="22">
        <f t="shared" si="4"/>
        <v>1.8466064757160647E-2</v>
      </c>
      <c r="L11" s="22">
        <f t="shared" si="5"/>
        <v>1.8466064757160647E-2</v>
      </c>
      <c r="M11" s="225">
        <f t="shared" si="6"/>
        <v>1.8466064757160647E-2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3426.72</v>
      </c>
      <c r="T11" s="223">
        <f>IF($B$81=0,0,(SUMIF($N$6:$N$28,$U11,M$6:M$28)+SUMIF($N$91:$N$118,$U11,M$91:M$118))*$I$83*Poor!$B$81/$B$81)</f>
        <v>3426.72</v>
      </c>
      <c r="U11" s="224">
        <v>5</v>
      </c>
      <c r="V11" s="56"/>
      <c r="W11" s="115"/>
      <c r="X11" s="124">
        <v>1</v>
      </c>
      <c r="Y11" s="183">
        <f t="shared" si="9"/>
        <v>7.386425902864259E-2</v>
      </c>
      <c r="Z11" s="125">
        <f>IF($Y11=0,0,AA11/$Y11)</f>
        <v>0.57079604371593395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4.2161426825558145E-2</v>
      </c>
      <c r="AB11" s="125">
        <f>IF($Y11=0,0,AC11/$Y11)</f>
        <v>0.42920395628406605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3.1702832203084445E-2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1.8466064757160647E-2</v>
      </c>
      <c r="AJ11" s="120">
        <f t="shared" si="14"/>
        <v>3.6932129514321295E-2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1</v>
      </c>
      <c r="H12" s="24">
        <f t="shared" si="1"/>
        <v>1</v>
      </c>
      <c r="I12" s="22">
        <f t="shared" si="2"/>
        <v>7.3647011207970112E-2</v>
      </c>
      <c r="J12" s="24">
        <f t="shared" si="3"/>
        <v>7.3647011207970112E-2</v>
      </c>
      <c r="K12" s="22">
        <f t="shared" si="4"/>
        <v>7.3647011207970112E-2</v>
      </c>
      <c r="L12" s="22">
        <f t="shared" si="5"/>
        <v>7.3647011207970112E-2</v>
      </c>
      <c r="M12" s="225">
        <f t="shared" si="6"/>
        <v>7.3647011207970112E-2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8075.2500000000027</v>
      </c>
      <c r="T12" s="223">
        <f>IF($B$81=0,0,(SUMIF($N$6:$N$28,$U12,M$6:M$28)+SUMIF($N$91:$N$118,$U12,M$91:M$118))*$I$83*Poor!$B$81/$B$81)</f>
        <v>8075.2500000000027</v>
      </c>
      <c r="U12" s="224">
        <v>6</v>
      </c>
      <c r="V12" s="56"/>
      <c r="W12" s="117"/>
      <c r="X12" s="118"/>
      <c r="Y12" s="183">
        <f t="shared" si="9"/>
        <v>0.29458804483188045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0.19737399003735992</v>
      </c>
      <c r="AF12" s="122">
        <f>1-SUM(Z12,AB12,AD12)</f>
        <v>0.32999999999999996</v>
      </c>
      <c r="AG12" s="121">
        <f>$M12*AF12*4</f>
        <v>9.7214054794520541E-2</v>
      </c>
      <c r="AH12" s="123">
        <f t="shared" si="12"/>
        <v>1</v>
      </c>
      <c r="AI12" s="183">
        <f t="shared" si="13"/>
        <v>7.3647011207970112E-2</v>
      </c>
      <c r="AJ12" s="120">
        <f t="shared" si="14"/>
        <v>0</v>
      </c>
      <c r="AK12" s="119">
        <f t="shared" si="15"/>
        <v>0.14729402241594022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1</v>
      </c>
      <c r="H13" s="24">
        <f t="shared" si="1"/>
        <v>1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6.0087173100871732E-3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6260.4000000000005</v>
      </c>
      <c r="T13" s="223">
        <f>IF($B$81=0,0,(SUMIF($N$6:$N$28,$U13,M$6:M$28)+SUMIF($N$91:$N$118,$U13,M$91:M$118))*$I$83*Poor!$B$81/$B$81)</f>
        <v>6260.4000000000005</v>
      </c>
      <c r="U13" s="224">
        <v>7</v>
      </c>
      <c r="V13" s="56"/>
      <c r="W13" s="110"/>
      <c r="X13" s="118"/>
      <c r="Y13" s="183">
        <f t="shared" si="9"/>
        <v>2.4034869240348693E-2</v>
      </c>
      <c r="Z13" s="116">
        <v>1</v>
      </c>
      <c r="AA13" s="121">
        <f>$M13*Z13*4</f>
        <v>2.4034869240348693E-2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4838.4000000000005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31540.14973604574</v>
      </c>
      <c r="T23" s="179">
        <f>SUM(T7:T22)</f>
        <v>32346.549736045741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0.34490719503173262</v>
      </c>
      <c r="J30" s="232">
        <f>IF(I$32&lt;=1,I30,1-SUM(J6:J29))</f>
        <v>0.31471054725332204</v>
      </c>
      <c r="K30" s="22">
        <f t="shared" si="4"/>
        <v>0.71967685554171867</v>
      </c>
      <c r="L30" s="22">
        <f>IF(L124=L119,0,IF(K30="",0,(L119-L124)/(B119-B124)*K30))</f>
        <v>6.019016932713335E-2</v>
      </c>
      <c r="M30" s="175">
        <f t="shared" si="6"/>
        <v>0.31471054725332204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390.31734375115775</v>
      </c>
      <c r="T30" s="235">
        <f t="shared" si="50"/>
        <v>0</v>
      </c>
      <c r="U30" s="56"/>
      <c r="V30" s="56"/>
      <c r="W30" s="110"/>
      <c r="X30" s="118"/>
      <c r="Y30" s="183">
        <f>M30*4</f>
        <v>1.2588421890132881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0.15010903347865401</v>
      </c>
      <c r="AC30" s="187">
        <f>IF(AC79*4/$I$83+SUM(AC6:AC29)&lt;1,AC79*4/$I$83,1-SUM(AC6:AC29))</f>
        <v>0.18896358429493776</v>
      </c>
      <c r="AD30" s="122">
        <f>IF($Y30=0,0,AE30/($Y$30))</f>
        <v>0.38516292111070749</v>
      </c>
      <c r="AE30" s="187">
        <f>IF(AE79*4/$I$83+SUM(AE6:AE29)&lt;1,AE79*4/$I$83,1-SUM(AE6:AE29))</f>
        <v>0.48485933473775544</v>
      </c>
      <c r="AF30" s="122">
        <f>IF($Y30=0,0,AG30/($Y$30))</f>
        <v>0.46472804541063834</v>
      </c>
      <c r="AG30" s="187">
        <f>IF(AG79*4/$I$83+SUM(AG6:AG29)&lt;1,AG79*4/$I$83,1-SUM(AG6:AG29))</f>
        <v>0.58501926998059472</v>
      </c>
      <c r="AH30" s="123">
        <f t="shared" si="12"/>
        <v>0.99999999999999978</v>
      </c>
      <c r="AI30" s="183">
        <f t="shared" si="13"/>
        <v>0.31471054725332198</v>
      </c>
      <c r="AJ30" s="120">
        <f t="shared" si="14"/>
        <v>9.4481792147468879E-2</v>
      </c>
      <c r="AK30" s="119">
        <f t="shared" si="15"/>
        <v>0.53493930235917508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0.33749419296407601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14177.437343751164</v>
      </c>
      <c r="T31" s="235">
        <f>IF(T25&gt;T$23,T25-T$23,0)</f>
        <v>13371.037343751163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1.0301966477784106</v>
      </c>
      <c r="J32" s="17"/>
      <c r="L32" s="22">
        <f>SUM(L6:L30)</f>
        <v>0.66250580703592399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38730.877343751155</v>
      </c>
      <c r="T32" s="235">
        <f t="shared" si="50"/>
        <v>37924.477343751161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1.5513757739754106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13371.037343751166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2832</v>
      </c>
      <c r="J37" s="38">
        <f t="shared" ref="J37:J49" si="53">J91*I$83</f>
        <v>2832.0000000000005</v>
      </c>
      <c r="K37" s="40">
        <f t="shared" ref="K37:K49" si="54">(B37/B$65)</f>
        <v>6.8537495298130649E-2</v>
      </c>
      <c r="L37" s="22">
        <f t="shared" ref="L37:L49" si="55">(K37*H37)</f>
        <v>6.4699395561435336E-2</v>
      </c>
      <c r="M37" s="24">
        <f t="shared" ref="M37:M49" si="56">J37/B$65</f>
        <v>6.4699395561435336E-2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0.12766510414685608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361.54757494389645</v>
      </c>
      <c r="AD37" s="122">
        <f>IF($J37=0,0,AE37/($J37))</f>
        <v>0.52309385160175892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1481.4017877361816</v>
      </c>
      <c r="AF37" s="122">
        <f t="shared" ref="AF37:AF64" si="57">1-SUM(Z37,AB37,AD37)</f>
        <v>0.34924104425138502</v>
      </c>
      <c r="AG37" s="147">
        <f>$J37*AF37</f>
        <v>989.05063731992254</v>
      </c>
      <c r="AH37" s="123">
        <f>SUM(Z37,AB37,AD37,AF37)</f>
        <v>1</v>
      </c>
      <c r="AI37" s="112">
        <f>SUM(AA37,AC37,AE37,AG37)</f>
        <v>2832.0000000000009</v>
      </c>
      <c r="AJ37" s="148">
        <f>(AA37+AC37)</f>
        <v>361.54757494389645</v>
      </c>
      <c r="AK37" s="147">
        <f>(AE37+AG37)</f>
        <v>2470.4524250561044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594.71999999999991</v>
      </c>
      <c r="J38" s="38">
        <f t="shared" si="53"/>
        <v>594.72</v>
      </c>
      <c r="K38" s="40">
        <f t="shared" si="54"/>
        <v>1.4392874012607436E-2</v>
      </c>
      <c r="L38" s="22">
        <f t="shared" si="55"/>
        <v>1.3586873067901418E-2</v>
      </c>
      <c r="M38" s="24">
        <f t="shared" si="56"/>
        <v>1.358687306790142E-2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3.8034577179571379E-2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22.619923740234693</v>
      </c>
      <c r="AD38" s="122">
        <f>IF($J38=0,0,AE38/($J38))</f>
        <v>0.15584253507536358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92.682672460020228</v>
      </c>
      <c r="AF38" s="122">
        <f t="shared" si="57"/>
        <v>0.80612288774506502</v>
      </c>
      <c r="AG38" s="147">
        <f t="shared" ref="AG38:AG64" si="60">$J38*AF38</f>
        <v>479.4174037997451</v>
      </c>
      <c r="AH38" s="123">
        <f t="shared" ref="AH38:AI58" si="61">SUM(Z38,AB38,AD38,AF38)</f>
        <v>1</v>
      </c>
      <c r="AI38" s="112">
        <f t="shared" si="61"/>
        <v>594.72</v>
      </c>
      <c r="AJ38" s="148">
        <f t="shared" ref="AJ38:AJ64" si="62">(AA38+AC38)</f>
        <v>22.619923740234693</v>
      </c>
      <c r="AK38" s="147">
        <f t="shared" ref="AK38:AK64" si="63">(AE38+AG38)</f>
        <v>572.10007625976527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0.57079604371593395</v>
      </c>
      <c r="AA39" s="147">
        <f t="shared" ref="AA39:AA64" si="64">$J39*Z39</f>
        <v>0</v>
      </c>
      <c r="AB39" s="122">
        <f>AB8</f>
        <v>0.42920395628406599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0.57079604371593395</v>
      </c>
      <c r="AA40" s="147">
        <f t="shared" si="64"/>
        <v>0</v>
      </c>
      <c r="AB40" s="122">
        <f>AB9</f>
        <v>0.42920395628406605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1</v>
      </c>
      <c r="F41" s="26">
        <v>1.1100000000000001</v>
      </c>
      <c r="G41" s="22">
        <f t="shared" si="59"/>
        <v>1.65</v>
      </c>
      <c r="H41" s="24">
        <f t="shared" si="51"/>
        <v>1.1100000000000001</v>
      </c>
      <c r="I41" s="39">
        <f t="shared" si="52"/>
        <v>8075.2500000000009</v>
      </c>
      <c r="J41" s="38">
        <f t="shared" si="53"/>
        <v>8075.2500000000018</v>
      </c>
      <c r="K41" s="40">
        <f t="shared" si="54"/>
        <v>0.16620342609796682</v>
      </c>
      <c r="L41" s="22">
        <f t="shared" si="55"/>
        <v>0.18448580296874317</v>
      </c>
      <c r="M41" s="24">
        <f t="shared" si="56"/>
        <v>0.1844858029687432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0.57079604371593395</v>
      </c>
      <c r="AA41" s="147">
        <f t="shared" si="64"/>
        <v>4609.3207520170963</v>
      </c>
      <c r="AB41" s="122">
        <f>AB11</f>
        <v>0.42920395628406605</v>
      </c>
      <c r="AC41" s="147">
        <f t="shared" si="65"/>
        <v>3465.9292479829051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8075.2500000000018</v>
      </c>
      <c r="AJ41" s="148">
        <f t="shared" si="62"/>
        <v>8075.2500000000018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1</v>
      </c>
      <c r="F42" s="26">
        <v>1.1100000000000001</v>
      </c>
      <c r="G42" s="22">
        <f t="shared" si="59"/>
        <v>1.65</v>
      </c>
      <c r="H42" s="24">
        <f t="shared" si="51"/>
        <v>1.1100000000000001</v>
      </c>
      <c r="I42" s="39">
        <f t="shared" si="52"/>
        <v>6260.4000000000005</v>
      </c>
      <c r="J42" s="38">
        <f t="shared" si="53"/>
        <v>6260.4000000000005</v>
      </c>
      <c r="K42" s="40">
        <f t="shared" si="54"/>
        <v>0.12885049116048561</v>
      </c>
      <c r="L42" s="22">
        <f t="shared" si="55"/>
        <v>0.14302404518813905</v>
      </c>
      <c r="M42" s="24">
        <f t="shared" si="56"/>
        <v>0.14302404518813905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1565.1000000000001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3130.2000000000003</v>
      </c>
      <c r="AF42" s="122">
        <f t="shared" si="57"/>
        <v>0.25</v>
      </c>
      <c r="AG42" s="147">
        <f t="shared" si="60"/>
        <v>1565.1000000000001</v>
      </c>
      <c r="AH42" s="123">
        <f t="shared" si="61"/>
        <v>1</v>
      </c>
      <c r="AI42" s="112">
        <f t="shared" si="61"/>
        <v>6260.4000000000005</v>
      </c>
      <c r="AJ42" s="148">
        <f t="shared" si="62"/>
        <v>1565.1000000000001</v>
      </c>
      <c r="AK42" s="147">
        <f t="shared" si="63"/>
        <v>4695.3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0.8</v>
      </c>
      <c r="F43" s="26">
        <v>1.18</v>
      </c>
      <c r="G43" s="22">
        <f t="shared" si="59"/>
        <v>1.65</v>
      </c>
      <c r="H43" s="24">
        <f t="shared" si="51"/>
        <v>0.94399999999999995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0</v>
      </c>
      <c r="F46" s="26">
        <v>1.18</v>
      </c>
      <c r="G46" s="22">
        <f t="shared" si="59"/>
        <v>1.65</v>
      </c>
      <c r="H46" s="24">
        <f t="shared" si="51"/>
        <v>0</v>
      </c>
      <c r="I46" s="39">
        <f t="shared" si="52"/>
        <v>0</v>
      </c>
      <c r="J46" s="38">
        <f t="shared" si="53"/>
        <v>0</v>
      </c>
      <c r="K46" s="40">
        <f t="shared" si="54"/>
        <v>0.42462772697219331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25999.170000000006</v>
      </c>
      <c r="J65" s="39">
        <f>SUM(J37:J64)</f>
        <v>25999.170000000006</v>
      </c>
      <c r="K65" s="40">
        <f>SUM(K37:K64)</f>
        <v>1</v>
      </c>
      <c r="L65" s="22">
        <f>SUM(L37:L64)</f>
        <v>0.57554978514062893</v>
      </c>
      <c r="M65" s="24">
        <f>SUM(M37:M64)</f>
        <v>0.59397266387676662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8233.6207520170974</v>
      </c>
      <c r="AB65" s="137"/>
      <c r="AC65" s="153">
        <f>SUM(AC37:AC64)</f>
        <v>5909.296746667037</v>
      </c>
      <c r="AD65" s="137"/>
      <c r="AE65" s="153">
        <f>SUM(AE37:AE64)</f>
        <v>6763.4844601962031</v>
      </c>
      <c r="AF65" s="137"/>
      <c r="AG65" s="153">
        <f>SUM(AG37:AG64)</f>
        <v>5092.7680411196689</v>
      </c>
      <c r="AH65" s="137"/>
      <c r="AI65" s="153">
        <f>SUM(AI37:AI64)</f>
        <v>25999.170000000006</v>
      </c>
      <c r="AJ65" s="153">
        <f>SUM(AJ37:AJ64)</f>
        <v>14142.917498684135</v>
      </c>
      <c r="AK65" s="153">
        <f>SUM(AK37:AK64)</f>
        <v>11856.25250131587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4752.5110376901757</v>
      </c>
      <c r="J71" s="51">
        <f t="shared" si="75"/>
        <v>4752.5110376901757</v>
      </c>
      <c r="K71" s="40">
        <f t="shared" ref="K71:K72" si="78">B71/B$76</f>
        <v>0.26693069835445282</v>
      </c>
      <c r="L71" s="22">
        <f t="shared" si="76"/>
        <v>9.0152188897197311E-2</v>
      </c>
      <c r="M71" s="24">
        <f t="shared" ref="M71:M72" si="79">J71/B$76</f>
        <v>0.1085750676333348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4752.5110376901757</v>
      </c>
      <c r="J74" s="51">
        <f t="shared" si="75"/>
        <v>4336.4283814413393</v>
      </c>
      <c r="K74" s="40">
        <f>B74/B$76</f>
        <v>0.13730344891392171</v>
      </c>
      <c r="L74" s="22">
        <f t="shared" si="76"/>
        <v>1.8947565605159731E-2</v>
      </c>
      <c r="M74" s="24">
        <f>J74/B$76</f>
        <v>9.9069313267905357E-2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650.93707308756336</v>
      </c>
      <c r="AD74" s="156"/>
      <c r="AE74" s="147">
        <f>AE30*$I$83/4</f>
        <v>1670.2314225833236</v>
      </c>
      <c r="AF74" s="156"/>
      <c r="AG74" s="147">
        <f>AG30*$I$83/4</f>
        <v>2015.2598857704515</v>
      </c>
      <c r="AH74" s="155"/>
      <c r="AI74" s="147">
        <f>SUM(AA74,AC74,AE74,AG74)</f>
        <v>4336.4283814413384</v>
      </c>
      <c r="AJ74" s="148">
        <f>(AA74+AC74)</f>
        <v>650.93707308756336</v>
      </c>
      <c r="AK74" s="147">
        <f>(AE74+AG74)</f>
        <v>3685.4913083537749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2921.9560114396409</v>
      </c>
      <c r="AB75" s="158"/>
      <c r="AC75" s="149">
        <f>AA75+AC65-SUM(AC70,AC74)</f>
        <v>2868.6509444416588</v>
      </c>
      <c r="AD75" s="158"/>
      <c r="AE75" s="149">
        <f>AC75+AE65-SUM(AE70,AE74)</f>
        <v>2650.239241477082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416.08265624884007</v>
      </c>
      <c r="AJ75" s="151">
        <f>AJ76-SUM(AJ70,AJ74)</f>
        <v>2868.6509444416588</v>
      </c>
      <c r="AK75" s="149">
        <f>AJ75+AK76-SUM(AK70,AK74)</f>
        <v>416.08265624884189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25999.170000000002</v>
      </c>
      <c r="J76" s="51">
        <f t="shared" si="75"/>
        <v>25999.170000000002</v>
      </c>
      <c r="K76" s="40">
        <f>SUM(K70:K75)</f>
        <v>1.2884634458051556</v>
      </c>
      <c r="L76" s="22">
        <f>SUM(L70:L75)</f>
        <v>0.59449735074578869</v>
      </c>
      <c r="M76" s="24">
        <f>SUM(M70:M75)</f>
        <v>0.69304197714467175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8233.6207520170974</v>
      </c>
      <c r="AB76" s="137"/>
      <c r="AC76" s="153">
        <f>AC65</f>
        <v>5909.296746667037</v>
      </c>
      <c r="AD76" s="137"/>
      <c r="AE76" s="153">
        <f>AE65</f>
        <v>6763.4844601962031</v>
      </c>
      <c r="AF76" s="137"/>
      <c r="AG76" s="153">
        <f>AG65</f>
        <v>5092.7680411196689</v>
      </c>
      <c r="AH76" s="137"/>
      <c r="AI76" s="153">
        <f>SUM(AA76,AC76,AE76,AG76)</f>
        <v>25999.170000000006</v>
      </c>
      <c r="AJ76" s="154">
        <f>SUM(AA76,AC76)</f>
        <v>14142.917498684135</v>
      </c>
      <c r="AK76" s="154">
        <f>SUM(AE76,AG76)</f>
        <v>11856.252501315872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13787.120000000003</v>
      </c>
      <c r="J77" s="100">
        <f t="shared" si="75"/>
        <v>13371.037343751166</v>
      </c>
      <c r="K77" s="40"/>
      <c r="L77" s="22">
        <f>-(L131*G$37*F$9/F$7)/B$130</f>
        <v>-0.31497822405825432</v>
      </c>
      <c r="M77" s="24">
        <f>-J77/B$76</f>
        <v>-0.30547246969282493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2921.9560114396409</v>
      </c>
      <c r="AD78" s="112"/>
      <c r="AE78" s="112">
        <f>AC75</f>
        <v>2868.6509444416588</v>
      </c>
      <c r="AF78" s="112"/>
      <c r="AG78" s="112">
        <f>AE75</f>
        <v>2650.239241477082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2921.9560114396409</v>
      </c>
      <c r="AB79" s="112"/>
      <c r="AC79" s="112">
        <f>AA79-AA74+AC65-AC70</f>
        <v>3519.5880175292223</v>
      </c>
      <c r="AD79" s="112"/>
      <c r="AE79" s="112">
        <f>AC79-AC74+AE65-AE70</f>
        <v>4320.4706640604054</v>
      </c>
      <c r="AF79" s="112"/>
      <c r="AG79" s="112">
        <f>AE79-AE74+AG65-AG70</f>
        <v>2431.3425420192943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0.57212121212121214</v>
      </c>
      <c r="I91" s="22">
        <f t="shared" ref="I91" si="82">(D91*H91)</f>
        <v>0.20552864971453111</v>
      </c>
      <c r="J91" s="24">
        <f>IF(I$32&lt;=1+I$131,I91,L91+J$33*(I91-L91))</f>
        <v>0.20552864971453111</v>
      </c>
      <c r="K91" s="22">
        <f t="shared" ref="K91" si="83">IF(B91="",0,B91)</f>
        <v>0.35923969494594948</v>
      </c>
      <c r="L91" s="22">
        <f t="shared" ref="L91" si="84">(K91*H91)</f>
        <v>0.20552864971453111</v>
      </c>
      <c r="M91" s="228">
        <f t="shared" si="80"/>
        <v>0.20552864971453111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0.57212121212121214</v>
      </c>
      <c r="I92" s="22">
        <f t="shared" ref="I92:I118" si="88">(D92*H92)</f>
        <v>4.3161016440051533E-2</v>
      </c>
      <c r="J92" s="24">
        <f t="shared" ref="J92:J118" si="89">IF(I$32&lt;=1+I$131,I92,L92+J$33*(I92-L92))</f>
        <v>4.3161016440051533E-2</v>
      </c>
      <c r="K92" s="22">
        <f t="shared" ref="K92:K118" si="90">IF(B92="",0,B92)</f>
        <v>7.5440335938649392E-2</v>
      </c>
      <c r="L92" s="22">
        <f t="shared" ref="L92:L118" si="91">(K92*H92)</f>
        <v>4.3161016440051533E-2</v>
      </c>
      <c r="M92" s="228">
        <f t="shared" ref="M92:M118" si="92">(J92)</f>
        <v>4.3161016440051533E-2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0.67272727272727284</v>
      </c>
      <c r="I95" s="22">
        <f t="shared" si="88"/>
        <v>0.5860505750731877</v>
      </c>
      <c r="J95" s="24">
        <f t="shared" si="89"/>
        <v>0.5860505750731877</v>
      </c>
      <c r="K95" s="22">
        <f t="shared" si="90"/>
        <v>0.87115626024392745</v>
      </c>
      <c r="L95" s="22">
        <f t="shared" si="91"/>
        <v>0.5860505750731877</v>
      </c>
      <c r="M95" s="228">
        <f t="shared" si="92"/>
        <v>0.5860505750731877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0.67272727272727284</v>
      </c>
      <c r="I96" s="22">
        <f t="shared" si="88"/>
        <v>0.45434023964436815</v>
      </c>
      <c r="J96" s="24">
        <f t="shared" si="89"/>
        <v>0.45434023964436815</v>
      </c>
      <c r="K96" s="22">
        <f t="shared" si="90"/>
        <v>0.67537062649838497</v>
      </c>
      <c r="L96" s="22">
        <f t="shared" si="91"/>
        <v>0.45434023964436815</v>
      </c>
      <c r="M96" s="228">
        <f t="shared" si="92"/>
        <v>0.45434023964436815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0.57212121212121214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</v>
      </c>
      <c r="I100" s="22">
        <f t="shared" si="88"/>
        <v>0</v>
      </c>
      <c r="J100" s="24">
        <f t="shared" si="89"/>
        <v>0</v>
      </c>
      <c r="K100" s="22">
        <f t="shared" si="90"/>
        <v>2.225688791799826</v>
      </c>
      <c r="L100" s="22">
        <f t="shared" si="91"/>
        <v>0</v>
      </c>
      <c r="M100" s="228">
        <f t="shared" si="9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1.8868553332621985</v>
      </c>
      <c r="J119" s="24">
        <f>SUM(J91:J118)</f>
        <v>1.8868553332621985</v>
      </c>
      <c r="K119" s="22">
        <f>SUM(K91:K118)</f>
        <v>5.2415060308710721</v>
      </c>
      <c r="L119" s="22">
        <f>SUM(L91:L118)</f>
        <v>1.8283319211400948</v>
      </c>
      <c r="M119" s="57">
        <f t="shared" si="80"/>
        <v>1.8868553332621985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0.34490719503173262</v>
      </c>
      <c r="J125" s="238">
        <f>IF(SUMPRODUCT($B$124:$B125,$H$124:$H125)&lt;J$119,($B125*$H125),IF(SUMPRODUCT($B$124:$B124,$H$124:$H124)&lt;J$119,J$119-SUMPRODUCT($B$124:$B124,$H$124:$H124),0))</f>
        <v>0.34490719503173262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0.28638378290962896</v>
      </c>
      <c r="M125" s="241">
        <f t="shared" si="93"/>
        <v>0.34490719503173262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0.34490719503173262</v>
      </c>
      <c r="J128" s="229">
        <f>(J30)</f>
        <v>0.31471054725332204</v>
      </c>
      <c r="K128" s="29">
        <f>(B128)</f>
        <v>0.71967685554171867</v>
      </c>
      <c r="L128" s="29">
        <f>IF(L124=L119,0,(L119-L124)/(B119-B124)*K128)</f>
        <v>6.019016932713335E-2</v>
      </c>
      <c r="M128" s="241">
        <f t="shared" si="93"/>
        <v>0.31471054725332204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1.8868553332621985</v>
      </c>
      <c r="J130" s="229">
        <f>(J119)</f>
        <v>1.8868553332621985</v>
      </c>
      <c r="K130" s="29">
        <f>(B130)</f>
        <v>5.2415060308710721</v>
      </c>
      <c r="L130" s="29">
        <f>(L119)</f>
        <v>1.8283319211400948</v>
      </c>
      <c r="M130" s="241">
        <f t="shared" si="93"/>
        <v>1.8868553332621985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0.9703853285818318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1.8770211706102113E-2</v>
      </c>
      <c r="J6" s="24">
        <f t="shared" ref="J6:J13" si="3">IF(I$32&lt;=1+I$131,I6,B6*H6+J$33*(I6-B6*H6))</f>
        <v>1.8770211706102113E-2</v>
      </c>
      <c r="K6" s="22">
        <f t="shared" ref="K6:K31" si="4">B6</f>
        <v>3.7540423412204225E-2</v>
      </c>
      <c r="L6" s="22">
        <f t="shared" ref="L6:L29" si="5">IF(K6="","",K6*H6)</f>
        <v>1.8770211706102113E-2</v>
      </c>
      <c r="M6" s="225">
        <f t="shared" ref="M6:M31" si="6">J6</f>
        <v>1.8770211706102113E-2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7.5080846824408451E-2</v>
      </c>
      <c r="Z6" s="156">
        <f>Poor!Z6</f>
        <v>0.17</v>
      </c>
      <c r="AA6" s="121">
        <f>$M6*Z6*4</f>
        <v>1.2763743960149438E-2</v>
      </c>
      <c r="AB6" s="156">
        <f>Poor!AB6</f>
        <v>0.17</v>
      </c>
      <c r="AC6" s="121">
        <f t="shared" ref="AC6:AC29" si="7">$M6*AB6*4</f>
        <v>1.2763743960149438E-2</v>
      </c>
      <c r="AD6" s="156">
        <f>Poor!AD6</f>
        <v>0.33</v>
      </c>
      <c r="AE6" s="121">
        <f t="shared" ref="AE6:AE29" si="8">$M6*AD6*4</f>
        <v>2.4776679452054789E-2</v>
      </c>
      <c r="AF6" s="122">
        <f>1-SUM(Z6,AB6,AD6)</f>
        <v>0.32999999999999996</v>
      </c>
      <c r="AG6" s="121">
        <f>$M6*AF6*4</f>
        <v>2.4776679452054785E-2</v>
      </c>
      <c r="AH6" s="123">
        <f>SUM(Z6,AB6,AD6,AF6)</f>
        <v>1</v>
      </c>
      <c r="AI6" s="183">
        <f>SUM(AA6,AC6,AE6,AG6)/4</f>
        <v>1.8770211706102113E-2</v>
      </c>
      <c r="AJ6" s="120">
        <f>(AA6+AC6)/2</f>
        <v>1.2763743960149438E-2</v>
      </c>
      <c r="AK6" s="119">
        <f>(AE6+AG6)/2</f>
        <v>2.4776679452054785E-2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5">
        <f t="shared" si="6"/>
        <v>9.3851058530510564E-3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7766.9324843275544</v>
      </c>
      <c r="T7" s="223">
        <f>IF($B$81=0,0,(SUMIF($N$6:$N$28,$U7,M$6:M$28)+SUMIF($N$91:$N$118,$U7,M$91:M$118))*$I$83*Poor!$B$81/$B$81)</f>
        <v>7766.9324843275544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3.9376167496886676E-3</v>
      </c>
      <c r="J8" s="24">
        <f t="shared" si="3"/>
        <v>3.9376167496886676E-3</v>
      </c>
      <c r="K8" s="22">
        <f t="shared" si="4"/>
        <v>7.8752334993773352E-3</v>
      </c>
      <c r="L8" s="22">
        <f t="shared" si="5"/>
        <v>3.9376167496886676E-3</v>
      </c>
      <c r="M8" s="225">
        <f t="shared" si="6"/>
        <v>3.9376167496886676E-3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1.575046699875467E-2</v>
      </c>
      <c r="Z8" s="125">
        <f>IF($Y8=0,0,AA8/$Y8)</f>
        <v>0.32995830144621946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5.196997337893825E-3</v>
      </c>
      <c r="AB8" s="125">
        <f>IF($Y8=0,0,AC8/$Y8)</f>
        <v>0.39795671528632781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6.2680041110501142E-3</v>
      </c>
      <c r="AD8" s="125">
        <f>IF($Y8=0,0,AE8/$Y8)</f>
        <v>0.24293813632279257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3.8263890988911075E-3</v>
      </c>
      <c r="AF8" s="122">
        <f t="shared" si="10"/>
        <v>2.9146846944660187E-2</v>
      </c>
      <c r="AG8" s="121">
        <f t="shared" si="11"/>
        <v>4.5907645091962368E-4</v>
      </c>
      <c r="AH8" s="123">
        <f t="shared" si="12"/>
        <v>1</v>
      </c>
      <c r="AI8" s="183">
        <f t="shared" si="13"/>
        <v>3.9376167496886676E-3</v>
      </c>
      <c r="AJ8" s="120">
        <f t="shared" si="14"/>
        <v>5.73250072447197E-3</v>
      </c>
      <c r="AK8" s="119">
        <f t="shared" si="15"/>
        <v>2.1427327749053656E-3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0.30085455821917811</v>
      </c>
      <c r="J9" s="24">
        <f t="shared" si="3"/>
        <v>0.30085455821917811</v>
      </c>
      <c r="K9" s="22">
        <f t="shared" si="4"/>
        <v>0.27601335616438355</v>
      </c>
      <c r="L9" s="22">
        <f t="shared" si="5"/>
        <v>0.30085455821917811</v>
      </c>
      <c r="M9" s="225">
        <f t="shared" si="6"/>
        <v>0.30085455821917811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442.21177966613317</v>
      </c>
      <c r="T9" s="223">
        <f>IF($B$81=0,0,(SUMIF($N$6:$N$28,$U9,M$6:M$28)+SUMIF($N$91:$N$118,$U9,M$91:M$118))*$I$83*Poor!$B$81/$B$81)</f>
        <v>442.21177966613317</v>
      </c>
      <c r="U9" s="224">
        <v>3</v>
      </c>
      <c r="V9" s="56"/>
      <c r="W9" s="115"/>
      <c r="X9" s="118">
        <f>Poor!X9</f>
        <v>1</v>
      </c>
      <c r="Y9" s="183">
        <f t="shared" si="9"/>
        <v>1.2034182328767125</v>
      </c>
      <c r="Z9" s="125">
        <f>IF($Y9=0,0,AA9/$Y9)</f>
        <v>0.32995830144621952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0.3970778360494111</v>
      </c>
      <c r="AB9" s="125">
        <f>IF($Y9=0,0,AC9/$Y9)</f>
        <v>0.39795671528632776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0.47890836707129353</v>
      </c>
      <c r="AD9" s="125">
        <f>IF($Y9=0,0,AE9/$Y9)</f>
        <v>0.24293813632279257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0.29235618271193692</v>
      </c>
      <c r="AF9" s="122">
        <f t="shared" si="10"/>
        <v>2.9146846944660187E-2</v>
      </c>
      <c r="AG9" s="121">
        <f t="shared" si="11"/>
        <v>3.5075847044070969E-2</v>
      </c>
      <c r="AH9" s="123">
        <f t="shared" si="12"/>
        <v>1</v>
      </c>
      <c r="AI9" s="183">
        <f t="shared" si="13"/>
        <v>0.30085455821917817</v>
      </c>
      <c r="AJ9" s="120">
        <f t="shared" si="14"/>
        <v>0.43799310156035232</v>
      </c>
      <c r="AK9" s="119">
        <f t="shared" si="15"/>
        <v>0.16371601487800394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3.3625617683686174E-2</v>
      </c>
      <c r="J10" s="24">
        <f t="shared" si="3"/>
        <v>3.3625617683686174E-2</v>
      </c>
      <c r="K10" s="22">
        <f t="shared" si="4"/>
        <v>3.0849190535491903E-2</v>
      </c>
      <c r="L10" s="22">
        <f t="shared" si="5"/>
        <v>3.3625617683686174E-2</v>
      </c>
      <c r="M10" s="225">
        <f t="shared" si="6"/>
        <v>3.3625617683686174E-2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0.13450247073474469</v>
      </c>
      <c r="Z10" s="125">
        <f>IF($Y10=0,0,AA10/$Y10)</f>
        <v>0.32995830144621952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4.4380206783956211E-2</v>
      </c>
      <c r="AB10" s="125">
        <f>IF($Y10=0,0,AC10/$Y10)</f>
        <v>0.39795671528632776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5.3526161451494428E-2</v>
      </c>
      <c r="AD10" s="125">
        <f>IF($Y10=0,0,AE10/$Y10)</f>
        <v>0.24293813632279254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3.2675779571109821E-2</v>
      </c>
      <c r="AF10" s="122">
        <f t="shared" si="10"/>
        <v>2.9146846944660298E-2</v>
      </c>
      <c r="AG10" s="121">
        <f t="shared" si="11"/>
        <v>3.9203229281842547E-3</v>
      </c>
      <c r="AH10" s="123">
        <f t="shared" si="12"/>
        <v>1</v>
      </c>
      <c r="AI10" s="183">
        <f t="shared" si="13"/>
        <v>3.3625617683686181E-2</v>
      </c>
      <c r="AJ10" s="120">
        <f t="shared" si="14"/>
        <v>4.8953184117725319E-2</v>
      </c>
      <c r="AK10" s="119">
        <f t="shared" si="15"/>
        <v>1.8298051249647038E-2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1</v>
      </c>
      <c r="H11" s="24">
        <f t="shared" si="1"/>
        <v>1</v>
      </c>
      <c r="I11" s="22">
        <f t="shared" si="2"/>
        <v>0.10340996264009962</v>
      </c>
      <c r="J11" s="24">
        <f t="shared" si="3"/>
        <v>0.10340996264009962</v>
      </c>
      <c r="K11" s="22">
        <f t="shared" si="4"/>
        <v>0.10340996264009962</v>
      </c>
      <c r="L11" s="22">
        <f t="shared" si="5"/>
        <v>0.10340996264009962</v>
      </c>
      <c r="M11" s="225">
        <f t="shared" si="6"/>
        <v>0.10340996264009962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10006.4</v>
      </c>
      <c r="T11" s="223">
        <f>IF($B$81=0,0,(SUMIF($N$6:$N$28,$U11,M$6:M$28)+SUMIF($N$91:$N$118,$U11,M$91:M$118))*$I$83*Poor!$B$81/$B$81)</f>
        <v>9991.3954876139651</v>
      </c>
      <c r="U11" s="224">
        <v>5</v>
      </c>
      <c r="V11" s="56"/>
      <c r="W11" s="115"/>
      <c r="X11" s="118">
        <f>Poor!X11</f>
        <v>1</v>
      </c>
      <c r="Y11" s="183">
        <f t="shared" si="9"/>
        <v>0.41363985056039848</v>
      </c>
      <c r="Z11" s="125">
        <f>IF($Y11=0,0,AA11/$Y11)</f>
        <v>0.32995830144621952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0.13648390250137715</v>
      </c>
      <c r="AB11" s="125">
        <f>IF($Y11=0,0,AC11/$Y11)</f>
        <v>0.39795671528632776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0.16461075624054367</v>
      </c>
      <c r="AD11" s="125">
        <f>IF($Y11=0,0,AE11/$Y11)</f>
        <v>0.24293813632279254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0.10048889440398162</v>
      </c>
      <c r="AF11" s="122">
        <f t="shared" si="10"/>
        <v>2.9146846944660298E-2</v>
      </c>
      <c r="AG11" s="121">
        <f t="shared" si="11"/>
        <v>1.2056297414496093E-2</v>
      </c>
      <c r="AH11" s="123">
        <f t="shared" si="12"/>
        <v>1</v>
      </c>
      <c r="AI11" s="183">
        <f t="shared" si="13"/>
        <v>0.10340996264009963</v>
      </c>
      <c r="AJ11" s="120">
        <f t="shared" si="14"/>
        <v>0.15054732937096041</v>
      </c>
      <c r="AK11" s="119">
        <f t="shared" si="15"/>
        <v>5.6272595909238859E-2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1</v>
      </c>
      <c r="H12" s="24">
        <f t="shared" si="1"/>
        <v>1</v>
      </c>
      <c r="I12" s="22">
        <f t="shared" si="2"/>
        <v>9.5741114570361163E-2</v>
      </c>
      <c r="J12" s="24">
        <f t="shared" si="3"/>
        <v>9.5741114570361163E-2</v>
      </c>
      <c r="K12" s="22">
        <f t="shared" si="4"/>
        <v>9.5741114570361163E-2</v>
      </c>
      <c r="L12" s="22">
        <f t="shared" si="5"/>
        <v>9.5741114570361163E-2</v>
      </c>
      <c r="M12" s="225">
        <f t="shared" si="6"/>
        <v>9.5741114570361163E-2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832.50000000000011</v>
      </c>
      <c r="T12" s="223">
        <f>IF($B$81=0,0,(SUMIF($N$6:$N$28,$U12,M$6:M$28)+SUMIF($N$91:$N$118,$U12,M$91:M$118))*$I$83*Poor!$B$81/$B$81)</f>
        <v>832.50000000000011</v>
      </c>
      <c r="U12" s="224">
        <v>6</v>
      </c>
      <c r="V12" s="56"/>
      <c r="W12" s="117"/>
      <c r="X12" s="118"/>
      <c r="Y12" s="183">
        <f t="shared" si="9"/>
        <v>0.38296445828144465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0.25658618704856795</v>
      </c>
      <c r="AF12" s="122">
        <f>1-SUM(Z12,AB12,AD12)</f>
        <v>0.32999999999999996</v>
      </c>
      <c r="AG12" s="121">
        <f>$M12*AF12*4</f>
        <v>0.12637827123287673</v>
      </c>
      <c r="AH12" s="123">
        <f t="shared" si="12"/>
        <v>1</v>
      </c>
      <c r="AI12" s="183">
        <f t="shared" si="13"/>
        <v>9.5741114570361163E-2</v>
      </c>
      <c r="AJ12" s="120">
        <f t="shared" si="14"/>
        <v>0</v>
      </c>
      <c r="AK12" s="119">
        <f t="shared" si="15"/>
        <v>0.19148222914072233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1</v>
      </c>
      <c r="H13" s="24">
        <f t="shared" si="1"/>
        <v>1</v>
      </c>
      <c r="I13" s="22">
        <f t="shared" si="2"/>
        <v>3.0043586550435864E-2</v>
      </c>
      <c r="J13" s="24">
        <f t="shared" si="3"/>
        <v>3.0043586550435864E-2</v>
      </c>
      <c r="K13" s="22">
        <f t="shared" si="4"/>
        <v>3.0043586550435864E-2</v>
      </c>
      <c r="L13" s="22">
        <f t="shared" si="5"/>
        <v>3.0043586550435864E-2</v>
      </c>
      <c r="M13" s="226">
        <f t="shared" si="6"/>
        <v>3.0043586550435864E-2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75331.199999999997</v>
      </c>
      <c r="T13" s="223">
        <f>IF($B$81=0,0,(SUMIF($N$6:$N$28,$U13,M$6:M$28)+SUMIF($N$91:$N$118,$U13,M$91:M$118))*$I$83*Poor!$B$81/$B$81)</f>
        <v>75331.199999999997</v>
      </c>
      <c r="U13" s="224">
        <v>7</v>
      </c>
      <c r="V13" s="56"/>
      <c r="W13" s="110"/>
      <c r="X13" s="118"/>
      <c r="Y13" s="183">
        <f t="shared" si="9"/>
        <v>0.12017434620174346</v>
      </c>
      <c r="Z13" s="156">
        <f>Poor!Z13</f>
        <v>1</v>
      </c>
      <c r="AA13" s="121">
        <f>$M13*Z13*4</f>
        <v>0.12017434620174346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3.0043586550435864E-2</v>
      </c>
      <c r="AJ13" s="120">
        <f t="shared" si="14"/>
        <v>6.0087173100871728E-2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24221.958594058553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125666.10369962998</v>
      </c>
      <c r="T23" s="179">
        <f>SUM(T7:T22)</f>
        <v>125457.05778130249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9.378558129314098E-3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9.378558129314098E-3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3.7514232517256392E-2</v>
      </c>
      <c r="Z27" s="156">
        <f>Poor!Z27</f>
        <v>0.25</v>
      </c>
      <c r="AA27" s="121">
        <f t="shared" si="16"/>
        <v>9.378558129314098E-3</v>
      </c>
      <c r="AB27" s="156">
        <f>Poor!AB27</f>
        <v>0.25</v>
      </c>
      <c r="AC27" s="121">
        <f t="shared" si="7"/>
        <v>9.378558129314098E-3</v>
      </c>
      <c r="AD27" s="156">
        <f>Poor!AD27</f>
        <v>0.25</v>
      </c>
      <c r="AE27" s="121">
        <f t="shared" si="8"/>
        <v>9.378558129314098E-3</v>
      </c>
      <c r="AF27" s="122">
        <f t="shared" si="10"/>
        <v>0.25</v>
      </c>
      <c r="AG27" s="121">
        <f t="shared" si="11"/>
        <v>9.378558129314098E-3</v>
      </c>
      <c r="AH27" s="123">
        <f t="shared" si="12"/>
        <v>1</v>
      </c>
      <c r="AI27" s="183">
        <f t="shared" si="13"/>
        <v>9.378558129314098E-3</v>
      </c>
      <c r="AJ27" s="120">
        <f t="shared" si="14"/>
        <v>9.378558129314098E-3</v>
      </c>
      <c r="AK27" s="119">
        <f t="shared" si="15"/>
        <v>9.378558129314098E-3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2.6834602739944963E-3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2.6834602739944963E-3</v>
      </c>
      <c r="N28" s="230"/>
      <c r="O28" s="2"/>
      <c r="P28" s="22"/>
      <c r="U28" s="56"/>
      <c r="V28" s="56"/>
      <c r="W28" s="110"/>
      <c r="X28" s="118"/>
      <c r="Y28" s="183">
        <f t="shared" si="9"/>
        <v>1.0733841095977985E-2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5.3669205479889926E-3</v>
      </c>
      <c r="AF28" s="122">
        <f t="shared" si="10"/>
        <v>0.5</v>
      </c>
      <c r="AG28" s="121">
        <f t="shared" si="11"/>
        <v>5.3669205479889926E-3</v>
      </c>
      <c r="AH28" s="123">
        <f t="shared" si="12"/>
        <v>1</v>
      </c>
      <c r="AI28" s="183">
        <f t="shared" si="13"/>
        <v>2.6834602739944963E-3</v>
      </c>
      <c r="AJ28" s="120">
        <f t="shared" si="14"/>
        <v>0</v>
      </c>
      <c r="AK28" s="119">
        <f t="shared" si="15"/>
        <v>5.3669205479889926E-3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0.1951793296710754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0.1951793296710754</v>
      </c>
      <c r="N29" s="230"/>
      <c r="P29" s="22"/>
      <c r="V29" s="56"/>
      <c r="W29" s="110"/>
      <c r="X29" s="118"/>
      <c r="Y29" s="183">
        <f t="shared" si="9"/>
        <v>0.78071731868430161</v>
      </c>
      <c r="Z29" s="156">
        <f>Poor!Z29</f>
        <v>0.25</v>
      </c>
      <c r="AA29" s="121">
        <f t="shared" si="16"/>
        <v>0.1951793296710754</v>
      </c>
      <c r="AB29" s="156">
        <f>Poor!AB29</f>
        <v>0.25</v>
      </c>
      <c r="AC29" s="121">
        <f t="shared" si="7"/>
        <v>0.1951793296710754</v>
      </c>
      <c r="AD29" s="156">
        <f>Poor!AD29</f>
        <v>0.25</v>
      </c>
      <c r="AE29" s="121">
        <f t="shared" si="8"/>
        <v>0.1951793296710754</v>
      </c>
      <c r="AF29" s="122">
        <f t="shared" si="10"/>
        <v>0.25</v>
      </c>
      <c r="AG29" s="121">
        <f t="shared" si="11"/>
        <v>0.1951793296710754</v>
      </c>
      <c r="AH29" s="123">
        <f t="shared" si="12"/>
        <v>1</v>
      </c>
      <c r="AI29" s="183">
        <f t="shared" si="13"/>
        <v>0.1951793296710754</v>
      </c>
      <c r="AJ29" s="120">
        <f t="shared" si="14"/>
        <v>0.1951793296710754</v>
      </c>
      <c r="AK29" s="119">
        <f t="shared" si="15"/>
        <v>0.1951793296710754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7.2807015382006997</v>
      </c>
      <c r="J30" s="232">
        <f>IF(I$32&lt;=1,I30,1-SUM(J6:J29))</f>
        <v>0.11762579858793387</v>
      </c>
      <c r="K30" s="22">
        <f t="shared" si="4"/>
        <v>0.66149354420921547</v>
      </c>
      <c r="L30" s="22">
        <f>IF(L124=L119,0,IF(K30="",0,(L119-L124)/(B119-B124)*K30))</f>
        <v>0.31525659616374524</v>
      </c>
      <c r="M30" s="175">
        <f t="shared" si="6"/>
        <v>0.11762579858793387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0.47050319435173549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</v>
      </c>
      <c r="AC30" s="187">
        <f>IF(AC79*4/$I$84+SUM(AC6:AC29)&lt;1,AC79*4/$I$84,1-SUM(AC6:AC29))</f>
        <v>0</v>
      </c>
      <c r="AD30" s="122">
        <f>IF($Y30=0,0,AE30/($Y$30))</f>
        <v>-4.7193006889351051E-16</v>
      </c>
      <c r="AE30" s="187">
        <f>IF(AE79*4/$I$84+SUM(AE6:AE29)&lt;1,AE79*4/$I$84,1-SUM(AE6:AE29))</f>
        <v>-2.2204460492503131E-16</v>
      </c>
      <c r="AF30" s="122">
        <f>IF($Y30=0,0,AG30/($Y$30))</f>
        <v>1</v>
      </c>
      <c r="AG30" s="187">
        <f>IF(AG79*4/$I$84+SUM(AG6:AG29)&lt;1,AG79*4/$I$84,1-SUM(AG6:AG29))</f>
        <v>0.47050319435173549</v>
      </c>
      <c r="AH30" s="123">
        <f t="shared" si="12"/>
        <v>0.99999999999999956</v>
      </c>
      <c r="AI30" s="183">
        <f t="shared" si="13"/>
        <v>0.11762579858793382</v>
      </c>
      <c r="AJ30" s="120">
        <f t="shared" si="14"/>
        <v>0</v>
      </c>
      <c r="AK30" s="119">
        <f t="shared" si="15"/>
        <v>0.23525159717586763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-0.19829561388498895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8.1804711654803786</v>
      </c>
      <c r="J32" s="17"/>
      <c r="L32" s="22">
        <f>SUM(L6:L30)</f>
        <v>1.198295613884989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-3.9736526446069759E-2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8496</v>
      </c>
      <c r="K37" s="40">
        <f>(B37/B$65)</f>
        <v>6.6126436590909624E-2</v>
      </c>
      <c r="L37" s="22">
        <f t="shared" ref="L37" si="28">(K37*H37)</f>
        <v>6.2423356141818681E-2</v>
      </c>
      <c r="M37" s="24">
        <f>J37/B$65</f>
        <v>6.2423356141818688E-2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1888</v>
      </c>
      <c r="J38" s="38">
        <f t="shared" ref="J38:J64" si="32">J92*I$83</f>
        <v>1495.3954876139642</v>
      </c>
      <c r="K38" s="40">
        <f t="shared" ref="K38:K64" si="33">(B38/B$65)</f>
        <v>1.1755810949495045E-2</v>
      </c>
      <c r="L38" s="22">
        <f t="shared" ref="L38:L64" si="34">(K38*H38)</f>
        <v>1.1097485536323322E-2</v>
      </c>
      <c r="M38" s="24">
        <f t="shared" ref="M38:M64" si="35">J38/B$65</f>
        <v>1.0987241654448577E-2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1495.3954876139642</v>
      </c>
      <c r="AH38" s="123">
        <f t="shared" ref="AH38:AI58" si="37">SUM(Z38,AB38,AD38,AF38)</f>
        <v>1</v>
      </c>
      <c r="AI38" s="112">
        <f t="shared" si="37"/>
        <v>1495.3954876139642</v>
      </c>
      <c r="AJ38" s="148">
        <f t="shared" ref="AJ38:AJ64" si="38">(AA38+AC38)</f>
        <v>0</v>
      </c>
      <c r="AK38" s="147">
        <f t="shared" ref="AK38:AK64" si="39">(AE38+AG38)</f>
        <v>1495.3954876139642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0.32995830144621946</v>
      </c>
      <c r="AA39" s="147">
        <f t="shared" ref="AA39:AA64" si="40">$J39*Z39</f>
        <v>0</v>
      </c>
      <c r="AB39" s="122">
        <f>AB8</f>
        <v>0.39795671528632781</v>
      </c>
      <c r="AC39" s="147">
        <f t="shared" ref="AC39:AC64" si="41">$J39*AB39</f>
        <v>0</v>
      </c>
      <c r="AD39" s="122">
        <f>AD8</f>
        <v>0.24293813632279257</v>
      </c>
      <c r="AE39" s="147">
        <f t="shared" ref="AE39:AE64" si="42">$J39*AD39</f>
        <v>0</v>
      </c>
      <c r="AF39" s="122">
        <f t="shared" si="29"/>
        <v>2.9146846944660187E-2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0.32995830144621952</v>
      </c>
      <c r="AA40" s="147">
        <f t="shared" si="40"/>
        <v>0</v>
      </c>
      <c r="AB40" s="122">
        <f>AB9</f>
        <v>0.39795671528632776</v>
      </c>
      <c r="AC40" s="147">
        <f t="shared" si="41"/>
        <v>0</v>
      </c>
      <c r="AD40" s="122">
        <f>AD9</f>
        <v>0.24293813632279257</v>
      </c>
      <c r="AE40" s="147">
        <f t="shared" si="42"/>
        <v>0</v>
      </c>
      <c r="AF40" s="122">
        <f t="shared" si="29"/>
        <v>2.9146846944660187E-2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1</v>
      </c>
      <c r="F41" s="75">
        <f>Poor!F41</f>
        <v>1.1100000000000001</v>
      </c>
      <c r="G41" s="75">
        <f>Poor!G41</f>
        <v>1.65</v>
      </c>
      <c r="H41" s="24">
        <f t="shared" si="30"/>
        <v>1.1100000000000001</v>
      </c>
      <c r="I41" s="39">
        <f t="shared" si="31"/>
        <v>832.50000000000011</v>
      </c>
      <c r="J41" s="38">
        <f t="shared" si="32"/>
        <v>832.50000000000011</v>
      </c>
      <c r="K41" s="40">
        <f t="shared" si="33"/>
        <v>5.5105363825758025E-3</v>
      </c>
      <c r="L41" s="22">
        <f t="shared" si="34"/>
        <v>6.1166953846591415E-3</v>
      </c>
      <c r="M41" s="24">
        <f t="shared" si="35"/>
        <v>6.1166953846591415E-3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0.32995830144621952</v>
      </c>
      <c r="AA41" s="147">
        <f t="shared" si="40"/>
        <v>274.69028595397776</v>
      </c>
      <c r="AB41" s="122">
        <f>AB11</f>
        <v>0.39795671528632776</v>
      </c>
      <c r="AC41" s="147">
        <f t="shared" si="41"/>
        <v>331.29896547586787</v>
      </c>
      <c r="AD41" s="122">
        <f>AD11</f>
        <v>0.24293813632279254</v>
      </c>
      <c r="AE41" s="147">
        <f t="shared" si="42"/>
        <v>202.24599848872481</v>
      </c>
      <c r="AF41" s="122">
        <f t="shared" si="29"/>
        <v>2.9146846944660298E-2</v>
      </c>
      <c r="AG41" s="147">
        <f t="shared" si="36"/>
        <v>24.264750081429703</v>
      </c>
      <c r="AH41" s="123">
        <f t="shared" si="37"/>
        <v>1</v>
      </c>
      <c r="AI41" s="112">
        <f t="shared" si="37"/>
        <v>832.50000000000011</v>
      </c>
      <c r="AJ41" s="148">
        <f t="shared" si="38"/>
        <v>605.98925142984558</v>
      </c>
      <c r="AK41" s="147">
        <f t="shared" si="39"/>
        <v>226.5107485701545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1.1100000000000001</v>
      </c>
      <c r="G42" s="75">
        <f>Poor!G42</f>
        <v>1.65</v>
      </c>
      <c r="H42" s="24">
        <f t="shared" si="30"/>
        <v>1.1100000000000001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0.8</v>
      </c>
      <c r="F43" s="75">
        <f>Poor!F43</f>
        <v>1.18</v>
      </c>
      <c r="G43" s="75">
        <f>Poor!G43</f>
        <v>1.65</v>
      </c>
      <c r="H43" s="24">
        <f t="shared" si="30"/>
        <v>0.94399999999999995</v>
      </c>
      <c r="I43" s="39">
        <f t="shared" si="31"/>
        <v>75331.199999999997</v>
      </c>
      <c r="J43" s="38">
        <f t="shared" si="32"/>
        <v>75331.199999999997</v>
      </c>
      <c r="K43" s="40">
        <f t="shared" si="33"/>
        <v>0.58632107110606535</v>
      </c>
      <c r="L43" s="22">
        <f t="shared" si="34"/>
        <v>0.55348709112412564</v>
      </c>
      <c r="M43" s="24">
        <f t="shared" si="35"/>
        <v>0.55348709112412564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18832.8</v>
      </c>
      <c r="AB43" s="156">
        <f>Poor!AB43</f>
        <v>0.25</v>
      </c>
      <c r="AC43" s="147">
        <f t="shared" si="41"/>
        <v>18832.8</v>
      </c>
      <c r="AD43" s="156">
        <f>Poor!AD43</f>
        <v>0.25</v>
      </c>
      <c r="AE43" s="147">
        <f t="shared" si="42"/>
        <v>18832.8</v>
      </c>
      <c r="AF43" s="122">
        <f t="shared" si="29"/>
        <v>0.25</v>
      </c>
      <c r="AG43" s="147">
        <f t="shared" si="36"/>
        <v>18832.8</v>
      </c>
      <c r="AH43" s="123">
        <f t="shared" si="37"/>
        <v>1</v>
      </c>
      <c r="AI43" s="112">
        <f t="shared" si="37"/>
        <v>75331.199999999997</v>
      </c>
      <c r="AJ43" s="148">
        <f t="shared" si="38"/>
        <v>37665.599999999999</v>
      </c>
      <c r="AK43" s="147">
        <f t="shared" si="39"/>
        <v>37665.599999999999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24221.958594058553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0.17796797878640572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6055.4896485146382</v>
      </c>
      <c r="AB44" s="156">
        <f>Poor!AB44</f>
        <v>0.25</v>
      </c>
      <c r="AC44" s="147">
        <f t="shared" si="41"/>
        <v>6055.4896485146382</v>
      </c>
      <c r="AD44" s="156">
        <f>Poor!AD44</f>
        <v>0.25</v>
      </c>
      <c r="AE44" s="147">
        <f t="shared" si="42"/>
        <v>6055.4896485146382</v>
      </c>
      <c r="AF44" s="122">
        <f t="shared" si="29"/>
        <v>0.25</v>
      </c>
      <c r="AG44" s="147">
        <f t="shared" si="36"/>
        <v>6055.4896485146382</v>
      </c>
      <c r="AH44" s="123">
        <f t="shared" si="37"/>
        <v>1</v>
      </c>
      <c r="AI44" s="112">
        <f t="shared" si="37"/>
        <v>24221.958594058553</v>
      </c>
      <c r="AJ44" s="148">
        <f t="shared" si="38"/>
        <v>12110.979297029276</v>
      </c>
      <c r="AK44" s="147">
        <f t="shared" si="39"/>
        <v>12110.979297029276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0</v>
      </c>
      <c r="F46" s="75">
        <f>Poor!F46</f>
        <v>1.18</v>
      </c>
      <c r="G46" s="75">
        <f>Poor!G46</f>
        <v>1.65</v>
      </c>
      <c r="H46" s="24">
        <f t="shared" si="30"/>
        <v>0</v>
      </c>
      <c r="I46" s="39">
        <f t="shared" si="31"/>
        <v>0</v>
      </c>
      <c r="J46" s="38">
        <f t="shared" si="32"/>
        <v>0</v>
      </c>
      <c r="K46" s="40">
        <f t="shared" si="33"/>
        <v>6.1078074227517612E-2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121624.18</v>
      </c>
      <c r="J65" s="39">
        <f>SUM(J37:J64)</f>
        <v>116154.33408167251</v>
      </c>
      <c r="K65" s="40">
        <f>SUM(K37:K64)</f>
        <v>1</v>
      </c>
      <c r="L65" s="22">
        <f>SUM(L37:L64)</f>
        <v>0.8549661854526579</v>
      </c>
      <c r="M65" s="24">
        <f>SUM(M37:M64)</f>
        <v>0.85343024526789446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26607.299934468614</v>
      </c>
      <c r="AB65" s="137"/>
      <c r="AC65" s="153">
        <f>SUM(AC37:AC64)</f>
        <v>26663.908613990505</v>
      </c>
      <c r="AD65" s="137"/>
      <c r="AE65" s="153">
        <f>SUM(AE37:AE64)</f>
        <v>26534.855647003362</v>
      </c>
      <c r="AF65" s="137"/>
      <c r="AG65" s="153">
        <f>SUM(AG37:AG64)</f>
        <v>36348.26988621003</v>
      </c>
      <c r="AH65" s="137"/>
      <c r="AI65" s="153">
        <f>SUM(AI37:AI64)</f>
        <v>116154.33408167251</v>
      </c>
      <c r="AJ65" s="153">
        <f>SUM(AJ37:AJ64)</f>
        <v>53271.208548459123</v>
      </c>
      <c r="AK65" s="153">
        <f>SUM(AK37:AK64)</f>
        <v>62883.125533213395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100321.52103769015</v>
      </c>
      <c r="J74" s="51">
        <f t="shared" si="44"/>
        <v>1620.7777458943576</v>
      </c>
      <c r="K74" s="40">
        <f>B74/B$76</f>
        <v>4.0587766814047035E-2</v>
      </c>
      <c r="L74" s="22">
        <f t="shared" si="45"/>
        <v>3.1916677319229599E-2</v>
      </c>
      <c r="M74" s="24">
        <f>J74/B$76</f>
        <v>1.1908472982426742E-2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0</v>
      </c>
      <c r="AD74" s="156"/>
      <c r="AE74" s="147">
        <f>AE30*$I$84/4</f>
        <v>-1.7756056114202555E-12</v>
      </c>
      <c r="AF74" s="156"/>
      <c r="AG74" s="147">
        <f>AG30*$I$84/4</f>
        <v>3762.4337342677672</v>
      </c>
      <c r="AH74" s="155"/>
      <c r="AI74" s="147">
        <f>SUM(AA74,AC74,AE74,AG74)</f>
        <v>3762.4337342677654</v>
      </c>
      <c r="AJ74" s="148">
        <f>(AA74+AC74)</f>
        <v>0</v>
      </c>
      <c r="AK74" s="147">
        <f>(AE74+AG74)</f>
        <v>3762.4337342677654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27443.537373468331</v>
      </c>
      <c r="K75" s="40">
        <f>B75/B$76</f>
        <v>0.43798187945326222</v>
      </c>
      <c r="L75" s="22">
        <f t="shared" si="45"/>
        <v>0.18316588406539527</v>
      </c>
      <c r="M75" s="24">
        <f>J75/B$76</f>
        <v>0.20163814821743467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23239.925220161043</v>
      </c>
      <c r="AB75" s="158"/>
      <c r="AC75" s="149">
        <f>AA75+AC65-SUM(AC70,AC74)</f>
        <v>44578.169093574092</v>
      </c>
      <c r="AD75" s="158"/>
      <c r="AE75" s="149">
        <f>AC75+AE65-SUM(AE70,AE74)</f>
        <v>65787.360000000001</v>
      </c>
      <c r="AF75" s="158"/>
      <c r="AG75" s="149">
        <f>IF(SUM(AG6:AG29)+((AG65-AG70-$J$75)*4/I$83)&lt;1,0,AG65-AG70-$J$75-(1-SUM(AG6:AG29))*I$83/4)</f>
        <v>1958.2900262698847</v>
      </c>
      <c r="AH75" s="134"/>
      <c r="AI75" s="149">
        <f>AI76-SUM(AI70,AI74)</f>
        <v>91089.241385094909</v>
      </c>
      <c r="AJ75" s="151">
        <f>AJ76-SUM(AJ70,AJ74)</f>
        <v>42619.879067304209</v>
      </c>
      <c r="AK75" s="149">
        <f>AJ75+AK76-SUM(AK70,AK74)</f>
        <v>91089.241385094909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121624.18</v>
      </c>
      <c r="J76" s="51">
        <f t="shared" si="44"/>
        <v>116154.33408167251</v>
      </c>
      <c r="K76" s="40">
        <f>SUM(K70:K75)</f>
        <v>1.0000000000000002</v>
      </c>
      <c r="L76" s="22">
        <f>SUM(L70:L75)</f>
        <v>0.8549661854526579</v>
      </c>
      <c r="M76" s="24">
        <f>SUM(M70:M75)</f>
        <v>0.85343024526789457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26607.299934468614</v>
      </c>
      <c r="AB76" s="137"/>
      <c r="AC76" s="153">
        <f>AC65</f>
        <v>26663.908613990505</v>
      </c>
      <c r="AD76" s="137"/>
      <c r="AE76" s="153">
        <f>AE65</f>
        <v>26534.855647003362</v>
      </c>
      <c r="AF76" s="137"/>
      <c r="AG76" s="153">
        <f>AG65</f>
        <v>36348.26988621003</v>
      </c>
      <c r="AH76" s="137"/>
      <c r="AI76" s="153">
        <f>SUM(AA76,AC76,AE76,AG76)</f>
        <v>116154.33408167251</v>
      </c>
      <c r="AJ76" s="154">
        <f>SUM(AA76,AC76)</f>
        <v>53271.208548459123</v>
      </c>
      <c r="AK76" s="154">
        <f>SUM(AE76,AG76)</f>
        <v>62883.125533213388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13787.120000000008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1958.2900262698847</v>
      </c>
      <c r="AB78" s="112"/>
      <c r="AC78" s="112">
        <f>IF(AA75&lt;0,0,AA75)</f>
        <v>23239.925220161043</v>
      </c>
      <c r="AD78" s="112"/>
      <c r="AE78" s="112">
        <f>AC75</f>
        <v>44578.169093574092</v>
      </c>
      <c r="AF78" s="112"/>
      <c r="AG78" s="112">
        <f>AE75</f>
        <v>65787.360000000001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23239.925220161043</v>
      </c>
      <c r="AB79" s="112"/>
      <c r="AC79" s="112">
        <f>AA79-AA74+AC65-AC70</f>
        <v>44578.169093574092</v>
      </c>
      <c r="AD79" s="112"/>
      <c r="AE79" s="112">
        <f>AC79-AC74+AE65-AE70</f>
        <v>65787.360000000001</v>
      </c>
      <c r="AF79" s="112"/>
      <c r="AG79" s="112">
        <f>AE79-AE74+AG65-AG70</f>
        <v>96809.965145632566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0.57212121212121214</v>
      </c>
      <c r="I91" s="22">
        <f t="shared" ref="I91" si="52">(D91*H91)</f>
        <v>0.61658594914359333</v>
      </c>
      <c r="J91" s="24">
        <f>IF(I$32&lt;=1+I$131,I91,L91+J$33*(I91-L91))</f>
        <v>0.61658594914359333</v>
      </c>
      <c r="K91" s="22">
        <f t="shared" ref="K91" si="53">(B91)</f>
        <v>1.0777190848378484</v>
      </c>
      <c r="L91" s="22">
        <f t="shared" ref="L91" si="54">(K91*H91)</f>
        <v>0.61658594914359333</v>
      </c>
      <c r="M91" s="228">
        <f t="shared" si="49"/>
        <v>0.61658594914359333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0.57212121212121214</v>
      </c>
      <c r="I92" s="22">
        <f t="shared" ref="I92:I118" si="58">(D92*H92)</f>
        <v>0.13701909980968741</v>
      </c>
      <c r="J92" s="24">
        <f t="shared" ref="J92:J118" si="59">IF(I$32&lt;=1+I$131,I92,L92+J$33*(I92-L92))</f>
        <v>0.10852634723110906</v>
      </c>
      <c r="K92" s="22">
        <f t="shared" ref="K92:K118" si="60">(B92)</f>
        <v>0.19159450397117306</v>
      </c>
      <c r="L92" s="22">
        <f t="shared" ref="L92:L118" si="61">(K92*H92)</f>
        <v>0.10961527984774992</v>
      </c>
      <c r="M92" s="228">
        <f t="shared" ref="M92:M118" si="62">(J92)</f>
        <v>0.10852634723110906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0.57212121212121214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0.67272727272727284</v>
      </c>
      <c r="I95" s="22">
        <f t="shared" si="58"/>
        <v>6.0417585059091512E-2</v>
      </c>
      <c r="J95" s="24">
        <f t="shared" si="59"/>
        <v>6.0417585059091512E-2</v>
      </c>
      <c r="K95" s="22">
        <f t="shared" si="60"/>
        <v>8.9809923736487371E-2</v>
      </c>
      <c r="L95" s="22">
        <f t="shared" si="61"/>
        <v>6.0417585059091512E-2</v>
      </c>
      <c r="M95" s="228">
        <f t="shared" si="62"/>
        <v>6.0417585059091512E-2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0.67272727272727284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0.57212121212121214</v>
      </c>
      <c r="I97" s="22">
        <f t="shared" si="58"/>
        <v>5.4670620824065272</v>
      </c>
      <c r="J97" s="24">
        <f t="shared" si="59"/>
        <v>5.4670620824065272</v>
      </c>
      <c r="K97" s="22">
        <f t="shared" si="60"/>
        <v>9.5557758855622552</v>
      </c>
      <c r="L97" s="22">
        <f t="shared" si="61"/>
        <v>5.4670620824065272</v>
      </c>
      <c r="M97" s="228">
        <f t="shared" si="62"/>
        <v>5.4670620824065272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1.7578765689541442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1.7578765689541442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</v>
      </c>
      <c r="I100" s="22">
        <f t="shared" si="58"/>
        <v>0</v>
      </c>
      <c r="J100" s="24">
        <f t="shared" si="59"/>
        <v>0</v>
      </c>
      <c r="K100" s="22">
        <f t="shared" si="60"/>
        <v>0.99544160631796974</v>
      </c>
      <c r="L100" s="22">
        <f t="shared" si="61"/>
        <v>0</v>
      </c>
      <c r="M100" s="228">
        <f t="shared" si="62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8.8267138022729785</v>
      </c>
      <c r="J119" s="24">
        <f>SUM(J91:J118)</f>
        <v>8.4297469782121084</v>
      </c>
      <c r="K119" s="22">
        <f>SUM(K91:K118)</f>
        <v>16.297855145365599</v>
      </c>
      <c r="L119" s="22">
        <f>SUM(L91:L118)</f>
        <v>8.4449182089049692</v>
      </c>
      <c r="M119" s="57">
        <f t="shared" si="49"/>
        <v>8.4297469782121084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7.2807015382006997</v>
      </c>
      <c r="J128" s="229">
        <f>(J30)</f>
        <v>0.11762579858793387</v>
      </c>
      <c r="K128" s="22">
        <f>(B128)</f>
        <v>0.66149354420921547</v>
      </c>
      <c r="L128" s="22">
        <f>IF(L124=L119,0,(L119-L124)/(B119-B124)*K128)</f>
        <v>0.31525659616374524</v>
      </c>
      <c r="M128" s="57">
        <f t="shared" si="63"/>
        <v>0.11762579858793387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1.9916783826833386</v>
      </c>
      <c r="K129" s="29">
        <f>(B129)</f>
        <v>7.1381652276242447</v>
      </c>
      <c r="L129" s="60">
        <f>IF(SUM(L124:L128)&gt;L130,0,L130-SUM(L124:L128))</f>
        <v>1.8092188158003886</v>
      </c>
      <c r="M129" s="57">
        <f t="shared" si="63"/>
        <v>1.9916783826833386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8.8267138022729785</v>
      </c>
      <c r="J130" s="229">
        <f>(J119)</f>
        <v>8.4297469782121084</v>
      </c>
      <c r="K130" s="22">
        <f>(B130)</f>
        <v>16.297855145365599</v>
      </c>
      <c r="L130" s="22">
        <f>(L119)</f>
        <v>8.4449182089049692</v>
      </c>
      <c r="M130" s="57">
        <f t="shared" si="63"/>
        <v>8.4297469782121084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2.3775601494396024E-2</v>
      </c>
      <c r="J6" s="24">
        <f t="shared" ref="J6:J13" si="3">IF(I$32&lt;=1+I$131,I6,B6*H6+J$33*(I6-B6*H6))</f>
        <v>2.3775601494396024E-2</v>
      </c>
      <c r="K6" s="22">
        <f t="shared" ref="K6:K31" si="4">B6</f>
        <v>4.7551202988792049E-2</v>
      </c>
      <c r="L6" s="22">
        <f t="shared" ref="L6:L29" si="5">IF(K6="","",K6*H6)</f>
        <v>2.3775601494396024E-2</v>
      </c>
      <c r="M6" s="177">
        <f t="shared" ref="M6:M31" si="6">J6</f>
        <v>2.3775601494396024E-2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9.5102405977584098E-2</v>
      </c>
      <c r="Z6" s="156">
        <f>Poor!Z6</f>
        <v>0.17</v>
      </c>
      <c r="AA6" s="121">
        <f>$M6*Z6*4</f>
        <v>1.6167409016189297E-2</v>
      </c>
      <c r="AB6" s="156">
        <f>Poor!AB6</f>
        <v>0.17</v>
      </c>
      <c r="AC6" s="121">
        <f t="shared" ref="AC6:AC29" si="7">$M6*AB6*4</f>
        <v>1.6167409016189297E-2</v>
      </c>
      <c r="AD6" s="156">
        <f>Poor!AD6</f>
        <v>0.33</v>
      </c>
      <c r="AE6" s="121">
        <f t="shared" ref="AE6:AE29" si="8">$M6*AD6*4</f>
        <v>3.1383793972602755E-2</v>
      </c>
      <c r="AF6" s="122">
        <f>1-SUM(Z6,AB6,AD6)</f>
        <v>0.32999999999999996</v>
      </c>
      <c r="AG6" s="121">
        <f>$M6*AF6*4</f>
        <v>3.1383793972602748E-2</v>
      </c>
      <c r="AH6" s="123">
        <f>SUM(Z6,AB6,AD6,AF6)</f>
        <v>1</v>
      </c>
      <c r="AI6" s="183">
        <f>SUM(AA6,AC6,AE6,AG6)/4</f>
        <v>2.3775601494396024E-2</v>
      </c>
      <c r="AJ6" s="120">
        <f>(AA6+AC6)/2</f>
        <v>1.6167409016189297E-2</v>
      </c>
      <c r="AK6" s="119">
        <f>(AE6+AG6)/2</f>
        <v>3.1383793972602755E-2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1.501616936488169E-2</v>
      </c>
      <c r="J7" s="24">
        <f t="shared" si="3"/>
        <v>1.501616936488169E-2</v>
      </c>
      <c r="K7" s="22">
        <f t="shared" si="4"/>
        <v>3.003233872976338E-2</v>
      </c>
      <c r="L7" s="22">
        <f t="shared" si="5"/>
        <v>1.501616936488169E-2</v>
      </c>
      <c r="M7" s="177">
        <f t="shared" si="6"/>
        <v>1.501616936488169E-2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7284.2618764740837</v>
      </c>
      <c r="T7" s="223">
        <f>IF($B$81=0,0,(SUMIF($N$6:$N$28,$U7,M$6:M$28)+SUMIF($N$91:$N$118,$U7,M$91:M$118))*$I$83*Poor!$B$81/$B$81)</f>
        <v>7092.3059196963713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6.0064677459526761E-2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6.0064677459526761E-2</v>
      </c>
      <c r="AH7" s="123">
        <f t="shared" ref="AH7:AH30" si="12">SUM(Z7,AB7,AD7,AF7)</f>
        <v>1</v>
      </c>
      <c r="AI7" s="183">
        <f t="shared" ref="AI7:AI30" si="13">SUM(AA7,AC7,AE7,AG7)/4</f>
        <v>1.501616936488169E-2</v>
      </c>
      <c r="AJ7" s="120">
        <f t="shared" ref="AJ7:AJ31" si="14">(AA7+AC7)/2</f>
        <v>0</v>
      </c>
      <c r="AK7" s="119">
        <f t="shared" ref="AK7:AK31" si="15">(AE7+AG7)/2</f>
        <v>3.003233872976338E-2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6.0123334371108353E-2</v>
      </c>
      <c r="J8" s="24">
        <f t="shared" si="3"/>
        <v>6.0123334371108353E-2</v>
      </c>
      <c r="K8" s="22">
        <f t="shared" si="4"/>
        <v>0.12024666874221671</v>
      </c>
      <c r="L8" s="22">
        <f t="shared" si="5"/>
        <v>6.0123334371108353E-2</v>
      </c>
      <c r="M8" s="225">
        <f t="shared" si="6"/>
        <v>6.0123334371108353E-2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6592.3200000000015</v>
      </c>
      <c r="T8" s="223">
        <f>IF($B$81=0,0,(SUMIF($N$6:$N$28,$U8,M$6:M$28)+SUMIF($N$91:$N$118,$U8,M$91:M$118))*$I$83*Poor!$B$81/$B$81)</f>
        <v>6685.0623216527983</v>
      </c>
      <c r="U8" s="224">
        <v>2</v>
      </c>
      <c r="V8" s="56"/>
      <c r="W8" s="115"/>
      <c r="X8" s="118">
        <f>Poor!X8</f>
        <v>1</v>
      </c>
      <c r="Y8" s="183">
        <f t="shared" si="9"/>
        <v>0.24049333748443341</v>
      </c>
      <c r="Z8" s="125">
        <f>IF($Y8=0,0,AA8/$Y8)</f>
        <v>0.20377054877980252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4.9005459357089248E-2</v>
      </c>
      <c r="AB8" s="125">
        <f>IF($Y8=0,0,AC8/$Y8)</f>
        <v>0.45972010757281884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0.11055962297888995</v>
      </c>
      <c r="AD8" s="125">
        <f>IF($Y8=0,0,AE8/$Y8)</f>
        <v>0.19223556526089539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4.6231372672799337E-2</v>
      </c>
      <c r="AF8" s="122">
        <f t="shared" si="10"/>
        <v>0.14427377838648325</v>
      </c>
      <c r="AG8" s="121">
        <f t="shared" si="11"/>
        <v>3.4696882475654875E-2</v>
      </c>
      <c r="AH8" s="123">
        <f t="shared" si="12"/>
        <v>1</v>
      </c>
      <c r="AI8" s="183">
        <f t="shared" si="13"/>
        <v>6.0123334371108353E-2</v>
      </c>
      <c r="AJ8" s="120">
        <f t="shared" si="14"/>
        <v>7.9782541167989607E-2</v>
      </c>
      <c r="AK8" s="119">
        <f t="shared" si="15"/>
        <v>4.0464127574227106E-2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1.1140214498630137</v>
      </c>
      <c r="J9" s="24">
        <f t="shared" si="3"/>
        <v>0.10984921173106557</v>
      </c>
      <c r="K9" s="22">
        <f t="shared" si="4"/>
        <v>0.11355978082191778</v>
      </c>
      <c r="L9" s="22">
        <f t="shared" si="5"/>
        <v>0.12378016109589039</v>
      </c>
      <c r="M9" s="225">
        <f t="shared" si="6"/>
        <v>0.10984921173106557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1362.9612144172429</v>
      </c>
      <c r="T9" s="223">
        <f>IF($B$81=0,0,(SUMIF($N$6:$N$28,$U9,M$6:M$28)+SUMIF($N$91:$N$118,$U9,M$91:M$118))*$I$83*Poor!$B$81/$B$81)</f>
        <v>1362.9612144172429</v>
      </c>
      <c r="U9" s="224">
        <v>3</v>
      </c>
      <c r="V9" s="56"/>
      <c r="W9" s="115"/>
      <c r="X9" s="118">
        <f>Poor!X9</f>
        <v>1</v>
      </c>
      <c r="Y9" s="183">
        <f t="shared" si="9"/>
        <v>0.43939684692426229</v>
      </c>
      <c r="Z9" s="125">
        <f>IF($Y9=0,0,AA9/$Y9)</f>
        <v>0.20377054877980252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8.953613662987181E-2</v>
      </c>
      <c r="AB9" s="125">
        <f>IF($Y9=0,0,AC9/$Y9)</f>
        <v>0.45972010757281884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0.20199956573517927</v>
      </c>
      <c r="AD9" s="125">
        <f>IF($Y9=0,0,AE9/$Y9)</f>
        <v>0.19223556526089541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8.4467701242340695E-2</v>
      </c>
      <c r="AF9" s="122">
        <f t="shared" si="10"/>
        <v>0.14427377838648314</v>
      </c>
      <c r="AG9" s="121">
        <f t="shared" si="11"/>
        <v>6.3393443316870468E-2</v>
      </c>
      <c r="AH9" s="123">
        <f t="shared" si="12"/>
        <v>1</v>
      </c>
      <c r="AI9" s="183">
        <f t="shared" si="13"/>
        <v>0.10984921173106557</v>
      </c>
      <c r="AJ9" s="120">
        <f t="shared" si="14"/>
        <v>0.14576785118252555</v>
      </c>
      <c r="AK9" s="119">
        <f t="shared" si="15"/>
        <v>7.3930572279605589E-2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4.0350741220423411E-2</v>
      </c>
      <c r="J10" s="24">
        <f t="shared" si="3"/>
        <v>4.0350741220423411E-2</v>
      </c>
      <c r="K10" s="22">
        <f t="shared" si="4"/>
        <v>3.7019028642590282E-2</v>
      </c>
      <c r="L10" s="22">
        <f t="shared" si="5"/>
        <v>4.0350741220423411E-2</v>
      </c>
      <c r="M10" s="225">
        <f t="shared" si="6"/>
        <v>4.0350741220423411E-2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0.16140296488169364</v>
      </c>
      <c r="Z10" s="125">
        <f>IF($Y10=0,0,AA10/$Y10)</f>
        <v>0.20377054877980252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3.2889170728629909E-2</v>
      </c>
      <c r="AB10" s="125">
        <f>IF($Y10=0,0,AC10/$Y10)</f>
        <v>0.45972010757281889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7.4200188377984116E-2</v>
      </c>
      <c r="AD10" s="125">
        <f>IF($Y10=0,0,AE10/$Y10)</f>
        <v>0.19223556526089541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3.1027390188816829E-2</v>
      </c>
      <c r="AF10" s="122">
        <f t="shared" si="10"/>
        <v>0.14427377838648314</v>
      </c>
      <c r="AG10" s="121">
        <f t="shared" si="11"/>
        <v>2.3286215586262791E-2</v>
      </c>
      <c r="AH10" s="123">
        <f t="shared" si="12"/>
        <v>1</v>
      </c>
      <c r="AI10" s="183">
        <f t="shared" si="13"/>
        <v>4.0350741220423411E-2</v>
      </c>
      <c r="AJ10" s="120">
        <f t="shared" si="14"/>
        <v>5.3544679553307009E-2</v>
      </c>
      <c r="AK10" s="119">
        <f t="shared" si="15"/>
        <v>2.715680288753981E-2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1</v>
      </c>
      <c r="H11" s="24">
        <f t="shared" si="1"/>
        <v>1</v>
      </c>
      <c r="I11" s="22">
        <f t="shared" si="2"/>
        <v>0.14181937733499375</v>
      </c>
      <c r="J11" s="24">
        <f t="shared" si="3"/>
        <v>0.14181937733499375</v>
      </c>
      <c r="K11" s="22">
        <f t="shared" si="4"/>
        <v>0.14181937733499375</v>
      </c>
      <c r="L11" s="22">
        <f t="shared" si="5"/>
        <v>0.14181937733499375</v>
      </c>
      <c r="M11" s="225">
        <f t="shared" si="6"/>
        <v>0.14181937733499375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19937.28</v>
      </c>
      <c r="T11" s="223">
        <f>IF($B$81=0,0,(SUMIF($N$6:$N$28,$U11,M$6:M$28)+SUMIF($N$91:$N$118,$U11,M$91:M$118))*$I$83*Poor!$B$81/$B$81)</f>
        <v>19918.156201039696</v>
      </c>
      <c r="U11" s="224">
        <v>5</v>
      </c>
      <c r="V11" s="56"/>
      <c r="W11" s="115"/>
      <c r="X11" s="118">
        <f>Poor!X11</f>
        <v>1</v>
      </c>
      <c r="Y11" s="183">
        <f t="shared" si="9"/>
        <v>0.56727750933997501</v>
      </c>
      <c r="Z11" s="125">
        <f>IF($Y11=0,0,AA11/$Y11)</f>
        <v>0.20377054877980252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0.11559444938864626</v>
      </c>
      <c r="AB11" s="125">
        <f>IF($Y11=0,0,AC11/$Y11)</f>
        <v>0.45972010757281889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0.26078887761741409</v>
      </c>
      <c r="AD11" s="125">
        <f>IF($Y11=0,0,AE11/$Y11)</f>
        <v>0.19223556526089539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0.10905091266776296</v>
      </c>
      <c r="AF11" s="122">
        <f t="shared" si="10"/>
        <v>0.14427377838648325</v>
      </c>
      <c r="AG11" s="121">
        <f t="shared" si="11"/>
        <v>8.1843269666151741E-2</v>
      </c>
      <c r="AH11" s="123">
        <f t="shared" si="12"/>
        <v>1</v>
      </c>
      <c r="AI11" s="183">
        <f t="shared" si="13"/>
        <v>0.14181937733499378</v>
      </c>
      <c r="AJ11" s="120">
        <f t="shared" si="14"/>
        <v>0.18819166350303018</v>
      </c>
      <c r="AK11" s="119">
        <f t="shared" si="15"/>
        <v>9.5447091166957349E-2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1</v>
      </c>
      <c r="H12" s="24">
        <f t="shared" si="1"/>
        <v>1</v>
      </c>
      <c r="I12" s="22">
        <f t="shared" si="2"/>
        <v>0.13256462017434623</v>
      </c>
      <c r="J12" s="24">
        <f t="shared" si="3"/>
        <v>0.13256462017434623</v>
      </c>
      <c r="K12" s="22">
        <f t="shared" si="4"/>
        <v>0.13256462017434623</v>
      </c>
      <c r="L12" s="22">
        <f t="shared" si="5"/>
        <v>0.13256462017434623</v>
      </c>
      <c r="M12" s="225">
        <f t="shared" si="6"/>
        <v>0.13256462017434623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0.5302584806973849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0.35527318206724789</v>
      </c>
      <c r="AF12" s="122">
        <f>1-SUM(Z12,AB12,AD12)</f>
        <v>0.32999999999999996</v>
      </c>
      <c r="AG12" s="121">
        <f>$M12*AF12*4</f>
        <v>0.17498529863013701</v>
      </c>
      <c r="AH12" s="123">
        <f t="shared" si="12"/>
        <v>1</v>
      </c>
      <c r="AI12" s="183">
        <f t="shared" si="13"/>
        <v>0.13256462017434623</v>
      </c>
      <c r="AJ12" s="120">
        <f t="shared" si="14"/>
        <v>0</v>
      </c>
      <c r="AK12" s="119">
        <f t="shared" si="15"/>
        <v>0.26512924034869245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1</v>
      </c>
      <c r="H13" s="24">
        <f t="shared" si="1"/>
        <v>1</v>
      </c>
      <c r="I13" s="22">
        <f t="shared" si="2"/>
        <v>9.0130759651307596E-2</v>
      </c>
      <c r="J13" s="24">
        <f t="shared" si="3"/>
        <v>9.0130759651307596E-2</v>
      </c>
      <c r="K13" s="22">
        <f t="shared" si="4"/>
        <v>9.0130759651307596E-2</v>
      </c>
      <c r="L13" s="22">
        <f t="shared" si="5"/>
        <v>9.0130759651307596E-2</v>
      </c>
      <c r="M13" s="226">
        <f t="shared" si="6"/>
        <v>9.0130759651307596E-2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299059.20000000001</v>
      </c>
      <c r="T13" s="223">
        <f>IF($B$81=0,0,(SUMIF($N$6:$N$28,$U13,M$6:M$28)+SUMIF($N$91:$N$118,$U13,M$91:M$118))*$I$83*Poor!$B$81/$B$81)</f>
        <v>299059.20000000001</v>
      </c>
      <c r="U13" s="224">
        <v>7</v>
      </c>
      <c r="V13" s="56"/>
      <c r="W13" s="110"/>
      <c r="X13" s="118"/>
      <c r="Y13" s="183">
        <f t="shared" si="9"/>
        <v>0.36052303860523038</v>
      </c>
      <c r="Z13" s="156">
        <f>Poor!Z13</f>
        <v>1</v>
      </c>
      <c r="AA13" s="121">
        <f>$M13*Z13*4</f>
        <v>0.36052303860523038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9.0130759651307596E-2</v>
      </c>
      <c r="AJ13" s="120">
        <f t="shared" si="14"/>
        <v>0.18026151930261519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0</v>
      </c>
      <c r="T17" s="223">
        <f>IF($B$81=0,0,(SUMIF($N$6:$N$28,$U17,M$6:M$28)+SUMIF($N$91:$N$118,$U17,M$91:M$118))*$I$83*Poor!$B$81/$B$81)</f>
        <v>0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387251.06309089129</v>
      </c>
      <c r="T23" s="179">
        <f>SUM(T7:T22)</f>
        <v>387132.72565680608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3.1406554570432075E-3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3.1406554570432075E-3</v>
      </c>
      <c r="N28" s="230"/>
      <c r="O28" s="2"/>
      <c r="P28" s="22"/>
      <c r="U28" s="56"/>
      <c r="V28" s="56"/>
      <c r="W28" s="110"/>
      <c r="X28" s="118"/>
      <c r="Y28" s="183">
        <f t="shared" si="9"/>
        <v>1.256262182817283E-2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6.2813109140864151E-3</v>
      </c>
      <c r="AF28" s="122">
        <f t="shared" si="10"/>
        <v>0.5</v>
      </c>
      <c r="AG28" s="121">
        <f t="shared" si="11"/>
        <v>6.2813109140864151E-3</v>
      </c>
      <c r="AH28" s="123">
        <f t="shared" si="12"/>
        <v>1</v>
      </c>
      <c r="AI28" s="183">
        <f t="shared" si="13"/>
        <v>3.1406554570432075E-3</v>
      </c>
      <c r="AJ28" s="120">
        <f t="shared" si="14"/>
        <v>0</v>
      </c>
      <c r="AK28" s="119">
        <f t="shared" si="15"/>
        <v>6.2813109140864151E-3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0.33628433627434312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0.33628433627434312</v>
      </c>
      <c r="N29" s="230"/>
      <c r="P29" s="22"/>
      <c r="V29" s="56"/>
      <c r="W29" s="110"/>
      <c r="X29" s="118"/>
      <c r="Y29" s="183">
        <f t="shared" si="9"/>
        <v>1.3451373450973725</v>
      </c>
      <c r="Z29" s="156">
        <f>Poor!Z29</f>
        <v>0.25</v>
      </c>
      <c r="AA29" s="121">
        <f t="shared" si="16"/>
        <v>0.33628433627434312</v>
      </c>
      <c r="AB29" s="156">
        <f>Poor!AB29</f>
        <v>0.25</v>
      </c>
      <c r="AC29" s="121">
        <f t="shared" si="7"/>
        <v>0.33628433627434312</v>
      </c>
      <c r="AD29" s="156">
        <f>Poor!AD29</f>
        <v>0.25</v>
      </c>
      <c r="AE29" s="121">
        <f t="shared" si="8"/>
        <v>0.33628433627434312</v>
      </c>
      <c r="AF29" s="122">
        <f t="shared" si="10"/>
        <v>0.25</v>
      </c>
      <c r="AG29" s="121">
        <f t="shared" si="11"/>
        <v>0.33628433627434312</v>
      </c>
      <c r="AH29" s="123">
        <f t="shared" si="12"/>
        <v>1</v>
      </c>
      <c r="AI29" s="183">
        <f t="shared" si="13"/>
        <v>0.33628433627434312</v>
      </c>
      <c r="AJ29" s="120">
        <f t="shared" si="14"/>
        <v>0.33628433627434312</v>
      </c>
      <c r="AK29" s="119">
        <f t="shared" si="15"/>
        <v>0.33628433627434312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25.516746257220269</v>
      </c>
      <c r="J30" s="232">
        <f>IF(I$32&lt;=1,I30,1-SUM(J6:J29))</f>
        <v>4.6945192926091117E-2</v>
      </c>
      <c r="K30" s="22">
        <f t="shared" si="4"/>
        <v>0.59689273225404738</v>
      </c>
      <c r="L30" s="22">
        <f>IF(L124=L119,0,IF(K30="",0,(L119-L124)/(B119-B124)*K30))</f>
        <v>0.32860746023836745</v>
      </c>
      <c r="M30" s="175">
        <f t="shared" si="6"/>
        <v>4.6945192926091117E-2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0.18778077170436447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1.1824672084882611E-15</v>
      </c>
      <c r="AC30" s="187">
        <f>IF(AC79*4/$I$83+SUM(AC6:AC29)&lt;1,AC79*4/$I$83,1-SUM(AC6:AC29))</f>
        <v>2.2204460492503131E-16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0.99999999999999822</v>
      </c>
      <c r="AG30" s="187">
        <f>IF(AG79*4/$I$83+SUM(AG6:AG29)&lt;1,AG79*4/$I$83,1-SUM(AG6:AG29))</f>
        <v>0.18778077170436414</v>
      </c>
      <c r="AH30" s="123">
        <f t="shared" si="12"/>
        <v>0.99999999999999944</v>
      </c>
      <c r="AI30" s="183">
        <f t="shared" si="13"/>
        <v>4.6945192926091089E-2</v>
      </c>
      <c r="AJ30" s="120">
        <f t="shared" si="14"/>
        <v>1.1102230246251565E-16</v>
      </c>
      <c r="AK30" s="119">
        <f t="shared" si="15"/>
        <v>9.3890385852182068E-2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-0.29400075196937614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27.359185084636739</v>
      </c>
      <c r="J32" s="17"/>
      <c r="L32" s="22">
        <f>SUM(L6:L30)</f>
        <v>1.2940007519693761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-1.4068237229503146E-2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11328</v>
      </c>
      <c r="J37" s="38">
        <f>J91*I$83</f>
        <v>11327.999999999998</v>
      </c>
      <c r="K37" s="40">
        <f t="shared" ref="K37:K52" si="28">(B37/B$65)</f>
        <v>3.5261666208517783E-2</v>
      </c>
      <c r="L37" s="22">
        <f t="shared" ref="L37:L52" si="29">(K37*H37)</f>
        <v>3.3287012900840789E-2</v>
      </c>
      <c r="M37" s="24">
        <f t="shared" ref="M37:M52" si="30">J37/B$65</f>
        <v>3.3287012900840782E-2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11327.999999999998</v>
      </c>
      <c r="AH37" s="123">
        <f>SUM(Z37,AB37,AD37,AF37)</f>
        <v>1</v>
      </c>
      <c r="AI37" s="112">
        <f>SUM(AA37,AC37,AE37,AG37)</f>
        <v>11327.999999999998</v>
      </c>
      <c r="AJ37" s="148">
        <f>(AA37+AC37)</f>
        <v>0</v>
      </c>
      <c r="AK37" s="147">
        <f>(AE37+AG37)</f>
        <v>11327.999999999998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4153.5999999999995</v>
      </c>
      <c r="J38" s="38">
        <f t="shared" ref="J38:J64" si="33">J92*I$83</f>
        <v>3004.8635008664182</v>
      </c>
      <c r="K38" s="40">
        <f t="shared" si="28"/>
        <v>9.4031109889380748E-3</v>
      </c>
      <c r="L38" s="22">
        <f t="shared" si="29"/>
        <v>8.8765367735575418E-3</v>
      </c>
      <c r="M38" s="24">
        <f t="shared" si="30"/>
        <v>8.8297078141424852E-3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3004.8635008664182</v>
      </c>
      <c r="AH38" s="123">
        <f t="shared" ref="AH38:AI58" si="35">SUM(Z38,AB38,AD38,AF38)</f>
        <v>1</v>
      </c>
      <c r="AI38" s="112">
        <f t="shared" si="35"/>
        <v>3004.8635008664182</v>
      </c>
      <c r="AJ38" s="148">
        <f t="shared" ref="AJ38:AJ64" si="36">(AA38+AC38)</f>
        <v>0</v>
      </c>
      <c r="AK38" s="147">
        <f t="shared" ref="AK38:AK64" si="37">(AE38+AG38)</f>
        <v>3004.8635008664182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2265.6</v>
      </c>
      <c r="J39" s="38">
        <f t="shared" si="33"/>
        <v>2265.6</v>
      </c>
      <c r="K39" s="40">
        <f t="shared" si="28"/>
        <v>7.0523332417035565E-3</v>
      </c>
      <c r="L39" s="22">
        <f t="shared" si="29"/>
        <v>6.6574025801681572E-3</v>
      </c>
      <c r="M39" s="24">
        <f t="shared" si="30"/>
        <v>6.6574025801681563E-3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0.20377054877980252</v>
      </c>
      <c r="AA39" s="147">
        <f>$J39*Z39</f>
        <v>461.66255531552059</v>
      </c>
      <c r="AB39" s="122">
        <f>AB8</f>
        <v>0.45972010757281884</v>
      </c>
      <c r="AC39" s="147">
        <f>$J39*AB39</f>
        <v>1041.5418757169782</v>
      </c>
      <c r="AD39" s="122">
        <f>AD8</f>
        <v>0.19223556526089539</v>
      </c>
      <c r="AE39" s="147">
        <f>$J39*AD39</f>
        <v>435.52889665508457</v>
      </c>
      <c r="AF39" s="122">
        <f t="shared" si="31"/>
        <v>0.14427377838648325</v>
      </c>
      <c r="AG39" s="147">
        <f t="shared" si="34"/>
        <v>326.86667231241643</v>
      </c>
      <c r="AH39" s="123">
        <f t="shared" si="35"/>
        <v>1</v>
      </c>
      <c r="AI39" s="112">
        <f t="shared" si="35"/>
        <v>2265.6</v>
      </c>
      <c r="AJ39" s="148">
        <f t="shared" si="36"/>
        <v>1503.2044310324989</v>
      </c>
      <c r="AK39" s="147">
        <f t="shared" si="37"/>
        <v>762.39556896750105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5570.8852680439986</v>
      </c>
      <c r="K40" s="40">
        <f t="shared" si="28"/>
        <v>1.0578499862555334E-2</v>
      </c>
      <c r="L40" s="22">
        <f t="shared" si="29"/>
        <v>1.6142790790259442E-2</v>
      </c>
      <c r="M40" s="24">
        <f t="shared" si="30"/>
        <v>1.6369891400643048E-2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0.20377054877980252</v>
      </c>
      <c r="AA40" s="147">
        <f>$J40*Z40</f>
        <v>1135.1823482586428</v>
      </c>
      <c r="AB40" s="122">
        <f>AB9</f>
        <v>0.45972010757281884</v>
      </c>
      <c r="AC40" s="147">
        <f>$J40*AB40</f>
        <v>2561.0479747010186</v>
      </c>
      <c r="AD40" s="122">
        <f>AD9</f>
        <v>0.19223556526089541</v>
      </c>
      <c r="AE40" s="147">
        <f>$J40*AD40</f>
        <v>1070.9222785060329</v>
      </c>
      <c r="AF40" s="122">
        <f t="shared" si="31"/>
        <v>0.14427377838648314</v>
      </c>
      <c r="AG40" s="147">
        <f t="shared" si="34"/>
        <v>803.73266657830357</v>
      </c>
      <c r="AH40" s="123">
        <f t="shared" si="35"/>
        <v>1</v>
      </c>
      <c r="AI40" s="112">
        <f t="shared" si="35"/>
        <v>5570.8852680439977</v>
      </c>
      <c r="AJ40" s="148">
        <f t="shared" si="36"/>
        <v>3696.2303229596614</v>
      </c>
      <c r="AK40" s="147">
        <f t="shared" si="37"/>
        <v>1874.6549450843363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1.1100000000000001</v>
      </c>
      <c r="G41" s="22">
        <f t="shared" si="32"/>
        <v>1.65</v>
      </c>
      <c r="H41" s="24">
        <f t="shared" si="26"/>
        <v>1.1100000000000001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0.20377054877980252</v>
      </c>
      <c r="AA41" s="147">
        <f>$J41*Z41</f>
        <v>0</v>
      </c>
      <c r="AB41" s="122">
        <f>AB11</f>
        <v>0.45972010757281889</v>
      </c>
      <c r="AC41" s="147">
        <f>$J41*AB41</f>
        <v>0</v>
      </c>
      <c r="AD41" s="122">
        <f>AD11</f>
        <v>0.19223556526089539</v>
      </c>
      <c r="AE41" s="147">
        <f>$J41*AD41</f>
        <v>0</v>
      </c>
      <c r="AF41" s="122">
        <f t="shared" si="31"/>
        <v>0.14427377838648325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1.1100000000000001</v>
      </c>
      <c r="G42" s="22">
        <f t="shared" si="32"/>
        <v>1.65</v>
      </c>
      <c r="H42" s="24">
        <f t="shared" si="26"/>
        <v>1.1100000000000001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0.8</v>
      </c>
      <c r="F43" s="75">
        <f>Middle!F43</f>
        <v>1.18</v>
      </c>
      <c r="G43" s="22">
        <f t="shared" si="32"/>
        <v>1.65</v>
      </c>
      <c r="H43" s="24">
        <f t="shared" si="26"/>
        <v>0.94399999999999995</v>
      </c>
      <c r="I43" s="39">
        <f t="shared" si="27"/>
        <v>249216</v>
      </c>
      <c r="J43" s="38">
        <f t="shared" si="33"/>
        <v>249216</v>
      </c>
      <c r="K43" s="40">
        <f t="shared" si="28"/>
        <v>0.77575665658739112</v>
      </c>
      <c r="L43" s="22">
        <f t="shared" si="29"/>
        <v>0.73231428381849717</v>
      </c>
      <c r="M43" s="24">
        <f t="shared" si="30"/>
        <v>0.73231428381849728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62304</v>
      </c>
      <c r="AB43" s="156">
        <f>Poor!AB43</f>
        <v>0.25</v>
      </c>
      <c r="AC43" s="147">
        <f t="shared" si="39"/>
        <v>62304</v>
      </c>
      <c r="AD43" s="156">
        <f>Poor!AD43</f>
        <v>0.25</v>
      </c>
      <c r="AE43" s="147">
        <f t="shared" si="40"/>
        <v>62304</v>
      </c>
      <c r="AF43" s="122">
        <f t="shared" si="31"/>
        <v>0.25</v>
      </c>
      <c r="AG43" s="147">
        <f t="shared" si="34"/>
        <v>62304</v>
      </c>
      <c r="AH43" s="123">
        <f t="shared" si="35"/>
        <v>1</v>
      </c>
      <c r="AI43" s="112">
        <f t="shared" si="35"/>
        <v>249216</v>
      </c>
      <c r="AJ43" s="148">
        <f t="shared" si="36"/>
        <v>124608</v>
      </c>
      <c r="AK43" s="147">
        <f t="shared" si="37"/>
        <v>124608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0</v>
      </c>
      <c r="F46" s="75">
        <f>Middle!F46</f>
        <v>1.18</v>
      </c>
      <c r="G46" s="22">
        <f t="shared" si="32"/>
        <v>1.65</v>
      </c>
      <c r="H46" s="24">
        <f t="shared" si="26"/>
        <v>0</v>
      </c>
      <c r="I46" s="39">
        <f t="shared" si="27"/>
        <v>0</v>
      </c>
      <c r="J46" s="38">
        <f t="shared" si="33"/>
        <v>0</v>
      </c>
      <c r="K46" s="40">
        <f t="shared" si="28"/>
        <v>2.4427234897674819E-2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311142.40000000002</v>
      </c>
      <c r="J65" s="39">
        <f>SUM(J37:J64)</f>
        <v>315564.5487689104</v>
      </c>
      <c r="K65" s="40">
        <f>SUM(K37:K64)</f>
        <v>1</v>
      </c>
      <c r="L65" s="22">
        <f>SUM(L37:L64)</f>
        <v>0.92709737717660212</v>
      </c>
      <c r="M65" s="24">
        <f>SUM(M37:M64)</f>
        <v>0.9272776488275708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74945.644903574168</v>
      </c>
      <c r="AB65" s="137"/>
      <c r="AC65" s="153">
        <f>SUM(AC37:AC64)</f>
        <v>76951.389850417996</v>
      </c>
      <c r="AD65" s="137"/>
      <c r="AE65" s="153">
        <f>SUM(AE37:AE64)</f>
        <v>74855.251175161116</v>
      </c>
      <c r="AF65" s="137"/>
      <c r="AG65" s="153">
        <f>SUM(AG37:AG64)</f>
        <v>88812.262839757139</v>
      </c>
      <c r="AH65" s="137"/>
      <c r="AI65" s="153">
        <f>SUM(AI37:AI64)</f>
        <v>315564.5487689104</v>
      </c>
      <c r="AJ65" s="153">
        <f>SUM(AJ37:AJ64)</f>
        <v>151897.03475399216</v>
      </c>
      <c r="AK65" s="153">
        <f>SUM(AK37:AK64)</f>
        <v>163667.51401491827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292998.18419807515</v>
      </c>
      <c r="J74" s="51">
        <f>J128*I$83</f>
        <v>539.05212465248849</v>
      </c>
      <c r="K74" s="40">
        <f>B74/B$76</f>
        <v>1.2206005595024303E-2</v>
      </c>
      <c r="L74" s="22">
        <f>(L128*G$37*F$9/F$7)/B$130</f>
        <v>1.1087627750295695E-2</v>
      </c>
      <c r="M74" s="24">
        <f>J74/B$76</f>
        <v>1.5839896740406972E-3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6.3741146106749417E-13</v>
      </c>
      <c r="AD74" s="156"/>
      <c r="AE74" s="147">
        <f>AE30*$I$83/4</f>
        <v>0</v>
      </c>
      <c r="AF74" s="156"/>
      <c r="AG74" s="147">
        <f>AG30*$I$83/4</f>
        <v>539.05212465248746</v>
      </c>
      <c r="AH74" s="155"/>
      <c r="AI74" s="147">
        <f>SUM(AA74,AC74,AE74,AG74)</f>
        <v>539.05212465248815</v>
      </c>
      <c r="AJ74" s="148">
        <f>(AA74+AC74)</f>
        <v>6.3741146106749417E-13</v>
      </c>
      <c r="AK74" s="147">
        <f>(AE74+AG74)</f>
        <v>539.05212465248746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205600.41417566637</v>
      </c>
      <c r="K75" s="40">
        <f>B75/B$76</f>
        <v>0.72240052870094063</v>
      </c>
      <c r="L75" s="22">
        <f>(L129*G$37*F$9/F$7)/B$130</f>
        <v>0.59446718835572254</v>
      </c>
      <c r="M75" s="24">
        <f>J75/B$76</f>
        <v>0.6041510980829462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70409.590953092949</v>
      </c>
      <c r="AB75" s="158"/>
      <c r="AC75" s="149">
        <f>AA75+AC65-SUM(AC70,AC74)</f>
        <v>142824.92685302973</v>
      </c>
      <c r="AD75" s="158"/>
      <c r="AE75" s="149">
        <f>AC75+AE65-SUM(AE70,AE74)</f>
        <v>213144.12407770965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296881.28084233304</v>
      </c>
      <c r="AJ75" s="151">
        <f>AJ76-SUM(AJ70,AJ74)</f>
        <v>142824.92685302973</v>
      </c>
      <c r="AK75" s="149">
        <f>AJ75+AK76-SUM(AK70,AK74)</f>
        <v>296881.2808423331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311142.39999999997</v>
      </c>
      <c r="J76" s="51">
        <f>J130*I$83</f>
        <v>315564.5487689104</v>
      </c>
      <c r="K76" s="40">
        <f>SUM(K70:K75)</f>
        <v>0.92043596816339179</v>
      </c>
      <c r="L76" s="22">
        <f>SUM(L70:L75)</f>
        <v>0.83321181960940416</v>
      </c>
      <c r="M76" s="24">
        <f>SUM(M70:M75)</f>
        <v>0.83339209126037284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74945.644903574168</v>
      </c>
      <c r="AB76" s="137"/>
      <c r="AC76" s="153">
        <f>AC65</f>
        <v>76951.389850417996</v>
      </c>
      <c r="AD76" s="137"/>
      <c r="AE76" s="153">
        <f>AE65</f>
        <v>74855.251175161116</v>
      </c>
      <c r="AF76" s="137"/>
      <c r="AG76" s="153">
        <f>AG65</f>
        <v>88812.262839757139</v>
      </c>
      <c r="AH76" s="137"/>
      <c r="AI76" s="153">
        <f>SUM(AA76,AC76,AE76,AG76)</f>
        <v>315564.5487689104</v>
      </c>
      <c r="AJ76" s="154">
        <f>SUM(AA76,AC76)</f>
        <v>151897.03475399216</v>
      </c>
      <c r="AK76" s="154">
        <f>SUM(AE76,AG76)</f>
        <v>163667.51401491824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70409.590953092949</v>
      </c>
      <c r="AD78" s="112"/>
      <c r="AE78" s="112">
        <f>AC75</f>
        <v>142824.92685302973</v>
      </c>
      <c r="AF78" s="112"/>
      <c r="AG78" s="112">
        <f>AE75</f>
        <v>213144.12407770965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70409.590953092949</v>
      </c>
      <c r="AB79" s="112"/>
      <c r="AC79" s="112">
        <f>AA79-AA74+AC65-AC70</f>
        <v>142824.92685302973</v>
      </c>
      <c r="AD79" s="112"/>
      <c r="AE79" s="112">
        <f>AC79-AC74+AE65-AE70</f>
        <v>213144.12407770965</v>
      </c>
      <c r="AF79" s="112"/>
      <c r="AG79" s="112">
        <f>AE79-AE74+AG65-AG70</f>
        <v>297420.33296698553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0.57212121212121214</v>
      </c>
      <c r="I91" s="22">
        <f t="shared" ref="I91" si="52">(D91*H91)</f>
        <v>0.98653751862974903</v>
      </c>
      <c r="J91" s="24">
        <f>IF(I$32&lt;=1+I$131,I91,L91+J$33*(I91-L91))</f>
        <v>0.98653751862974903</v>
      </c>
      <c r="K91" s="22">
        <f t="shared" ref="K91" si="53">(B91)</f>
        <v>1.7243505357405571</v>
      </c>
      <c r="L91" s="22">
        <f t="shared" ref="L91" si="54">(K91*H91)</f>
        <v>0.98653751862974903</v>
      </c>
      <c r="M91" s="228">
        <f t="shared" si="50"/>
        <v>0.98653751862974903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0.57212121212121214</v>
      </c>
      <c r="I92" s="22">
        <f t="shared" ref="I92:I118" si="59">(D92*H92)</f>
        <v>0.36173042349757467</v>
      </c>
      <c r="J92" s="24">
        <f t="shared" ref="J92:J118" si="60">IF(I$32&lt;=1+I$131,I92,L92+J$33*(I92-L92))</f>
        <v>0.26168878724981087</v>
      </c>
      <c r="K92" s="22">
        <f t="shared" ref="K92:K118" si="61">(B92)</f>
        <v>0.45982680953081523</v>
      </c>
      <c r="L92" s="22">
        <f t="shared" ref="L92:L118" si="62">(K92*H92)</f>
        <v>0.26307667163459975</v>
      </c>
      <c r="M92" s="228">
        <f t="shared" ref="M92:M118" si="63">(J92)</f>
        <v>0.26168878724981087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0.57212121212121214</v>
      </c>
      <c r="I93" s="22">
        <f t="shared" si="59"/>
        <v>0.19730750372594982</v>
      </c>
      <c r="J93" s="24">
        <f t="shared" si="60"/>
        <v>0.19730750372594982</v>
      </c>
      <c r="K93" s="22">
        <f t="shared" si="61"/>
        <v>0.34487010714811145</v>
      </c>
      <c r="L93" s="22">
        <f t="shared" si="62"/>
        <v>0.19730750372594982</v>
      </c>
      <c r="M93" s="228">
        <f t="shared" si="63"/>
        <v>0.19730750372594982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0.48515954527782057</v>
      </c>
      <c r="K94" s="22">
        <f t="shared" si="61"/>
        <v>0.51730516072216715</v>
      </c>
      <c r="L94" s="22">
        <f t="shared" si="62"/>
        <v>0.47842889409819828</v>
      </c>
      <c r="M94" s="228">
        <f t="shared" si="63"/>
        <v>0.48515954527782057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0.67272727272727284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0.67272727272727284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0.57212121212121214</v>
      </c>
      <c r="I97" s="22">
        <f t="shared" si="59"/>
        <v>21.703825409854481</v>
      </c>
      <c r="J97" s="24">
        <f t="shared" si="60"/>
        <v>21.703825409854481</v>
      </c>
      <c r="K97" s="22">
        <f t="shared" si="61"/>
        <v>37.935711786292259</v>
      </c>
      <c r="L97" s="22">
        <f t="shared" si="62"/>
        <v>21.703825409854481</v>
      </c>
      <c r="M97" s="228">
        <f t="shared" si="63"/>
        <v>21.703825409854481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</v>
      </c>
      <c r="I100" s="22">
        <f t="shared" si="59"/>
        <v>0</v>
      </c>
      <c r="J100" s="24">
        <f t="shared" si="60"/>
        <v>0</v>
      </c>
      <c r="K100" s="22">
        <f t="shared" si="61"/>
        <v>1.1945299275815635</v>
      </c>
      <c r="L100" s="22">
        <f t="shared" si="62"/>
        <v>0</v>
      </c>
      <c r="M100" s="228">
        <f t="shared" si="63"/>
        <v>0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27.096897178363776</v>
      </c>
      <c r="J119" s="24">
        <f>SUM(J91:J118)</f>
        <v>27.482015087393833</v>
      </c>
      <c r="K119" s="22">
        <f>SUM(K91:K118)</f>
        <v>48.901561416403645</v>
      </c>
      <c r="L119" s="22">
        <f>SUM(L91:L118)</f>
        <v>27.476672320598997</v>
      </c>
      <c r="M119" s="57">
        <f t="shared" si="50"/>
        <v>27.482015087393833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25.516746257220269</v>
      </c>
      <c r="J128" s="229">
        <f>(J30)</f>
        <v>4.6945192926091117E-2</v>
      </c>
      <c r="K128" s="22">
        <f>(B128)</f>
        <v>0.59689273225404738</v>
      </c>
      <c r="L128" s="22">
        <f>IF(L124=L119,0,(L119-L124)/(B119-B124)*K128)</f>
        <v>0.32860746023836745</v>
      </c>
      <c r="M128" s="57">
        <f t="shared" si="90"/>
        <v>4.6945192926091117E-2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17.905413350115698</v>
      </c>
      <c r="K129" s="29">
        <f>(B129)</f>
        <v>35.326513821511512</v>
      </c>
      <c r="L129" s="60">
        <f>IF(SUM(L124:L128)&gt;L130,0,L130-SUM(L124:L128))</f>
        <v>17.618408316008583</v>
      </c>
      <c r="M129" s="57">
        <f t="shared" si="90"/>
        <v>17.905413350115698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27.096897178363776</v>
      </c>
      <c r="J130" s="229">
        <f>(J119)</f>
        <v>27.482015087393833</v>
      </c>
      <c r="K130" s="22">
        <f>(B130)</f>
        <v>48.901561416403645</v>
      </c>
      <c r="L130" s="22">
        <f>(L119)</f>
        <v>27.476672320598997</v>
      </c>
      <c r="M130" s="57">
        <f t="shared" si="90"/>
        <v>27.482015087393833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667.88010903482223</v>
      </c>
      <c r="G72" s="109">
        <f>Poor!T7</f>
        <v>5082.9848685109964</v>
      </c>
      <c r="H72" s="109">
        <f>Middle!T7</f>
        <v>7766.9324843275544</v>
      </c>
      <c r="I72" s="109">
        <f>Rich!T7</f>
        <v>7092.3059196963713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6685.0623216527983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170.81543189845129</v>
      </c>
      <c r="H74" s="109">
        <f>Middle!T9</f>
        <v>442.21177966613317</v>
      </c>
      <c r="I74" s="109">
        <f>Rich!T9</f>
        <v>1362.9612144172429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3426.72</v>
      </c>
      <c r="H76" s="109">
        <f>Middle!T11</f>
        <v>9991.3954876139651</v>
      </c>
      <c r="I76" s="109">
        <f>Rich!T11</f>
        <v>19918.156201039696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4495.5</v>
      </c>
      <c r="G77" s="109">
        <f>Poor!T12</f>
        <v>8075.2500000000027</v>
      </c>
      <c r="H77" s="109">
        <f>Middle!T12</f>
        <v>832.50000000000011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5274.72</v>
      </c>
      <c r="G78" s="109">
        <f>Poor!T13</f>
        <v>6260.4000000000005</v>
      </c>
      <c r="H78" s="109">
        <f>Middle!T13</f>
        <v>75331.199999999997</v>
      </c>
      <c r="I78" s="109">
        <f>Rich!T13</f>
        <v>299059.20000000001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4838.4000000000005</v>
      </c>
      <c r="H79" s="109">
        <f>Middle!T14</f>
        <v>24221.958594058553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17556.475431798364</v>
      </c>
      <c r="G88" s="109">
        <f>Poor!T23</f>
        <v>32346.549736045741</v>
      </c>
      <c r="H88" s="109">
        <f>Middle!T23</f>
        <v>125457.05778130249</v>
      </c>
      <c r="I88" s="109">
        <f>Rich!T23</f>
        <v>387132.72565680608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15303.591647998535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29090.711647998538</v>
      </c>
      <c r="G99" s="240">
        <f t="shared" si="0"/>
        <v>13371.037343751163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53644.151647998529</v>
      </c>
      <c r="G100" s="240">
        <f t="shared" si="0"/>
        <v>37924.477343751161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2016-06-04T22:50:37Z</dcterms:modified>
  <cp:category/>
</cp:coreProperties>
</file>