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<sst xmlns="http://schemas.openxmlformats.org/spreadsheetml/2006/main" count="790" uniqueCount="145">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</sst>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995352"/>
        <c:axId val="-2016790664"/>
      </c:barChart>
      <c:catAx>
        <c:axId val="-210599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9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79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99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0.00839887030978181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812952"/>
        <c:axId val="-2105710024"/>
      </c:barChart>
      <c:catAx>
        <c:axId val="-20968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71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71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81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0.242090890322468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0.00535653221874589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0.0572855416120168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0.10311397490163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0.00114571083224034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63144"/>
        <c:axId val="-2017356792"/>
      </c:barChart>
      <c:catAx>
        <c:axId val="-201736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5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5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6187880"/>
        <c:axId val="-2017923992"/>
      </c:barChart>
      <c:catAx>
        <c:axId val="-209618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2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2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18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6399.499843633405</c:v>
                </c:pt>
                <c:pt idx="7">
                  <c:v>9156.47721499999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26890.34749305003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10272.51468926181</c:v>
                </c:pt>
                <c:pt idx="7">
                  <c:v>31839.5547532231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999.0</c:v>
                </c:pt>
                <c:pt idx="5">
                  <c:v>1826.438640804208</c:v>
                </c:pt>
                <c:pt idx="6">
                  <c:v>414.5816513009838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968504"/>
        <c:axId val="20309718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68504"/>
        <c:axId val="2030971864"/>
      </c:lineChart>
      <c:catAx>
        <c:axId val="203096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7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97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96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809336"/>
        <c:axId val="-201769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09336"/>
        <c:axId val="-2017696888"/>
      </c:lineChart>
      <c:catAx>
        <c:axId val="-210780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69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69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80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405208"/>
        <c:axId val="-20179961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05208"/>
        <c:axId val="-2017996136"/>
      </c:lineChart>
      <c:catAx>
        <c:axId val="-2017405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9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9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0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0.32327263400872</c:v>
                </c:pt>
                <c:pt idx="2">
                  <c:v>0.317886637599384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-0.874259173126374</c:v>
                </c:pt>
                <c:pt idx="2">
                  <c:v>-0.874259173126374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133144"/>
        <c:axId val="-2017166360"/>
      </c:barChart>
      <c:catAx>
        <c:axId val="-201813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6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6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13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0.0619588284765872</c:v>
                </c:pt>
                <c:pt idx="2">
                  <c:v>0.0843347991610925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0.163818678034145</c:v>
                </c:pt>
                <c:pt idx="2">
                  <c:v>0.141905247651574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0.0619588284765872</c:v>
                </c:pt>
                <c:pt idx="2">
                  <c:v>0.0843347991610925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-0.0441925314715162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702584"/>
        <c:axId val="-2106015192"/>
      </c:barChart>
      <c:catAx>
        <c:axId val="-210570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015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015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70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0.0599337571430831</c:v>
                </c:pt>
                <c:pt idx="2">
                  <c:v>0.0260939532283891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0.275945337297064</c:v>
                </c:pt>
                <c:pt idx="2">
                  <c:v>0.315924023379387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0.0599337571430831</c:v>
                </c:pt>
                <c:pt idx="2">
                  <c:v>0.0260939532283891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11752"/>
        <c:axId val="-2017717816"/>
      </c:barChart>
      <c:catAx>
        <c:axId val="-201791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1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0.0754411143942592</c:v>
                </c:pt>
                <c:pt idx="2">
                  <c:v>0.0636217813423385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-1.506045256570615</c:v>
                </c:pt>
                <c:pt idx="2">
                  <c:v>-1.506045256570615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99240"/>
        <c:axId val="-2017445272"/>
      </c:barChart>
      <c:catAx>
        <c:axId val="-201809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44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4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09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0.0228050144024969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0.0152927743640273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0.000506681506500565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0.213575065743946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0.22654288724081</c:v>
                </c:pt>
                <c:pt idx="2" formatCode="0.0%">
                  <c:v>0.308357168245155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20936"/>
        <c:axId val="-2017017672"/>
      </c:barChart>
      <c:catAx>
        <c:axId val="-201702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1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1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20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200488"/>
        <c:axId val="-20393938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0488"/>
        <c:axId val="-20393938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00488"/>
        <c:axId val="-2039393864"/>
      </c:scatterChart>
      <c:catAx>
        <c:axId val="-2044200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393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9393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200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13384"/>
        <c:axId val="-20194518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13384"/>
        <c:axId val="-2019451880"/>
      </c:lineChart>
      <c:catAx>
        <c:axId val="-2040013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451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451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3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909304"/>
        <c:axId val="-21071440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623544"/>
        <c:axId val="-2044688440"/>
      </c:scatterChart>
      <c:valAx>
        <c:axId val="-20399093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7144088"/>
        <c:crosses val="autoZero"/>
        <c:crossBetween val="midCat"/>
      </c:valAx>
      <c:valAx>
        <c:axId val="-2107144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909304"/>
        <c:crosses val="autoZero"/>
        <c:crossBetween val="midCat"/>
      </c:valAx>
      <c:valAx>
        <c:axId val="-2039623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4688440"/>
        <c:crosses val="autoZero"/>
        <c:crossBetween val="midCat"/>
      </c:valAx>
      <c:valAx>
        <c:axId val="-20446884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6235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00104"/>
        <c:axId val="-20385853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0104"/>
        <c:axId val="-2038585368"/>
      </c:lineChart>
      <c:catAx>
        <c:axId val="-204000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8585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8585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001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0.203199102396237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0.0196790683494563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0.00313558030685436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0.00436973760881227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0.0335019362945672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0.000543541739292388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0.225121470067083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0.284466912375147</c:v>
                </c:pt>
                <c:pt idx="2" formatCode="0.0%">
                  <c:v>0.12385117603791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32104"/>
        <c:axId val="-2016528808"/>
      </c:barChart>
      <c:catAx>
        <c:axId val="-201653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2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2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3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87608"/>
        <c:axId val="-2017984312"/>
      </c:barChart>
      <c:catAx>
        <c:axId val="-201798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8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8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8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0.015946933615377</c:v>
                </c:pt>
                <c:pt idx="1">
                  <c:v>0.262625530059067</c:v>
                </c:pt>
                <c:pt idx="2">
                  <c:v>-0.139286231837222</c:v>
                </c:pt>
                <c:pt idx="3">
                  <c:v>-0.139286231837222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03624"/>
        <c:axId val="-2016943432"/>
      </c:barChart>
      <c:catAx>
        <c:axId val="-2017103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43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94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0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0.0979356317605467</c:v>
                </c:pt>
                <c:pt idx="1">
                  <c:v>-0.0326452105868489</c:v>
                </c:pt>
                <c:pt idx="2">
                  <c:v>-0.0326452105868489</c:v>
                </c:pt>
                <c:pt idx="3">
                  <c:v>-0.0326452105868489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925000"/>
        <c:axId val="-2016704056"/>
      </c:barChart>
      <c:catAx>
        <c:axId val="-2016925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04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0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2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0.0680396691260415</c:v>
                </c:pt>
                <c:pt idx="1">
                  <c:v>0.0295408103260133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0.0790236176769368</c:v>
                </c:pt>
                <c:pt idx="1">
                  <c:v>0.0343097156563965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0.319658696942199</c:v>
                </c:pt>
                <c:pt idx="1">
                  <c:v>0.138786344153691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0.136937723688181</c:v>
                </c:pt>
                <c:pt idx="1">
                  <c:v>0.0594543061997388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0.0611174385986916</c:v>
                </c:pt>
                <c:pt idx="3">
                  <c:v>0.0301026190112959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0.00101336301300113</c:v>
                </c:pt>
                <c:pt idx="3">
                  <c:v>0.00101336301300113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0.213575065743946</c:v>
                </c:pt>
                <c:pt idx="1">
                  <c:v>0.213575065743946</c:v>
                </c:pt>
                <c:pt idx="2">
                  <c:v>0.213575065743946</c:v>
                </c:pt>
                <c:pt idx="3">
                  <c:v>0.213575065743946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0.305192679430161</c:v>
                </c:pt>
                <c:pt idx="2">
                  <c:v>0.524370332471729</c:v>
                </c:pt>
                <c:pt idx="3">
                  <c:v>0.46503675853484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24600"/>
        <c:axId val="-2018159944"/>
      </c:barChart>
      <c:catAx>
        <c:axId val="-201842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159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15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2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0.0487725823027826</c:v>
                </c:pt>
                <c:pt idx="1">
                  <c:v>0.0483816270376218</c:v>
                </c:pt>
                <c:pt idx="2">
                  <c:v>0.0230924594018122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0.0459685027906977</c:v>
                </c:pt>
                <c:pt idx="1">
                  <c:v>0.0456000246960582</c:v>
                </c:pt>
                <c:pt idx="2">
                  <c:v>0.0217648058465774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0.329673829608307</c:v>
                </c:pt>
                <c:pt idx="1">
                  <c:v>0.327031203087715</c:v>
                </c:pt>
                <c:pt idx="2">
                  <c:v>0.156091376888926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0.114706769175195</c:v>
                </c:pt>
                <c:pt idx="1">
                  <c:v>0.113787293247506</c:v>
                </c:pt>
                <c:pt idx="2">
                  <c:v>0.0543104606159045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0.0527399031765429</c:v>
                </c:pt>
                <c:pt idx="3">
                  <c:v>0.0259763702212823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0.0125423212274174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0.0174789504352491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0.00108708347858478</c:v>
                </c:pt>
                <c:pt idx="3">
                  <c:v>0.00108708347858478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0.225121470067083</c:v>
                </c:pt>
                <c:pt idx="1">
                  <c:v>0.225121470067083</c:v>
                </c:pt>
                <c:pt idx="2">
                  <c:v>0.225121470067083</c:v>
                </c:pt>
                <c:pt idx="3">
                  <c:v>0.225121470067083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0.192457828742129</c:v>
                </c:pt>
                <c:pt idx="3">
                  <c:v>0.302946875409514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85544"/>
        <c:axId val="-2017539176"/>
      </c:barChart>
      <c:catAx>
        <c:axId val="-2016585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391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5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8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951672"/>
        <c:axId val="2030860296"/>
      </c:barChart>
      <c:catAx>
        <c:axId val="-21059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6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86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5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999</v>
      </c>
      <c r="T12" s="223">
        <f>IF($B$81=0,0,(SUMIF($N$6:$N$28,$U12,M$6:M$28)+SUMIF($N$91:$N$118,$U12,M$91:M$118))*$I$83*Poor!$B$81/$B$81)</f>
        <v>999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10300.954421677779</v>
      </c>
      <c r="T23" s="179">
        <f>SUM(T7:T22)</f>
        <v>10261.861913610321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36582.097548045589</v>
      </c>
      <c r="T30" s="235">
        <f t="shared" si="24"/>
        <v>36621.190056113046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9.7935631760546718E-2</v>
      </c>
      <c r="AB30" s="122">
        <f>IF($Y30=0,0,AC30/($Y$30))</f>
        <v>0</v>
      </c>
      <c r="AC30" s="187">
        <f>IF(AC79*4/$I$83+SUM(AC6:AC29)&lt;1,AC79*4/$I$83,1-SUM(AC6:AC29))</f>
        <v>-3.2645210586848911E-2</v>
      </c>
      <c r="AD30" s="122">
        <f>IF($Y30=0,0,AE30/($Y$30))</f>
        <v>0</v>
      </c>
      <c r="AE30" s="187">
        <f>IF(AE79*4/$I$83+SUM(AE6:AE29)&lt;1,AE79*4/$I$83,1-SUM(AE6:AE29))</f>
        <v>-3.2645210586848904E-2</v>
      </c>
      <c r="AF30" s="122">
        <f>IF($Y30=0,0,AG30/($Y$30))</f>
        <v>0</v>
      </c>
      <c r="AG30" s="187">
        <f>IF(AG79*4/$I$83+SUM(AG6:AG29)&lt;1,AG79*4/$I$83,1-SUM(AG6:AG29))</f>
        <v>-3.2645210586848911E-2</v>
      </c>
      <c r="AH30" s="123">
        <f t="shared" si="12"/>
        <v>0</v>
      </c>
      <c r="AI30" s="183">
        <f t="shared" si="13"/>
        <v>0</v>
      </c>
      <c r="AJ30" s="120">
        <f t="shared" si="14"/>
        <v>3.2645210586848904E-2</v>
      </c>
      <c r="AK30" s="119">
        <f t="shared" si="15"/>
        <v>-3.2645210586848911E-2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0.46632699279546064</v>
      </c>
      <c r="K31" s="22" t="str">
        <f t="shared" si="4"/>
        <v/>
      </c>
      <c r="L31" s="22">
        <f>(1-SUM(L6:L30))</f>
        <v>0.46313913523060846</v>
      </c>
      <c r="M31" s="242">
        <f t="shared" si="6"/>
        <v>0.46632699279546064</v>
      </c>
      <c r="N31" s="167">
        <f>M31*I83</f>
        <v>10113.566583399237</v>
      </c>
      <c r="P31" s="22"/>
      <c r="Q31" s="239" t="s">
        <v>142</v>
      </c>
      <c r="R31" s="235">
        <f t="shared" si="24"/>
        <v>15216.436490938868</v>
      </c>
      <c r="S31" s="235">
        <f t="shared" si="24"/>
        <v>57200.630881378929</v>
      </c>
      <c r="T31" s="235">
        <f>IF(T25&gt;T$23,T25-T$23,0)</f>
        <v>57239.723389446386</v>
      </c>
      <c r="U31" s="243"/>
      <c r="V31" s="56"/>
      <c r="W31" s="129" t="s">
        <v>84</v>
      </c>
      <c r="X31" s="130"/>
      <c r="Y31" s="121">
        <f>M31*4</f>
        <v>1.8653079711818426</v>
      </c>
      <c r="Z31" s="131"/>
      <c r="AA31" s="132">
        <f>1-AA32+IF($Y32&lt;0,$Y32/4,0)</f>
        <v>3.7451800208326058E-2</v>
      </c>
      <c r="AB31" s="131"/>
      <c r="AC31" s="133">
        <f>1-AC32+IF($Y32&lt;0,$Y32/4,0)</f>
        <v>0.63194694063583801</v>
      </c>
      <c r="AD31" s="134"/>
      <c r="AE31" s="133">
        <f>1-AE32+IF($Y32&lt;0,$Y32/4,0)</f>
        <v>0.588506462148914</v>
      </c>
      <c r="AF31" s="134"/>
      <c r="AG31" s="133">
        <f>1-AG32+IF($Y32&lt;0,$Y32/4,0)</f>
        <v>0.63088608076659769</v>
      </c>
      <c r="AH31" s="123"/>
      <c r="AI31" s="182">
        <f>SUM(AA31,AC31,AE31,AG31)/4</f>
        <v>0.47219782093991891</v>
      </c>
      <c r="AJ31" s="135">
        <f t="shared" si="14"/>
        <v>0.33469937042208203</v>
      </c>
      <c r="AK31" s="136">
        <f t="shared" si="15"/>
        <v>0.60969627145775585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0.53367300720453936</v>
      </c>
      <c r="J32" s="17"/>
      <c r="L32" s="22">
        <f>SUM(L6:L30)</f>
        <v>0.53686086476939154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98123.030881378916</v>
      </c>
      <c r="T32" s="235">
        <f t="shared" si="24"/>
        <v>98162.12338944638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0.96254819979167394</v>
      </c>
      <c r="AB32" s="137"/>
      <c r="AC32" s="139">
        <f>SUM(AC6:AC30)</f>
        <v>0.36805305936416199</v>
      </c>
      <c r="AD32" s="137"/>
      <c r="AE32" s="139">
        <f>SUM(AE6:AE30)</f>
        <v>0.41149353785108606</v>
      </c>
      <c r="AF32" s="137"/>
      <c r="AG32" s="139">
        <f>SUM(AG6:AG30)</f>
        <v>0.36911391923340231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-145.28225487141046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35678.212128157866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3.1658927817644573E-2</v>
      </c>
      <c r="L38" s="22">
        <f t="shared" ref="L38:L64" si="34">(K38*H38)</f>
        <v>2.9886027859856477E-2</v>
      </c>
      <c r="M38" s="24">
        <f t="shared" ref="M38:M64" si="35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707.99999999999989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1.1819333051920643E-2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799.2</v>
      </c>
      <c r="J44" s="38">
        <f t="shared" si="32"/>
        <v>799.2</v>
      </c>
      <c r="K44" s="40">
        <f t="shared" si="33"/>
        <v>3.0392570704938792E-2</v>
      </c>
      <c r="L44" s="22">
        <f t="shared" si="34"/>
        <v>3.3735753482482062E-2</v>
      </c>
      <c r="M44" s="24">
        <f t="shared" si="35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199.8</v>
      </c>
      <c r="AB44" s="156">
        <f>Poor!AB44</f>
        <v>0.25</v>
      </c>
      <c r="AC44" s="147">
        <f t="shared" si="41"/>
        <v>199.8</v>
      </c>
      <c r="AD44" s="156">
        <f>Poor!AD44</f>
        <v>0.25</v>
      </c>
      <c r="AE44" s="147">
        <f t="shared" si="42"/>
        <v>199.8</v>
      </c>
      <c r="AF44" s="122">
        <f t="shared" si="29"/>
        <v>0.25</v>
      </c>
      <c r="AG44" s="147">
        <f t="shared" si="36"/>
        <v>199.8</v>
      </c>
      <c r="AH44" s="123">
        <f t="shared" si="37"/>
        <v>1</v>
      </c>
      <c r="AI44" s="112">
        <f t="shared" si="37"/>
        <v>799.2</v>
      </c>
      <c r="AJ44" s="148">
        <f t="shared" si="38"/>
        <v>399.6</v>
      </c>
      <c r="AK44" s="147">
        <f t="shared" si="39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0.92950612072604477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1507.2</v>
      </c>
      <c r="J65" s="39">
        <f>SUM(J37:J64)</f>
        <v>1507.1999999999998</v>
      </c>
      <c r="K65" s="40">
        <f>SUM(K37:K64)</f>
        <v>1</v>
      </c>
      <c r="L65" s="22">
        <f>SUM(L37:L64)</f>
        <v>7.5441114394259184E-2</v>
      </c>
      <c r="M65" s="24">
        <f>SUM(M37:M64)</f>
        <v>6.3621781342338535E-2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907.8</v>
      </c>
      <c r="AB65" s="137"/>
      <c r="AC65" s="153">
        <f>SUM(AC37:AC64)</f>
        <v>199.8</v>
      </c>
      <c r="AD65" s="137"/>
      <c r="AE65" s="153">
        <f>SUM(AE37:AE64)</f>
        <v>199.8</v>
      </c>
      <c r="AF65" s="137"/>
      <c r="AG65" s="153">
        <f>SUM(AG37:AG64)</f>
        <v>199.8</v>
      </c>
      <c r="AH65" s="137"/>
      <c r="AI65" s="153">
        <f>SUM(AI37:AI64)</f>
        <v>1507.1999999999998</v>
      </c>
      <c r="AJ65" s="153">
        <f>SUM(AJ37:AJ64)</f>
        <v>1107.5999999999999</v>
      </c>
      <c r="AK65" s="153">
        <f>SUM(AK37:AK64)</f>
        <v>399.6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1507.2</v>
      </c>
      <c r="J70" s="51">
        <f t="shared" ref="J70:J77" si="44">J124*I$83</f>
        <v>1507.2</v>
      </c>
      <c r="K70" s="40">
        <f>B70/B$76</f>
        <v>0.62384928726681554</v>
      </c>
      <c r="L70" s="22">
        <f t="shared" ref="L70:L74" si="45">(L124*G$37*F$9/F$7)/B$130</f>
        <v>7.5441114394259184E-2</v>
      </c>
      <c r="M70" s="24">
        <f>J70/B$76</f>
        <v>6.3621781342338535E-2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376.8</v>
      </c>
      <c r="AB70" s="156">
        <f>Poor!AB70</f>
        <v>0.25</v>
      </c>
      <c r="AC70" s="147">
        <f>$J70*AB70</f>
        <v>376.8</v>
      </c>
      <c r="AD70" s="156">
        <f>Poor!AD70</f>
        <v>0.25</v>
      </c>
      <c r="AE70" s="147">
        <f>$J70*AD70</f>
        <v>376.8</v>
      </c>
      <c r="AF70" s="156">
        <f>Poor!AF70</f>
        <v>0.25</v>
      </c>
      <c r="AG70" s="147">
        <f>$J70*AF70</f>
        <v>376.8</v>
      </c>
      <c r="AH70" s="155">
        <f>SUM(Z70,AB70,AD70,AF70)</f>
        <v>1</v>
      </c>
      <c r="AI70" s="147">
        <f>SUM(AA70,AC70,AE70,AG70)</f>
        <v>1507.2</v>
      </c>
      <c r="AJ70" s="148">
        <f>(AA70+AC70)</f>
        <v>753.6</v>
      </c>
      <c r="AK70" s="147">
        <f>(AE70+AG70)</f>
        <v>753.6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0.59006613198255242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0.31980864210911175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531</v>
      </c>
      <c r="AB74" s="156"/>
      <c r="AC74" s="147">
        <f>AC30*$I$83/4</f>
        <v>-177.00000000000003</v>
      </c>
      <c r="AD74" s="156"/>
      <c r="AE74" s="147">
        <f>AE30*$I$83/4</f>
        <v>-176.99999999999997</v>
      </c>
      <c r="AF74" s="156"/>
      <c r="AG74" s="147">
        <f>AG30*$I$83/4</f>
        <v>-177.00000000000003</v>
      </c>
      <c r="AH74" s="155"/>
      <c r="AI74" s="147">
        <f>SUM(AA74,AC74,AE74,AG74)</f>
        <v>0</v>
      </c>
      <c r="AJ74" s="148">
        <f>(AA74+AC74)</f>
        <v>354</v>
      </c>
      <c r="AK74" s="147">
        <f>(AE74+AG74)</f>
        <v>-354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1507.2</v>
      </c>
      <c r="J76" s="51">
        <f t="shared" si="44"/>
        <v>1507.2</v>
      </c>
      <c r="K76" s="40">
        <f>SUM(K70:K75)</f>
        <v>2.7048511191887878</v>
      </c>
      <c r="L76" s="22">
        <f>SUM(L70:L75)</f>
        <v>7.5441114394259184E-2</v>
      </c>
      <c r="M76" s="24">
        <f>SUM(M70:M75)</f>
        <v>6.3621781342338535E-2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907.8</v>
      </c>
      <c r="AB76" s="137"/>
      <c r="AC76" s="153">
        <f>AC65</f>
        <v>199.8</v>
      </c>
      <c r="AD76" s="137"/>
      <c r="AE76" s="153">
        <f>AE65</f>
        <v>199.8</v>
      </c>
      <c r="AF76" s="137"/>
      <c r="AG76" s="153">
        <f>AG65</f>
        <v>199.8</v>
      </c>
      <c r="AH76" s="137"/>
      <c r="AI76" s="153">
        <f>SUM(AA76,AC76,AE76,AG76)</f>
        <v>1507.1999999999998</v>
      </c>
      <c r="AJ76" s="154">
        <f>SUM(AA76,AC76)</f>
        <v>1107.5999999999999</v>
      </c>
      <c r="AK76" s="154">
        <f>SUM(AE76,AG76)</f>
        <v>399.6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35678.212128157866</v>
      </c>
      <c r="J77" s="100">
        <f t="shared" si="44"/>
        <v>35678.212128157866</v>
      </c>
      <c r="K77" s="40"/>
      <c r="L77" s="22">
        <f>-(L131*G$37*F$9/F$7)/B$130</f>
        <v>-1.5060452565706153</v>
      </c>
      <c r="M77" s="24">
        <f>-J77/B$76</f>
        <v>-1.5060452565706148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203.06098559965136</v>
      </c>
      <c r="AB77" s="112"/>
      <c r="AC77" s="111">
        <f>AC31*$I$83/4</f>
        <v>3426.3711730382847</v>
      </c>
      <c r="AD77" s="112"/>
      <c r="AE77" s="111">
        <f>AE31*$I$83/4</f>
        <v>3190.8400015750185</v>
      </c>
      <c r="AF77" s="112"/>
      <c r="AG77" s="111">
        <f>AG31*$I$83/4</f>
        <v>3420.6192666030056</v>
      </c>
      <c r="AH77" s="110"/>
      <c r="AI77" s="154">
        <f>SUM(AA77,AC77,AE77,AG77)</f>
        <v>10240.891426815961</v>
      </c>
      <c r="AJ77" s="153">
        <f>SUM(AA77,AC77)</f>
        <v>3629.432158637936</v>
      </c>
      <c r="AK77" s="160">
        <f>SUM(AE77,AG77)</f>
        <v>6611.4592681780241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531</v>
      </c>
      <c r="AB79" s="112"/>
      <c r="AC79" s="112">
        <f>AA79-AA74+AC65-AC70</f>
        <v>-177</v>
      </c>
      <c r="AD79" s="112"/>
      <c r="AE79" s="112">
        <f>AC79-AC74+AE65-AE70</f>
        <v>-176.99999999999997</v>
      </c>
      <c r="AF79" s="112"/>
      <c r="AG79" s="112">
        <f>AE79-AE74+AG65-AG70</f>
        <v>-177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0.67272727272727284</v>
      </c>
      <c r="I98" s="22">
        <f t="shared" si="54"/>
        <v>3.6850356357358262E-2</v>
      </c>
      <c r="J98" s="24">
        <f t="shared" si="55"/>
        <v>3.6850356357358262E-2</v>
      </c>
      <c r="K98" s="22">
        <f t="shared" si="56"/>
        <v>5.4777556747424433E-2</v>
      </c>
      <c r="L98" s="22">
        <f t="shared" si="57"/>
        <v>3.6850356357358262E-2</v>
      </c>
      <c r="M98" s="229">
        <f t="shared" si="49"/>
        <v>3.6850356357358262E-2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6.9495566944207166E-2</v>
      </c>
      <c r="J119" s="24">
        <f>SUM(J91:J118)</f>
        <v>6.9495566944207166E-2</v>
      </c>
      <c r="K119" s="22">
        <f>SUM(K91:K118)</f>
        <v>1.8023337768701178</v>
      </c>
      <c r="L119" s="22">
        <f>SUM(L91:L118)</f>
        <v>8.2406102204542891E-2</v>
      </c>
      <c r="M119" s="57">
        <f t="shared" si="49"/>
        <v>6.9495566944207166E-2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6.9495566944207166E-2</v>
      </c>
      <c r="J124" s="238">
        <f>IF(SUMPRODUCT($B$124:$B124,$H$124:$H124)&lt;J$119,($B124*$H124),J$119)</f>
        <v>6.9495566944207166E-2</v>
      </c>
      <c r="K124" s="29">
        <f>(B124)</f>
        <v>1.1243846421173307</v>
      </c>
      <c r="L124" s="29">
        <f>IF(SUMPRODUCT($B$124:$B124,$H$124:$H124)&lt;L$119,($B124*$H124),L$119)</f>
        <v>8.2406102204542891E-2</v>
      </c>
      <c r="M124" s="241">
        <f t="shared" si="66"/>
        <v>6.9495566944207166E-2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6.9495566944207166E-2</v>
      </c>
      <c r="J130" s="229">
        <f>(J119)</f>
        <v>6.9495566944207166E-2</v>
      </c>
      <c r="K130" s="29">
        <f>(B130)</f>
        <v>1.8023337768701178</v>
      </c>
      <c r="L130" s="29">
        <f>(L119)</f>
        <v>8.2406102204542891E-2</v>
      </c>
      <c r="M130" s="241">
        <f t="shared" si="66"/>
        <v>6.9495566944207166E-2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1.6450886275225711</v>
      </c>
      <c r="J131" s="238">
        <f>IF(SUMPRODUCT($B124:$B125,$H124:$H125)&gt;(J119-J128),SUMPRODUCT($B124:$B125,$H124:$H125)+J128-J119,0)</f>
        <v>1.6450886275225711</v>
      </c>
      <c r="K131" s="29"/>
      <c r="L131" s="29">
        <f>IF(I131&lt;SUM(L126:L127),0,I131-(SUM(L126:L127)))</f>
        <v>1.6450886275225711</v>
      </c>
      <c r="M131" s="238">
        <f>IF(I131&lt;SUM(M126:M127),0,I131-(SUM(M126:M127)))</f>
        <v>1.6450886275225711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1826.4386408042078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21788.261249801566</v>
      </c>
      <c r="T23" s="179">
        <f>SUM(T7:T22)</f>
        <v>21926.73100873729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25094.790719921817</v>
      </c>
      <c r="T30" s="235">
        <f t="shared" si="50"/>
        <v>24956.320960986093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1.5946933615377024E-2</v>
      </c>
      <c r="AB30" s="122">
        <f>IF($Y30=0,0,AC30/($Y$30))</f>
        <v>0</v>
      </c>
      <c r="AC30" s="187">
        <f>IF(AC79*4/$I$83+SUM(AC6:AC29)&lt;1,AC79*4/$I$83,1-SUM(AC6:AC29))</f>
        <v>0.26262553005906664</v>
      </c>
      <c r="AD30" s="122">
        <f>IF($Y30=0,0,AE30/($Y$30))</f>
        <v>0</v>
      </c>
      <c r="AE30" s="187">
        <f>IF(AE79*4/$I$83+SUM(AE6:AE29)&lt;1,AE79*4/$I$83,1-SUM(AE6:AE29))</f>
        <v>-0.13928623183722205</v>
      </c>
      <c r="AF30" s="122">
        <f>IF($Y30=0,0,AG30/($Y$30))</f>
        <v>0</v>
      </c>
      <c r="AG30" s="187">
        <f>IF(AG79*4/$I$83+SUM(AG6:AG29)&lt;1,AG79*4/$I$83,1-SUM(AG6:AG29))</f>
        <v>-0.13928623183722205</v>
      </c>
      <c r="AH30" s="123">
        <f t="shared" si="12"/>
        <v>0</v>
      </c>
      <c r="AI30" s="183">
        <f t="shared" si="13"/>
        <v>-1.1102230246251565E-16</v>
      </c>
      <c r="AJ30" s="120">
        <f t="shared" si="14"/>
        <v>0.13928623183722183</v>
      </c>
      <c r="AK30" s="119">
        <f t="shared" si="15"/>
        <v>-0.13928623183722205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0.42374181005373324</v>
      </c>
      <c r="K31" s="22" t="str">
        <f t="shared" si="4"/>
        <v/>
      </c>
      <c r="L31" s="22">
        <f>(1-SUM(L6:L30))</f>
        <v>0.39896276144903053</v>
      </c>
      <c r="M31" s="178">
        <f t="shared" si="6"/>
        <v>0.42374181005373324</v>
      </c>
      <c r="N31" s="167">
        <f>M31*I83</f>
        <v>11487.489134122083</v>
      </c>
      <c r="P31" s="22"/>
      <c r="Q31" s="239" t="s">
        <v>142</v>
      </c>
      <c r="R31" s="235">
        <f t="shared" si="50"/>
        <v>0</v>
      </c>
      <c r="S31" s="235">
        <f t="shared" si="50"/>
        <v>45713.324053255157</v>
      </c>
      <c r="T31" s="235">
        <f>IF(T25&gt;T$23,T25-T$23,0)</f>
        <v>45574.854294319433</v>
      </c>
      <c r="U31" s="243"/>
      <c r="V31" s="56"/>
      <c r="W31" s="129" t="s">
        <v>84</v>
      </c>
      <c r="X31" s="130"/>
      <c r="Y31" s="121">
        <f>M31*4</f>
        <v>1.6949672402149329</v>
      </c>
      <c r="Z31" s="131"/>
      <c r="AA31" s="132">
        <f>1-AA32+IF($Y32&lt;0,$Y32/4,0)</f>
        <v>0</v>
      </c>
      <c r="AB31" s="131"/>
      <c r="AC31" s="133">
        <f>1-AC32+IF($Y32&lt;0,$Y32/4,0)</f>
        <v>0.17064305870782548</v>
      </c>
      <c r="AD31" s="134"/>
      <c r="AE31" s="133">
        <f>1-AE32+IF($Y32&lt;0,$Y32/4,0)</f>
        <v>0.50878268916575808</v>
      </c>
      <c r="AF31" s="134"/>
      <c r="AG31" s="133">
        <f>1-AG32+IF($Y32&lt;0,$Y32/4,0)</f>
        <v>1.0155414923413497</v>
      </c>
      <c r="AH31" s="123"/>
      <c r="AI31" s="182">
        <f>SUM(AA31,AC31,AE31,AG31)/4</f>
        <v>0.42374181005373335</v>
      </c>
      <c r="AJ31" s="135">
        <f t="shared" si="14"/>
        <v>8.532152935391274E-2</v>
      </c>
      <c r="AK31" s="136">
        <f t="shared" si="15"/>
        <v>0.7621620907535539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0.57625818994626676</v>
      </c>
      <c r="J32" s="17"/>
      <c r="L32" s="22">
        <f>SUM(L6:L30)</f>
        <v>0.60103723855096947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86635.724053255166</v>
      </c>
      <c r="T32" s="235">
        <f t="shared" si="50"/>
        <v>86497.254294319442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0.82935694129217452</v>
      </c>
      <c r="AD32" s="137"/>
      <c r="AE32" s="139">
        <f>SUM(AE6:AE30)</f>
        <v>0.49121731083424197</v>
      </c>
      <c r="AF32" s="137"/>
      <c r="AG32" s="139">
        <f>SUM(AG6:AG30)</f>
        <v>-1.5541492341349716E-2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-17.014243801215439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34087.36516019734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0.27862259500639958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854.81412147963374</v>
      </c>
      <c r="AB37" s="122">
        <f>IF($J37=0,0,AC37/($J37))</f>
        <v>0.72137740499360048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2213.1858785203658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3067.9999999999995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0.27862259500639958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197.2647972645309</v>
      </c>
      <c r="AB38" s="122">
        <f>IF($J38=0,0,AC38/($J38))</f>
        <v>0.72137740499360048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510.7352027354691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708</v>
      </c>
      <c r="AJ38" s="148">
        <f t="shared" ref="AJ38:AJ64" si="62">(AA38+AC38)</f>
        <v>708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12394.4</v>
      </c>
      <c r="J65" s="39">
        <f>SUM(J37:J64)</f>
        <v>12394.399999999998</v>
      </c>
      <c r="K65" s="40">
        <f>SUM(K37:K64)</f>
        <v>1</v>
      </c>
      <c r="L65" s="22">
        <f>SUM(L37:L64)</f>
        <v>0.32327263400872019</v>
      </c>
      <c r="M65" s="24">
        <f>SUM(M37:M64)</f>
        <v>0.3178866375993844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3206.6789187441645</v>
      </c>
      <c r="AB65" s="137"/>
      <c r="AC65" s="153">
        <f>SUM(AC37:AC64)</f>
        <v>4878.5210812558344</v>
      </c>
      <c r="AD65" s="137"/>
      <c r="AE65" s="153">
        <f>SUM(AE37:AE64)</f>
        <v>2154.6</v>
      </c>
      <c r="AF65" s="137"/>
      <c r="AG65" s="153">
        <f>SUM(AG37:AG64)</f>
        <v>2154.6</v>
      </c>
      <c r="AH65" s="137"/>
      <c r="AI65" s="153">
        <f>SUM(AI37:AI64)</f>
        <v>12394.399999999998</v>
      </c>
      <c r="AJ65" s="153">
        <f>SUM(AJ37:AJ64)</f>
        <v>8085.1999999999989</v>
      </c>
      <c r="AK65" s="153">
        <f>SUM(AK37:AK64)</f>
        <v>4309.2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12394.400000000001</v>
      </c>
      <c r="J70" s="51">
        <f t="shared" ref="J70:J77" si="75">J124*I$83</f>
        <v>12394.400000000001</v>
      </c>
      <c r="K70" s="40">
        <f>B70/B$76</f>
        <v>0.47380705358267705</v>
      </c>
      <c r="L70" s="22">
        <f t="shared" ref="L70:L75" si="76">(L124*G$37*F$9/F$7)/B$130</f>
        <v>0.32327263400872025</v>
      </c>
      <c r="M70" s="24">
        <f>J70/B$76</f>
        <v>0.31788663759938451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3098.6000000000004</v>
      </c>
      <c r="AB70" s="116">
        <v>0.25</v>
      </c>
      <c r="AC70" s="147">
        <f>$J70*AB70</f>
        <v>3098.6000000000004</v>
      </c>
      <c r="AD70" s="116">
        <v>0.25</v>
      </c>
      <c r="AE70" s="147">
        <f>$J70*AD70</f>
        <v>3098.6000000000004</v>
      </c>
      <c r="AF70" s="122">
        <f>1-SUM(Z70,AB70,AD70)</f>
        <v>0.25</v>
      </c>
      <c r="AG70" s="147">
        <f>$J70*AF70</f>
        <v>3098.6000000000004</v>
      </c>
      <c r="AH70" s="155">
        <f>SUM(Z70,AB70,AD70,AF70)</f>
        <v>1</v>
      </c>
      <c r="AI70" s="147">
        <f>SUM(AA70,AC70,AE70,AG70)</f>
        <v>12394.400000000001</v>
      </c>
      <c r="AJ70" s="148">
        <f>(AA70+AC70)</f>
        <v>6197.2000000000007</v>
      </c>
      <c r="AK70" s="147">
        <f>(AE70+AG70)</f>
        <v>6197.2000000000007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108.07891874416406</v>
      </c>
      <c r="AB74" s="156"/>
      <c r="AC74" s="147">
        <f>AC30*$I$83/4</f>
        <v>1779.921081255834</v>
      </c>
      <c r="AD74" s="156"/>
      <c r="AE74" s="147">
        <f>AE30*$I$83/4</f>
        <v>-944.00000000000045</v>
      </c>
      <c r="AF74" s="156"/>
      <c r="AG74" s="147">
        <f>AG30*$I$83/4</f>
        <v>-944.00000000000045</v>
      </c>
      <c r="AH74" s="155"/>
      <c r="AI74" s="147">
        <f>SUM(AA74,AC74,AE74,AG74)</f>
        <v>-2.9558577807620168E-12</v>
      </c>
      <c r="AJ74" s="148">
        <f>(AA74+AC74)</f>
        <v>1887.999999999998</v>
      </c>
      <c r="AK74" s="147">
        <f>(AE74+AG74)</f>
        <v>-1888.0000000000009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1.2789769243681803E-13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12394.400000000001</v>
      </c>
      <c r="J76" s="51">
        <f t="shared" si="75"/>
        <v>12394.400000000001</v>
      </c>
      <c r="K76" s="40">
        <f>SUM(K70:K75)</f>
        <v>2.0955904168382129</v>
      </c>
      <c r="L76" s="22">
        <f>SUM(L70:L75)</f>
        <v>0.32327263400872025</v>
      </c>
      <c r="M76" s="24">
        <f>SUM(M70:M75)</f>
        <v>0.31788663759938451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3206.6789187441645</v>
      </c>
      <c r="AB76" s="137"/>
      <c r="AC76" s="153">
        <f>AC65</f>
        <v>4878.5210812558344</v>
      </c>
      <c r="AD76" s="137"/>
      <c r="AE76" s="153">
        <f>AE65</f>
        <v>2154.6</v>
      </c>
      <c r="AF76" s="137"/>
      <c r="AG76" s="153">
        <f>AG65</f>
        <v>2154.6</v>
      </c>
      <c r="AH76" s="137"/>
      <c r="AI76" s="153">
        <f>SUM(AA76,AC76,AE76,AG76)</f>
        <v>12394.4</v>
      </c>
      <c r="AJ76" s="154">
        <f>SUM(AA76,AC76)</f>
        <v>8085.1999999999989</v>
      </c>
      <c r="AK76" s="154">
        <f>SUM(AE76,AG76)</f>
        <v>4309.2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34087.36516019734</v>
      </c>
      <c r="J77" s="100">
        <f t="shared" si="75"/>
        <v>34087.36516019734</v>
      </c>
      <c r="K77" s="40"/>
      <c r="L77" s="22">
        <f>-(L131*G$37*F$9/F$7)/B$130</f>
        <v>-0.87425917312637447</v>
      </c>
      <c r="M77" s="24">
        <f>-J77/B$76</f>
        <v>-0.87425917312637447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1156.5180943974633</v>
      </c>
      <c r="AD77" s="112"/>
      <c r="AE77" s="111">
        <f>AE31*$I$83/4</f>
        <v>3448.2292487729264</v>
      </c>
      <c r="AF77" s="112"/>
      <c r="AG77" s="111">
        <f>AG31*$I$83/4</f>
        <v>6882.7417909516944</v>
      </c>
      <c r="AH77" s="110"/>
      <c r="AI77" s="154">
        <f>SUM(AA77,AC77,AE77,AG77)</f>
        <v>11487.489134122083</v>
      </c>
      <c r="AJ77" s="153">
        <f>SUM(AA77,AC77)</f>
        <v>1156.5180943974633</v>
      </c>
      <c r="AK77" s="160">
        <f>SUM(AE77,AG77)</f>
        <v>10330.97103972462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1.2789769243681803E-13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108.07891874416418</v>
      </c>
      <c r="AB79" s="112"/>
      <c r="AC79" s="112">
        <f>AA79-AA74+AC65-AC70</f>
        <v>1779.921081255834</v>
      </c>
      <c r="AD79" s="112"/>
      <c r="AE79" s="112">
        <f>AC79-AC74+AE65-AE70</f>
        <v>-944.00000000000045</v>
      </c>
      <c r="AF79" s="112"/>
      <c r="AG79" s="112">
        <f>AE79-AE74+AG65-AG70</f>
        <v>-944.00000000000045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0.45719525208772888</v>
      </c>
      <c r="J119" s="24">
        <f>SUM(J91:J118)</f>
        <v>0.45719525208772888</v>
      </c>
      <c r="K119" s="22">
        <f>SUM(K91:K118)</f>
        <v>2.3730854862023092</v>
      </c>
      <c r="L119" s="22">
        <f>SUM(L91:L118)</f>
        <v>0.46494157324393032</v>
      </c>
      <c r="M119" s="57">
        <f t="shared" si="80"/>
        <v>0.45719525208772888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0.45719525208772888</v>
      </c>
      <c r="J124" s="238">
        <f>IF(SUMPRODUCT($B$124:$B124,$H$124:$H124)&lt;J$119,($B124*$H124),J$119)</f>
        <v>0.45719525208772888</v>
      </c>
      <c r="K124" s="29">
        <f>(B124)</f>
        <v>1.1243846421173307</v>
      </c>
      <c r="L124" s="29">
        <f>IF(SUMPRODUCT($B$124:$B124,$H$124:$H124)&lt;L$119,($B124*$H124),L$119)</f>
        <v>0.46494157324393032</v>
      </c>
      <c r="M124" s="241">
        <f t="shared" si="93"/>
        <v>0.45719525208772888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0.45719525208772888</v>
      </c>
      <c r="J130" s="229">
        <f>(J119)</f>
        <v>0.45719525208772888</v>
      </c>
      <c r="K130" s="29">
        <f>(B130)</f>
        <v>2.3730854862023092</v>
      </c>
      <c r="L130" s="29">
        <f>(L119)</f>
        <v>0.46494157324393032</v>
      </c>
      <c r="M130" s="241">
        <f t="shared" si="93"/>
        <v>0.45719525208772888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1.2573889423790492</v>
      </c>
      <c r="J131" s="238">
        <f>IF(SUMPRODUCT($B124:$B125,$H124:$H125)&gt;(J119-J128),SUMPRODUCT($B124:$B125,$H124:$H125)+J128-J119,0)</f>
        <v>1.2573889423790492</v>
      </c>
      <c r="K131" s="29"/>
      <c r="L131" s="29">
        <f>IF(I131&lt;SUM(L126:L127),0,I131-(SUM(L126:L127)))</f>
        <v>1.2573889423790492</v>
      </c>
      <c r="M131" s="238">
        <f>IF(I131&lt;SUM(M126:M127),0,I131-(SUM(M126:M127)))</f>
        <v>1.2573889423790492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6399.4998436334054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0.69726721479650167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6.8039669126041508E-2</v>
      </c>
      <c r="AB8" s="125">
        <f>IF($Y8=0,0,AC8/$Y8)</f>
        <v>0.30273278520349833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2.9540810326013286E-2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0.69726721479650167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7.9023617676936858E-2</v>
      </c>
      <c r="AB9" s="125">
        <f>IF($Y9=0,0,AC9/$Y9)</f>
        <v>0.30273278520349833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3.4309715656396483E-2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0.69726721479650167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0.31965869694219923</v>
      </c>
      <c r="AB10" s="125">
        <f>IF($Y10=0,0,AC10/$Y10)</f>
        <v>0.30273278520349828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0.13878634415369112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10272.514689261814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0.69726721479650167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0.1369377236881815</v>
      </c>
      <c r="AB11" s="125">
        <f>IF($Y11=0,0,AC11/$Y11)</f>
        <v>0.30273278520349833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5.9454306199738793E-2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2.2805014402496881E-2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2.2805014402496881E-2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414.58165130098376</v>
      </c>
      <c r="U12" s="224">
        <v>6</v>
      </c>
      <c r="V12" s="56"/>
      <c r="W12" s="117"/>
      <c r="X12" s="118"/>
      <c r="Y12" s="183">
        <f t="shared" si="9"/>
        <v>9.1220057609987526E-2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6.1117438598691648E-2</v>
      </c>
      <c r="AF12" s="122">
        <f>1-SUM(Z12,AB12,AD12)</f>
        <v>0.32999999999999996</v>
      </c>
      <c r="AG12" s="121">
        <f>$M12*AF12*4</f>
        <v>3.0102619011295881E-2</v>
      </c>
      <c r="AH12" s="123">
        <f t="shared" si="12"/>
        <v>1</v>
      </c>
      <c r="AI12" s="183">
        <f t="shared" si="13"/>
        <v>2.2805014402496881E-2</v>
      </c>
      <c r="AJ12" s="120">
        <f t="shared" si="14"/>
        <v>0</v>
      </c>
      <c r="AK12" s="119">
        <f t="shared" si="15"/>
        <v>4.5610028804993763E-2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1.5292774364027317E-2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1.5292774364027317E-2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81778.598974945926</v>
      </c>
      <c r="T23" s="179">
        <f>SUM(T7:T22)</f>
        <v>81853.691799229258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5.0668150650056505E-4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5.0668150650056505E-4</v>
      </c>
      <c r="N28" s="230"/>
      <c r="O28" s="2"/>
      <c r="P28" s="22"/>
      <c r="U28" s="56"/>
      <c r="V28" s="56"/>
      <c r="W28" s="110"/>
      <c r="X28" s="118"/>
      <c r="Y28" s="183">
        <f t="shared" si="9"/>
        <v>2.0267260260022602E-3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1.0133630130011301E-3</v>
      </c>
      <c r="AF28" s="122">
        <f t="shared" si="10"/>
        <v>0.5</v>
      </c>
      <c r="AG28" s="121">
        <f t="shared" si="11"/>
        <v>1.0133630130011301E-3</v>
      </c>
      <c r="AH28" s="123">
        <f t="shared" si="12"/>
        <v>1</v>
      </c>
      <c r="AI28" s="183">
        <f t="shared" si="13"/>
        <v>5.0668150650056505E-4</v>
      </c>
      <c r="AJ28" s="120">
        <f t="shared" si="14"/>
        <v>0</v>
      </c>
      <c r="AK28" s="119">
        <f t="shared" si="15"/>
        <v>1.0133630130011301E-3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0.21357506574394558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0.21357506574394558</v>
      </c>
      <c r="N29" s="230"/>
      <c r="P29" s="22"/>
      <c r="V29" s="56"/>
      <c r="W29" s="110"/>
      <c r="X29" s="118"/>
      <c r="Y29" s="183">
        <f t="shared" si="9"/>
        <v>0.85430026297578232</v>
      </c>
      <c r="Z29" s="156">
        <f>Poor!Z29</f>
        <v>0.25</v>
      </c>
      <c r="AA29" s="121">
        <f t="shared" si="16"/>
        <v>0.21357506574394558</v>
      </c>
      <c r="AB29" s="156">
        <f>Poor!AB29</f>
        <v>0.25</v>
      </c>
      <c r="AC29" s="121">
        <f t="shared" si="7"/>
        <v>0.21357506574394558</v>
      </c>
      <c r="AD29" s="156">
        <f>Poor!AD29</f>
        <v>0.25</v>
      </c>
      <c r="AE29" s="121">
        <f t="shared" si="8"/>
        <v>0.21357506574394558</v>
      </c>
      <c r="AF29" s="122">
        <f t="shared" si="10"/>
        <v>0.25</v>
      </c>
      <c r="AG29" s="121">
        <f t="shared" si="11"/>
        <v>0.21357506574394558</v>
      </c>
      <c r="AH29" s="123">
        <f t="shared" si="12"/>
        <v>1</v>
      </c>
      <c r="AI29" s="183">
        <f t="shared" si="13"/>
        <v>0.21357506574394558</v>
      </c>
      <c r="AJ29" s="120">
        <f t="shared" si="14"/>
        <v>0.21357506574394558</v>
      </c>
      <c r="AK29" s="119">
        <f t="shared" si="15"/>
        <v>0.21357506574394558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1.6005904271309492</v>
      </c>
      <c r="J30" s="232">
        <f>IF(I$32&lt;=1,I30,1-SUM(J6:J29))</f>
        <v>0.30835716824515513</v>
      </c>
      <c r="K30" s="22">
        <f t="shared" si="4"/>
        <v>0.70110216687422167</v>
      </c>
      <c r="L30" s="22">
        <f>IF(L124=L119,0,IF(K30="",0,(L119-L124)/(B119-B124)*K30))</f>
        <v>0.2265428872408097</v>
      </c>
      <c r="M30" s="175">
        <f t="shared" si="6"/>
        <v>0.30835716824515513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1.2334286729806205</v>
      </c>
      <c r="Z30" s="122">
        <f>IF($Y30=0,0,AA30/($Y$30))</f>
        <v>9.0011125000221253E-17</v>
      </c>
      <c r="AA30" s="187">
        <f>IF(AA79*4/$I$84+SUM(AA6:AA29)&lt;1,AA79*4/$I$84,1-SUM(AA6:AA29))</f>
        <v>1.1102230246251565E-16</v>
      </c>
      <c r="AB30" s="122">
        <f>IF($Y30=0,0,AC30/($Y$30))</f>
        <v>0.2474343965854571</v>
      </c>
      <c r="AC30" s="187">
        <f>IF(AC79*4/$I$84+SUM(AC6:AC29)&lt;1,AC79*4/$I$84,1-SUM(AC6:AC29))</f>
        <v>0.30519267943016093</v>
      </c>
      <c r="AD30" s="122">
        <f>IF($Y30=0,0,AE30/($Y$30))</f>
        <v>0.42513227068458742</v>
      </c>
      <c r="AE30" s="187">
        <f>IF(AE79*4/$I$84+SUM(AE6:AE29)&lt;1,AE79*4/$I$84,1-SUM(AE6:AE29))</f>
        <v>0.5243703324717286</v>
      </c>
      <c r="AF30" s="122">
        <f>IF($Y30=0,0,AG30/($Y$30))</f>
        <v>0.37702768609316006</v>
      </c>
      <c r="AG30" s="187">
        <f>IF(AG79*4/$I$84+SUM(AG6:AG29)&lt;1,AG79*4/$I$84,1-SUM(AG6:AG29))</f>
        <v>0.46503675853484039</v>
      </c>
      <c r="AH30" s="123">
        <f t="shared" si="12"/>
        <v>1.0495943533632046</v>
      </c>
      <c r="AI30" s="183">
        <f t="shared" si="13"/>
        <v>0.32364994260918251</v>
      </c>
      <c r="AJ30" s="120">
        <f t="shared" si="14"/>
        <v>0.15259633971508052</v>
      </c>
      <c r="AK30" s="119">
        <f t="shared" si="15"/>
        <v>0.49470354550328449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8.4285695975238606E-2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2.3109642826140586</v>
      </c>
      <c r="J32" s="17"/>
      <c r="L32" s="22">
        <f>SUM(L6:L30)</f>
        <v>0.91571430402476139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26645.386328110792</v>
      </c>
      <c r="T32" s="235">
        <f t="shared" si="24"/>
        <v>26570.293503827459</v>
      </c>
      <c r="U32" s="56"/>
      <c r="V32" s="56"/>
      <c r="W32" s="110"/>
      <c r="X32" s="118"/>
      <c r="Y32" s="115">
        <f>SUM(Y6:Y31)</f>
        <v>3.9388289025438903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0.11656276930970565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749.26322033563576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8.3988703097818158E-3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749.26322033563576</v>
      </c>
      <c r="AH38" s="123">
        <f t="shared" ref="AH38:AI58" si="37">SUM(Z38,AB38,AD38,AF38)</f>
        <v>1</v>
      </c>
      <c r="AI38" s="112">
        <f t="shared" si="37"/>
        <v>749.26322033563576</v>
      </c>
      <c r="AJ38" s="148">
        <f t="shared" ref="AJ38:AJ64" si="38">(AA38+AC38)</f>
        <v>0</v>
      </c>
      <c r="AK38" s="147">
        <f t="shared" ref="AK38:AK64" si="39">(AE38+AG38)</f>
        <v>749.26322033563576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0.69726721479650167</v>
      </c>
      <c r="AA39" s="147">
        <f t="shared" ref="AA39:AA64" si="40">$J39*Z39</f>
        <v>0</v>
      </c>
      <c r="AB39" s="122">
        <f>AB8</f>
        <v>0.30273278520349833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0.69726721479650167</v>
      </c>
      <c r="AA40" s="147">
        <f t="shared" si="40"/>
        <v>0</v>
      </c>
      <c r="AB40" s="122">
        <f>AB9</f>
        <v>0.30273278520349833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0.69726721479650167</v>
      </c>
      <c r="AA41" s="147">
        <f t="shared" si="40"/>
        <v>0</v>
      </c>
      <c r="AB41" s="122">
        <f>AB11</f>
        <v>0.30273278520349833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62329.2</v>
      </c>
      <c r="J65" s="39">
        <f>SUM(J37:J64)</f>
        <v>62016.463220335623</v>
      </c>
      <c r="K65" s="40">
        <f>SUM(K37:K64)</f>
        <v>1</v>
      </c>
      <c r="L65" s="22">
        <f>SUM(L37:L64)</f>
        <v>0.69471135522923444</v>
      </c>
      <c r="M65" s="24">
        <f>SUM(M37:M64)</f>
        <v>0.69517389553116937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13192.799999999997</v>
      </c>
      <c r="AD65" s="137"/>
      <c r="AE65" s="153">
        <f>SUM(AE37:AE64)</f>
        <v>13192.799999999997</v>
      </c>
      <c r="AF65" s="137"/>
      <c r="AG65" s="153">
        <f>SUM(AG37:AG64)</f>
        <v>22438.063220335633</v>
      </c>
      <c r="AH65" s="137"/>
      <c r="AI65" s="153">
        <f>SUM(AI37:AI64)</f>
        <v>62016.463220335623</v>
      </c>
      <c r="AJ65" s="153">
        <f>SUM(AJ37:AJ64)</f>
        <v>26385.599999999995</v>
      </c>
      <c r="AK65" s="153">
        <f>SUM(AK37:AK64)</f>
        <v>35630.863220335625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12659.367142996954</v>
      </c>
      <c r="K72" s="40">
        <f t="shared" si="47"/>
        <v>0.3498710906849008</v>
      </c>
      <c r="L72" s="22">
        <f t="shared" si="45"/>
        <v>0.16381867803414468</v>
      </c>
      <c r="M72" s="24">
        <f t="shared" si="48"/>
        <v>0.14190524765157442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39052.291355822388</v>
      </c>
      <c r="J74" s="51">
        <f t="shared" si="44"/>
        <v>7523.5074331610658</v>
      </c>
      <c r="K74" s="40">
        <f>B74/B$76</f>
        <v>0.11621177416029714</v>
      </c>
      <c r="L74" s="22">
        <f t="shared" si="45"/>
        <v>6.1958828476587249E-2</v>
      </c>
      <c r="M74" s="24">
        <f>J74/B$76</f>
        <v>8.4334799161092544E-2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1.1711394846334055E-12</v>
      </c>
      <c r="AB74" s="156"/>
      <c r="AC74" s="147">
        <f>AC30*$I$84/4</f>
        <v>3219.381956363256</v>
      </c>
      <c r="AD74" s="156"/>
      <c r="AE74" s="147">
        <f>AE30*$I$84/4</f>
        <v>5531.418348446965</v>
      </c>
      <c r="AF74" s="156"/>
      <c r="AG74" s="147">
        <f>AG30*$I$84/4</f>
        <v>4905.5270665996404</v>
      </c>
      <c r="AH74" s="155"/>
      <c r="AI74" s="147">
        <f>SUM(AA74,AC74,AE74,AG74)</f>
        <v>13656.327371409861</v>
      </c>
      <c r="AJ74" s="148">
        <f>(AA74+AC74)</f>
        <v>3219.3819563632574</v>
      </c>
      <c r="AK74" s="147">
        <f>(AE74+AG74)</f>
        <v>10436.945415046604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21155.838299417424</v>
      </c>
      <c r="AB75" s="158"/>
      <c r="AC75" s="149">
        <f>AA75+AC65-SUM(AC70,AC74)</f>
        <v>25310.029182009763</v>
      </c>
      <c r="AD75" s="158"/>
      <c r="AE75" s="149">
        <f>AC75+AE65-SUM(AE70,AE74)</f>
        <v>27152.183672518393</v>
      </c>
      <c r="AF75" s="158"/>
      <c r="AG75" s="149">
        <f>IF(SUM(AG6:AG29)+((AG65-AG70-$J$75)*4/I$83)&lt;1,0,AG65-AG70-$J$75-(1-SUM(AG6:AG29))*I$83/4)</f>
        <v>13782.265460461826</v>
      </c>
      <c r="AH75" s="134"/>
      <c r="AI75" s="149">
        <f>AI76-SUM(AI70,AI74)</f>
        <v>25083.227204748167</v>
      </c>
      <c r="AJ75" s="151">
        <f>AJ76-SUM(AJ70,AJ74)</f>
        <v>11527.763721547937</v>
      </c>
      <c r="AK75" s="149">
        <f>AJ75+AK76-SUM(AK70,AK74)</f>
        <v>25083.227204748167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62329.2</v>
      </c>
      <c r="J76" s="51">
        <f t="shared" si="44"/>
        <v>62016.46322033563</v>
      </c>
      <c r="K76" s="40">
        <f>SUM(K70:K75)</f>
        <v>0.99999999999999989</v>
      </c>
      <c r="L76" s="22">
        <f>SUM(L70:L75)</f>
        <v>0.69471135522923455</v>
      </c>
      <c r="M76" s="24">
        <f>SUM(M70:M75)</f>
        <v>0.69517389553116948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13192.799999999997</v>
      </c>
      <c r="AD76" s="137"/>
      <c r="AE76" s="153">
        <f>AE65</f>
        <v>13192.799999999997</v>
      </c>
      <c r="AF76" s="137"/>
      <c r="AG76" s="153">
        <f>AG65</f>
        <v>22438.063220335633</v>
      </c>
      <c r="AH76" s="137"/>
      <c r="AI76" s="153">
        <f>SUM(AA76,AC76,AE76,AG76)</f>
        <v>62016.46322033563</v>
      </c>
      <c r="AJ76" s="154">
        <f>SUM(AA76,AC76)</f>
        <v>26385.599999999995</v>
      </c>
      <c r="AK76" s="154">
        <f>SUM(AE76,AG76)</f>
        <v>35630.863220335632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-4.4192531471516236E-2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13782.265460461826</v>
      </c>
      <c r="AB78" s="112"/>
      <c r="AC78" s="112">
        <f>IF(AA75&lt;0,0,AA75)</f>
        <v>21155.838299417424</v>
      </c>
      <c r="AD78" s="112"/>
      <c r="AE78" s="112">
        <f>AC75</f>
        <v>25310.029182009763</v>
      </c>
      <c r="AF78" s="112"/>
      <c r="AG78" s="112">
        <f>AE75</f>
        <v>27152.183672518393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21155.838299417424</v>
      </c>
      <c r="AB79" s="112"/>
      <c r="AC79" s="112">
        <f>AA79-AA74+AC65-AC70</f>
        <v>28529.41113837302</v>
      </c>
      <c r="AD79" s="112"/>
      <c r="AE79" s="112">
        <f>AC79-AC74+AE65-AE70</f>
        <v>32683.602020965358</v>
      </c>
      <c r="AF79" s="112"/>
      <c r="AG79" s="112">
        <f>AE79-AE74+AG65-AG70</f>
        <v>43771.019731809625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3.0709172144177527E-2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3.0709172144177527E-2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2.5546137598365632</v>
      </c>
      <c r="J119" s="24">
        <f>SUM(J91:J118)</f>
        <v>2.5417959845316087</v>
      </c>
      <c r="K119" s="22">
        <f>SUM(K91:K118)</f>
        <v>6.0329701696762132</v>
      </c>
      <c r="L119" s="22">
        <f>SUM(L91:L118)</f>
        <v>2.5401047773535192</v>
      </c>
      <c r="M119" s="57">
        <f t="shared" si="49"/>
        <v>2.5417959845316087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0.51885462181967523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0.5989776956459314</v>
      </c>
      <c r="M126" s="57">
        <f t="shared" si="65"/>
        <v>0.51885462181967523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1.6005904271309492</v>
      </c>
      <c r="J128" s="229">
        <f>(J30)</f>
        <v>0.30835716824515513</v>
      </c>
      <c r="K128" s="22">
        <f>(B128)</f>
        <v>0.70110216687422167</v>
      </c>
      <c r="L128" s="22">
        <f>IF(L124=L119,0,(L119-L124)/(B119-B124)*K128)</f>
        <v>0.2265428872408097</v>
      </c>
      <c r="M128" s="57">
        <f t="shared" si="63"/>
        <v>0.30835716824515513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2.5546137598365632</v>
      </c>
      <c r="J130" s="229">
        <f>(J119)</f>
        <v>2.5417959845316087</v>
      </c>
      <c r="K130" s="22">
        <f>(B130)</f>
        <v>6.0329701696762132</v>
      </c>
      <c r="L130" s="22">
        <f>(L119)</f>
        <v>2.5401047773535192</v>
      </c>
      <c r="M130" s="57">
        <f t="shared" si="63"/>
        <v>2.5417959845316087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0.16158316611523316</v>
      </c>
      <c r="M131" s="238">
        <f>IF(I131&lt;SUM(M126:M127),0,I131-(SUM(M126:M127)))</f>
        <v>0.24170623994148932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9156.4772149999899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26890.347493050027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0.40560443638850946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4.8772582302782606E-2</v>
      </c>
      <c r="AB8" s="125">
        <f>IF($Y8=0,0,AC8/$Y8)</f>
        <v>0.40235315908286634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4.8381627037621847E-2</v>
      </c>
      <c r="AD8" s="125">
        <f>IF($Y8=0,0,AE8/$Y8)</f>
        <v>0.19204240452862414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2.3092459401812246E-2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3.0061667185554173E-2</v>
      </c>
      <c r="AJ8" s="120">
        <f t="shared" si="14"/>
        <v>4.8577104670202223E-2</v>
      </c>
      <c r="AK8" s="119">
        <f t="shared" si="15"/>
        <v>1.1546229700906123E-2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0.4056044363885094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4.5968502790697738E-2</v>
      </c>
      <c r="AB9" s="125">
        <f>IF($Y9=0,0,AC9/$Y9)</f>
        <v>0.40235315908286629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4.5600024696058179E-2</v>
      </c>
      <c r="AD9" s="125">
        <f>IF($Y9=0,0,AE9/$Y9)</f>
        <v>0.19204240452862431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2.1764805846577424E-2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4.5784263743377962E-2</v>
      </c>
      <c r="AK9" s="119">
        <f t="shared" si="15"/>
        <v>1.0882402923288712E-2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0.20319910239623704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0.20319910239623704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0.81279640958494814</v>
      </c>
      <c r="Z10" s="125">
        <f>IF($Y10=0,0,AA10/$Y10)</f>
        <v>0.4056044363885094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0.32967382960830693</v>
      </c>
      <c r="AB10" s="125">
        <f>IF($Y10=0,0,AC10/$Y10)</f>
        <v>0.40235315908286634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0.32703120308771522</v>
      </c>
      <c r="AD10" s="125">
        <f>IF($Y10=0,0,AE10/$Y10)</f>
        <v>0.19204240452862428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0.15609137688892599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0.20319910239623706</v>
      </c>
      <c r="AJ10" s="120">
        <f t="shared" si="14"/>
        <v>0.3283525163480111</v>
      </c>
      <c r="AK10" s="119">
        <f t="shared" si="15"/>
        <v>7.8045688444462996E-2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31839.554753223092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0.4056044363885094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0.11470676917519471</v>
      </c>
      <c r="AB11" s="125">
        <f>IF($Y11=0,0,AC11/$Y11)</f>
        <v>0.40235315908286629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0.11378729324750607</v>
      </c>
      <c r="AD11" s="125">
        <f>IF($Y11=0,0,AE11/$Y11)</f>
        <v>0.19204240452862431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5.4310460615904485E-2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0.11424703121135038</v>
      </c>
      <c r="AK11" s="119">
        <f t="shared" si="15"/>
        <v>2.7155230307952243E-2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1.9679068349456312E-2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1.9679068349456312E-2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7.8716273397825248E-2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5.2739903176542917E-2</v>
      </c>
      <c r="AF12" s="122">
        <f>1-SUM(Z12,AB12,AD12)</f>
        <v>0.32999999999999996</v>
      </c>
      <c r="AG12" s="121">
        <f>$M12*AF12*4</f>
        <v>2.5976370221282328E-2</v>
      </c>
      <c r="AH12" s="123">
        <f t="shared" si="12"/>
        <v>1</v>
      </c>
      <c r="AI12" s="183">
        <f t="shared" si="13"/>
        <v>1.9679068349456312E-2</v>
      </c>
      <c r="AJ12" s="120">
        <f t="shared" si="14"/>
        <v>0</v>
      </c>
      <c r="AK12" s="119">
        <f t="shared" si="15"/>
        <v>3.9358136698912624E-2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3.1355803068543629E-3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3.1355803068543629E-3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1.2542321227417452E-2</v>
      </c>
      <c r="Z13" s="156">
        <f>Poor!Z13</f>
        <v>1</v>
      </c>
      <c r="AA13" s="121">
        <f>$M13*Z13*4</f>
        <v>1.2542321227417452E-2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3.1355803068543629E-3</v>
      </c>
      <c r="AJ13" s="120">
        <f t="shared" si="14"/>
        <v>6.2711606137087258E-3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4.369737608812276E-3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4.369737608812276E-3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1.7478950435249104E-2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1.7478950435249104E-2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4.369737608812276E-3</v>
      </c>
      <c r="AJ14" s="120">
        <f t="shared" si="14"/>
        <v>8.7394752176245521E-3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156339.96982295299</v>
      </c>
      <c r="T23" s="179">
        <f>SUM(T7:T22)</f>
        <v>155548.86055009125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3.3501936294567172E-2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3.3501936294567172E-2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0.13400774517826869</v>
      </c>
      <c r="Z27" s="156">
        <f>Poor!Z27</f>
        <v>0.25</v>
      </c>
      <c r="AA27" s="121">
        <f t="shared" si="16"/>
        <v>3.3501936294567172E-2</v>
      </c>
      <c r="AB27" s="156">
        <f>Poor!AB27</f>
        <v>0.25</v>
      </c>
      <c r="AC27" s="121">
        <f t="shared" si="7"/>
        <v>3.3501936294567172E-2</v>
      </c>
      <c r="AD27" s="156">
        <f>Poor!AD27</f>
        <v>0.25</v>
      </c>
      <c r="AE27" s="121">
        <f t="shared" si="8"/>
        <v>3.3501936294567172E-2</v>
      </c>
      <c r="AF27" s="122">
        <f t="shared" si="10"/>
        <v>0.25</v>
      </c>
      <c r="AG27" s="121">
        <f t="shared" si="11"/>
        <v>3.3501936294567172E-2</v>
      </c>
      <c r="AH27" s="123">
        <f t="shared" si="12"/>
        <v>1</v>
      </c>
      <c r="AI27" s="183">
        <f t="shared" si="13"/>
        <v>3.3501936294567172E-2</v>
      </c>
      <c r="AJ27" s="120">
        <f t="shared" si="14"/>
        <v>3.3501936294567172E-2</v>
      </c>
      <c r="AK27" s="119">
        <f t="shared" si="15"/>
        <v>3.3501936294567172E-2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5.4354173929238765E-4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5.4354173929238765E-4</v>
      </c>
      <c r="N28" s="230"/>
      <c r="O28" s="2"/>
      <c r="P28" s="22"/>
      <c r="U28" s="56"/>
      <c r="V28" s="56"/>
      <c r="W28" s="110"/>
      <c r="X28" s="118"/>
      <c r="Y28" s="183">
        <f t="shared" si="9"/>
        <v>2.1741669571695506E-3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1.0870834785847753E-3</v>
      </c>
      <c r="AF28" s="122">
        <f t="shared" si="10"/>
        <v>0.5</v>
      </c>
      <c r="AG28" s="121">
        <f t="shared" si="11"/>
        <v>1.0870834785847753E-3</v>
      </c>
      <c r="AH28" s="123">
        <f t="shared" si="12"/>
        <v>1</v>
      </c>
      <c r="AI28" s="183">
        <f t="shared" si="13"/>
        <v>5.4354173929238765E-4</v>
      </c>
      <c r="AJ28" s="120">
        <f t="shared" si="14"/>
        <v>0</v>
      </c>
      <c r="AK28" s="119">
        <f t="shared" si="15"/>
        <v>1.0870834785847753E-3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0.22512147006708333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0.22512147006708333</v>
      </c>
      <c r="N29" s="230"/>
      <c r="P29" s="22"/>
      <c r="V29" s="56"/>
      <c r="W29" s="110"/>
      <c r="X29" s="118"/>
      <c r="Y29" s="183">
        <f t="shared" si="9"/>
        <v>0.90048588026833332</v>
      </c>
      <c r="Z29" s="156">
        <f>Poor!Z29</f>
        <v>0.25</v>
      </c>
      <c r="AA29" s="121">
        <f t="shared" si="16"/>
        <v>0.22512147006708333</v>
      </c>
      <c r="AB29" s="156">
        <f>Poor!AB29</f>
        <v>0.25</v>
      </c>
      <c r="AC29" s="121">
        <f t="shared" si="7"/>
        <v>0.22512147006708333</v>
      </c>
      <c r="AD29" s="156">
        <f>Poor!AD29</f>
        <v>0.25</v>
      </c>
      <c r="AE29" s="121">
        <f t="shared" si="8"/>
        <v>0.22512147006708333</v>
      </c>
      <c r="AF29" s="122">
        <f t="shared" si="10"/>
        <v>0.25</v>
      </c>
      <c r="AG29" s="121">
        <f t="shared" si="11"/>
        <v>0.22512147006708333</v>
      </c>
      <c r="AH29" s="123">
        <f t="shared" si="12"/>
        <v>1</v>
      </c>
      <c r="AI29" s="183">
        <f t="shared" si="13"/>
        <v>0.22512147006708333</v>
      </c>
      <c r="AJ29" s="120">
        <f t="shared" si="14"/>
        <v>0.22512147006708333</v>
      </c>
      <c r="AK29" s="119">
        <f t="shared" si="15"/>
        <v>0.22512147006708333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3.5879324816753737</v>
      </c>
      <c r="J30" s="232">
        <f>IF(I$32&lt;=1,I30,1-SUM(J6:J29))</f>
        <v>0.1238511760379104</v>
      </c>
      <c r="K30" s="22">
        <f t="shared" si="4"/>
        <v>0.46112153424657532</v>
      </c>
      <c r="L30" s="22">
        <f>IF(L124=L119,0,IF(K30="",0,(L119-L124)/(B119-B124)*K30))</f>
        <v>0.28446691237514748</v>
      </c>
      <c r="M30" s="175">
        <f t="shared" si="6"/>
        <v>0.1238511760379104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0.49540470415164162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0.38848607437368649</v>
      </c>
      <c r="AE30" s="187">
        <f>IF(AE79*4/$I$83+SUM(AE6:AE29)&lt;1,AE79*4/$I$83,1-SUM(AE6:AE29))</f>
        <v>0.1924578287421288</v>
      </c>
      <c r="AF30" s="122">
        <f>IF($Y30=0,0,AG30/($Y$30))</f>
        <v>0.61151392562631535</v>
      </c>
      <c r="AG30" s="187">
        <f>IF(AG79*4/$I$83+SUM(AG6:AG29)&lt;1,AG79*4/$I$83,1-SUM(AG6:AG29))</f>
        <v>0.30294687540951371</v>
      </c>
      <c r="AH30" s="123">
        <f t="shared" si="12"/>
        <v>1.0000000000000018</v>
      </c>
      <c r="AI30" s="183">
        <f t="shared" si="13"/>
        <v>0.12385117603791063</v>
      </c>
      <c r="AJ30" s="120">
        <f t="shared" si="14"/>
        <v>0</v>
      </c>
      <c r="AK30" s="119">
        <f t="shared" si="15"/>
        <v>0.24770235207582125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-0.21719670627480947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5.5880976677237575</v>
      </c>
      <c r="J32" s="17"/>
      <c r="L32" s="22">
        <f>SUM(L6:L30)</f>
        <v>1.2171967062748095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-5.3006458614489473E-2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31150.319039572623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0.24209089032246817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31150.319039572623</v>
      </c>
      <c r="AH37" s="123">
        <f>SUM(Z37,AB37,AD37,AF37)</f>
        <v>1</v>
      </c>
      <c r="AI37" s="112">
        <f>SUM(AA37,AC37,AE37,AG37)</f>
        <v>31150.319039572623</v>
      </c>
      <c r="AJ37" s="148">
        <f>(AA37+AC37)</f>
        <v>0</v>
      </c>
      <c r="AK37" s="147">
        <f>(AE37+AG37)</f>
        <v>31150.319039572623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689.23571365047076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5.3565322187458866E-3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689.23571365047076</v>
      </c>
      <c r="AH38" s="123">
        <f t="shared" ref="AH38:AI58" si="35">SUM(Z38,AB38,AD38,AF38)</f>
        <v>1</v>
      </c>
      <c r="AI38" s="112">
        <f t="shared" si="35"/>
        <v>689.23571365047076</v>
      </c>
      <c r="AJ38" s="148">
        <f t="shared" ref="AJ38:AJ64" si="36">(AA38+AC38)</f>
        <v>0</v>
      </c>
      <c r="AK38" s="147">
        <f t="shared" ref="AK38:AK64" si="37">(AE38+AG38)</f>
        <v>689.23571365047076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7371.0452103014259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5.7285541612016801E-2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0.40560443638850946</v>
      </c>
      <c r="AA39" s="147">
        <f>$J39*Z39</f>
        <v>2989.7286381185322</v>
      </c>
      <c r="AB39" s="122">
        <f>AB8</f>
        <v>0.40235315908286634</v>
      </c>
      <c r="AC39" s="147">
        <f>$J39*AB39</f>
        <v>2965.7633261074097</v>
      </c>
      <c r="AD39" s="122">
        <f>AD8</f>
        <v>0.19204240452862414</v>
      </c>
      <c r="AE39" s="147">
        <f>$J39*AD39</f>
        <v>1415.5532460754839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7371.0452103014259</v>
      </c>
      <c r="AJ39" s="148">
        <f t="shared" si="36"/>
        <v>5955.491964225942</v>
      </c>
      <c r="AK39" s="147">
        <f t="shared" si="37"/>
        <v>1415.5532460754839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0.4056044363885094</v>
      </c>
      <c r="AA40" s="147">
        <f>$J40*Z40</f>
        <v>2475.8094797154613</v>
      </c>
      <c r="AB40" s="122">
        <f>AB9</f>
        <v>0.40235315908286629</v>
      </c>
      <c r="AC40" s="147">
        <f>$J40*AB40</f>
        <v>2455.9636830418158</v>
      </c>
      <c r="AD40" s="122">
        <f>AD9</f>
        <v>0.19204240452862431</v>
      </c>
      <c r="AE40" s="147">
        <f>$J40*AD40</f>
        <v>1172.2268372427227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4931.7731627572775</v>
      </c>
      <c r="AK40" s="147">
        <f t="shared" si="37"/>
        <v>1172.2268372427227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13267.881378542568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0.10311397490163025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0.4056044363885094</v>
      </c>
      <c r="AA41" s="147">
        <f>$J41*Z41</f>
        <v>5381.5115486133573</v>
      </c>
      <c r="AB41" s="122">
        <f>AB11</f>
        <v>0.40235315908286629</v>
      </c>
      <c r="AC41" s="147">
        <f>$J41*AB41</f>
        <v>5338.373986993337</v>
      </c>
      <c r="AD41" s="122">
        <f>AD11</f>
        <v>0.19204240452862431</v>
      </c>
      <c r="AE41" s="147">
        <f>$J41*AD41</f>
        <v>2547.9958429358735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13267.881378542568</v>
      </c>
      <c r="AJ41" s="148">
        <f t="shared" si="36"/>
        <v>10719.885535606694</v>
      </c>
      <c r="AK41" s="147">
        <f t="shared" si="37"/>
        <v>2547.9958429358735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147.42090420602852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1.145710832240336E-3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36.855226051507131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73.710452103014262</v>
      </c>
      <c r="AF42" s="122">
        <f t="shared" si="31"/>
        <v>0.25</v>
      </c>
      <c r="AG42" s="147">
        <f t="shared" si="34"/>
        <v>36.855226051507131</v>
      </c>
      <c r="AH42" s="123">
        <f t="shared" si="35"/>
        <v>1</v>
      </c>
      <c r="AI42" s="112">
        <f t="shared" si="35"/>
        <v>147.42090420602852</v>
      </c>
      <c r="AJ42" s="148">
        <f t="shared" si="36"/>
        <v>36.855226051507131</v>
      </c>
      <c r="AK42" s="147">
        <f t="shared" si="37"/>
        <v>110.56567815452139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123130.8</v>
      </c>
      <c r="J65" s="39">
        <f>SUM(J37:J64)</f>
        <v>138822.70224627311</v>
      </c>
      <c r="K65" s="40">
        <f>SUM(K37:K64)</f>
        <v>1</v>
      </c>
      <c r="L65" s="22">
        <f>SUM(L37:L64)</f>
        <v>1.0727493160905246</v>
      </c>
      <c r="M65" s="24">
        <f>SUM(M37:M64)</f>
        <v>1.0788881982581535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30907.104892498857</v>
      </c>
      <c r="AB65" s="137"/>
      <c r="AC65" s="153">
        <f>SUM(AC37:AC64)</f>
        <v>30783.30099614256</v>
      </c>
      <c r="AD65" s="137"/>
      <c r="AE65" s="153">
        <f>SUM(AE37:AE64)</f>
        <v>25232.686378357092</v>
      </c>
      <c r="AF65" s="137"/>
      <c r="AG65" s="153">
        <f>SUM(AG37:AG64)</f>
        <v>51899.609979274595</v>
      </c>
      <c r="AH65" s="137"/>
      <c r="AI65" s="153">
        <f>SUM(AI37:AI64)</f>
        <v>138822.70224627311</v>
      </c>
      <c r="AJ65" s="153">
        <f>SUM(AJ37:AJ64)</f>
        <v>61690.405888641413</v>
      </c>
      <c r="AK65" s="153">
        <f>SUM(AK37:AK64)</f>
        <v>77132.296357631683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97267.568173135965</v>
      </c>
      <c r="J74" s="51">
        <f>J128*I$83</f>
        <v>3357.5611498032831</v>
      </c>
      <c r="K74" s="40">
        <f>B74/B$76</f>
        <v>5.8880461417906448E-2</v>
      </c>
      <c r="L74" s="22">
        <f>(L128*G$37*F$9/F$7)/B$130</f>
        <v>5.9933757143083154E-2</v>
      </c>
      <c r="M74" s="24">
        <f>J74/B$76</f>
        <v>2.6093953228389106E-2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1304.3657505566787</v>
      </c>
      <c r="AF74" s="156"/>
      <c r="AG74" s="147">
        <f>AG30*$I$83/4</f>
        <v>2053.1953992466106</v>
      </c>
      <c r="AH74" s="155"/>
      <c r="AI74" s="147">
        <f>SUM(AA74,AC74,AE74,AG74)</f>
        <v>3357.5611498032895</v>
      </c>
      <c r="AJ74" s="148">
        <f>(AA74+AC74)</f>
        <v>0</v>
      </c>
      <c r="AK74" s="147">
        <f>(AE74+AG74)</f>
        <v>3357.5611498032895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40650.575936272464</v>
      </c>
      <c r="K75" s="40">
        <f>B75/B$76</f>
        <v>0.34342096894361795</v>
      </c>
      <c r="L75" s="22">
        <f>(L129*G$37*F$9/F$7)/B$130</f>
        <v>0.27594533729706433</v>
      </c>
      <c r="M75" s="24">
        <f>J75/B$76</f>
        <v>0.31592402337938685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27171.327622822373</v>
      </c>
      <c r="AB75" s="158"/>
      <c r="AC75" s="149">
        <f>AA75+AC65-SUM(AC70,AC74)</f>
        <v>51488.820662248931</v>
      </c>
      <c r="AD75" s="158"/>
      <c r="AE75" s="149">
        <f>AC75+AE65-SUM(AE70,AE74)</f>
        <v>68951.333333333343</v>
      </c>
      <c r="AF75" s="158"/>
      <c r="AG75" s="149">
        <f>IF(SUM(AG6:AG29)+((AG65-AG70-$J$75)*4/I$83)&lt;1,0,AG65-AG70-$J$75-(1-SUM(AG6:AG29))*I$83/4)</f>
        <v>2730.0306870395189</v>
      </c>
      <c r="AH75" s="134"/>
      <c r="AI75" s="149">
        <f>AI76-SUM(AI70,AI74)</f>
        <v>109601.90926960582</v>
      </c>
      <c r="AJ75" s="151">
        <f>AJ76-SUM(AJ70,AJ74)</f>
        <v>48758.789975209409</v>
      </c>
      <c r="AK75" s="149">
        <f>AJ75+AK76-SUM(AK70,AK74)</f>
        <v>109601.90926960581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123130.79999999997</v>
      </c>
      <c r="J76" s="51">
        <f>J130*I$83</f>
        <v>138822.70224627308</v>
      </c>
      <c r="K76" s="40">
        <f>SUM(K70:K75)</f>
        <v>0.59468001326369868</v>
      </c>
      <c r="L76" s="22">
        <f>SUM(L70:L75)</f>
        <v>0.59447173174168944</v>
      </c>
      <c r="M76" s="24">
        <f>SUM(M70:M75)</f>
        <v>0.60061061390931791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30907.104892498857</v>
      </c>
      <c r="AB76" s="137"/>
      <c r="AC76" s="153">
        <f>AC65</f>
        <v>30783.30099614256</v>
      </c>
      <c r="AD76" s="137"/>
      <c r="AE76" s="153">
        <f>AE65</f>
        <v>25232.686378357092</v>
      </c>
      <c r="AF76" s="137"/>
      <c r="AG76" s="153">
        <f>AG65</f>
        <v>51899.609979274595</v>
      </c>
      <c r="AH76" s="137"/>
      <c r="AI76" s="153">
        <f>SUM(AA76,AC76,AE76,AG76)</f>
        <v>138822.70224627311</v>
      </c>
      <c r="AJ76" s="154">
        <f>SUM(AA76,AC76)</f>
        <v>61690.405888641413</v>
      </c>
      <c r="AK76" s="154">
        <f>SUM(AE76,AG76)</f>
        <v>77132.296357631683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2730.0306870395189</v>
      </c>
      <c r="AB78" s="112"/>
      <c r="AC78" s="112">
        <f>IF(AA75&lt;0,0,AA75)</f>
        <v>27171.327622822373</v>
      </c>
      <c r="AD78" s="112"/>
      <c r="AE78" s="112">
        <f>AC75</f>
        <v>51488.820662248931</v>
      </c>
      <c r="AF78" s="112"/>
      <c r="AG78" s="112">
        <f>AE75</f>
        <v>68951.333333333343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27171.327622822373</v>
      </c>
      <c r="AB79" s="112"/>
      <c r="AC79" s="112">
        <f>AA79-AA74+AC65-AC70</f>
        <v>51488.820662248931</v>
      </c>
      <c r="AD79" s="112"/>
      <c r="AE79" s="112">
        <f>AC79-AC74+AE65-AE70</f>
        <v>70255.699083890024</v>
      </c>
      <c r="AF79" s="112"/>
      <c r="AG79" s="112">
        <f>AE79-AE74+AG65-AG70</f>
        <v>114385.13535589194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1.1490494066603132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1.1490494066603132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2.5424005667905883E-2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2.5424005667905883E-2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0.27189754026607232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0.27189754026607232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0.48941557247893019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0.48941557247893019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5.4379508053214462E-3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5.4379508053214462E-3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4.5419558143809873</v>
      </c>
      <c r="J119" s="24">
        <f>SUM(J91:J118)</f>
        <v>5.1207868351017032</v>
      </c>
      <c r="K119" s="22">
        <f>SUM(K91:K118)</f>
        <v>7.831486424227327</v>
      </c>
      <c r="L119" s="22">
        <f>SUM(L91:L118)</f>
        <v>5.0916495185224822</v>
      </c>
      <c r="M119" s="57">
        <f t="shared" si="50"/>
        <v>5.1207868351017032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3.5879324816753737</v>
      </c>
      <c r="J128" s="229">
        <f>(J30)</f>
        <v>0.1238511760379104</v>
      </c>
      <c r="K128" s="22">
        <f>(B128)</f>
        <v>0.46112153424657532</v>
      </c>
      <c r="L128" s="22">
        <f>IF(L124=L119,0,(L119-L124)/(B119-B124)*K128)</f>
        <v>0.28446691237514748</v>
      </c>
      <c r="M128" s="57">
        <f t="shared" si="90"/>
        <v>0.1238511760379104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1.4994876970805731</v>
      </c>
      <c r="K129" s="29">
        <f>(B129)</f>
        <v>2.6894966560769387</v>
      </c>
      <c r="L129" s="60">
        <f>IF(SUM(L124:L128)&gt;L130,0,L130-SUM(L124:L128))</f>
        <v>1.3097346441641151</v>
      </c>
      <c r="M129" s="57">
        <f t="shared" si="90"/>
        <v>1.4994876970805731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4.5419558143809873</v>
      </c>
      <c r="J130" s="229">
        <f>(J119)</f>
        <v>5.1207868351017032</v>
      </c>
      <c r="K130" s="22">
        <f>(B130)</f>
        <v>7.831486424227327</v>
      </c>
      <c r="L130" s="22">
        <f>(L119)</f>
        <v>5.0916495185224822</v>
      </c>
      <c r="M130" s="57">
        <f t="shared" si="90"/>
        <v>5.1207868351017032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6399.4998436334054</v>
      </c>
      <c r="I72" s="109">
        <f>Rich!T7</f>
        <v>9156.4772149999899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26890.347493050027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10272.514689261814</v>
      </c>
      <c r="I76" s="109">
        <f>Rich!T11</f>
        <v>31839.554753223092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999</v>
      </c>
      <c r="G77" s="109">
        <f>Poor!T12</f>
        <v>1826.4386408042078</v>
      </c>
      <c r="H77" s="109">
        <f>Middle!T12</f>
        <v>414.58165130098376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10261.861913610321</v>
      </c>
      <c r="G88" s="109">
        <f>Poor!T23</f>
        <v>21926.73100873729</v>
      </c>
      <c r="H88" s="109">
        <f>Middle!T23</f>
        <v>81853.691799229258</v>
      </c>
      <c r="I88" s="109">
        <f>Rich!T23</f>
        <v>155548.86055009125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36621.190056113046</v>
      </c>
      <c r="G98" s="240">
        <f t="shared" si="0"/>
        <v>24956.320960986093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57239.723389446386</v>
      </c>
      <c r="G99" s="240">
        <f t="shared" si="0"/>
        <v>45574.854294319433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98162.12338944638</v>
      </c>
      <c r="G100" s="240">
        <f t="shared" si="0"/>
        <v>86497.254294319442</v>
      </c>
      <c r="H100" s="240">
        <f t="shared" si="0"/>
        <v>26570.293503827459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2016-06-04T22:58:53Z</dcterms:modified>
  <cp:category/>
</cp:coreProperties>
</file>