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<sst xmlns="http://schemas.openxmlformats.org/spreadsheetml/2006/main" count="790" uniqueCount="145">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</sst>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0.0518675517194276</c:v>
                </c:pt>
                <c:pt idx="2" formatCode="0.0%">
                  <c:v>0.421670222940722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61096"/>
        <c:axId val="2142682424"/>
      </c:barChart>
      <c:catAx>
        <c:axId val="214586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68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68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86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0.0104978373217683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0.287970961949771</c:v>
                </c:pt>
                <c:pt idx="2">
                  <c:v>0.287970961949771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0.0357899214839586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42600"/>
        <c:axId val="2074657016"/>
      </c:barChart>
      <c:catAx>
        <c:axId val="-203924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65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465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4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0.00822095927308627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0.00123912368607952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0.000141217227057261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0.00137680409564391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0.481064891173465</c:v>
                </c:pt>
                <c:pt idx="2">
                  <c:v>0.481064891173465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0.0160380597353193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918152"/>
        <c:axId val="2147382424"/>
      </c:barChart>
      <c:catAx>
        <c:axId val="214691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8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38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91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0.102503541292074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311368"/>
        <c:axId val="2147301672"/>
      </c:barChart>
      <c:catAx>
        <c:axId val="21473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0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30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31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1407.597974866087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4722.946158195415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5177.152286208287</c:v>
                </c:pt>
                <c:pt idx="7">
                  <c:v>13093.33303442296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948.5442690890826</c:v>
                </c:pt>
                <c:pt idx="5">
                  <c:v>948.5442690890826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1019.42346089378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25488.0</c:v>
                </c:pt>
                <c:pt idx="7">
                  <c:v>173318.4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3456</c:v>
                </c:pt>
                <c:pt idx="5">
                  <c:v>3935.999999999999</c:v>
                </c:pt>
                <c:pt idx="6">
                  <c:v>3167.727442401812</c:v>
                </c:pt>
                <c:pt idx="7">
                  <c:v>5778.203530192031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085816"/>
        <c:axId val="21470834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85816"/>
        <c:axId val="2147083496"/>
      </c:lineChart>
      <c:catAx>
        <c:axId val="214708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08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708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708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944328"/>
        <c:axId val="21469367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44328"/>
        <c:axId val="2146936728"/>
      </c:lineChart>
      <c:catAx>
        <c:axId val="214694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93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936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94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795384"/>
        <c:axId val="21467889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95384"/>
        <c:axId val="2146788952"/>
      </c:lineChart>
      <c:catAx>
        <c:axId val="214679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78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78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79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0.103772496898131</c:v>
                </c:pt>
                <c:pt idx="2">
                  <c:v>0.122726989558517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0.0150960350814027</c:v>
                </c:pt>
                <c:pt idx="2">
                  <c:v>0.122726989558517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-0.341107275633258</c:v>
                </c:pt>
                <c:pt idx="2">
                  <c:v>-0.341107275633258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699320"/>
        <c:axId val="2146696872"/>
      </c:barChart>
      <c:catAx>
        <c:axId val="214669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9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69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9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0.0371683009079844</c:v>
                </c:pt>
                <c:pt idx="2">
                  <c:v>0.0924933623482064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0.125433841492558</c:v>
                </c:pt>
                <c:pt idx="2">
                  <c:v>0.0745250548269172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0.0371683009079844</c:v>
                </c:pt>
                <c:pt idx="2">
                  <c:v>0.0924933623482064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599848"/>
        <c:axId val="2146603208"/>
      </c:barChart>
      <c:catAx>
        <c:axId val="214659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0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60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59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0.00896772461638161</c:v>
                </c:pt>
                <c:pt idx="2">
                  <c:v>0.0170000942676772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0.399414953261226</c:v>
                </c:pt>
                <c:pt idx="2">
                  <c:v>0.391359831136684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0.00896772461638161</c:v>
                </c:pt>
                <c:pt idx="2">
                  <c:v>0.0170000942676772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522920"/>
        <c:axId val="2146515336"/>
      </c:barChart>
      <c:catAx>
        <c:axId val="214652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515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51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52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0.312583896659212</c:v>
                </c:pt>
                <c:pt idx="2">
                  <c:v>0.335267550704403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-0.510609685131037</c:v>
                </c:pt>
                <c:pt idx="2">
                  <c:v>-0.510609685131037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632760"/>
        <c:axId val="2146435336"/>
      </c:barChart>
      <c:catAx>
        <c:axId val="-214463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435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43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63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0.0366575183096394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0.0114163045386775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0.226747984189499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0.253600953066474</c:v>
                </c:pt>
                <c:pt idx="2" formatCode="0.0%">
                  <c:v>0.63108628241839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518440"/>
        <c:axId val="2145899672"/>
      </c:barChart>
      <c:catAx>
        <c:axId val="-21185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89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89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5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568072"/>
        <c:axId val="-21445721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68072"/>
        <c:axId val="-21445721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68072"/>
        <c:axId val="-2144572184"/>
      </c:scatterChart>
      <c:catAx>
        <c:axId val="-2144568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5721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4572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5680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803752"/>
        <c:axId val="-214481072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03752"/>
        <c:axId val="-2144810728"/>
      </c:lineChart>
      <c:catAx>
        <c:axId val="-2144803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8107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4810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8037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96344"/>
        <c:axId val="-21412719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15960"/>
        <c:axId val="-2142091064"/>
      </c:scatterChart>
      <c:valAx>
        <c:axId val="-21419963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271992"/>
        <c:crosses val="autoZero"/>
        <c:crossBetween val="midCat"/>
      </c:valAx>
      <c:valAx>
        <c:axId val="-2141271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996344"/>
        <c:crosses val="autoZero"/>
        <c:crossBetween val="midCat"/>
      </c:valAx>
      <c:valAx>
        <c:axId val="-21415159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2091064"/>
        <c:crosses val="autoZero"/>
        <c:crossBetween val="midCat"/>
      </c:valAx>
      <c:valAx>
        <c:axId val="-21420910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159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14456"/>
        <c:axId val="-21412217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214456"/>
        <c:axId val="-2141221784"/>
      </c:lineChart>
      <c:catAx>
        <c:axId val="-214121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221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221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2144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0.0628328169997602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0.00582483824751837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0.000983000704511205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0.0538813651582348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0.321496089498068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0.249065964123201</c:v>
                </c:pt>
                <c:pt idx="2" formatCode="0.0%">
                  <c:v>0.472153756955212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20872"/>
        <c:axId val="-2039191016"/>
      </c:barChart>
      <c:catAx>
        <c:axId val="-201932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19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19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2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373656"/>
        <c:axId val="-2018980104"/>
      </c:barChart>
      <c:catAx>
        <c:axId val="-203937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98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8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37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0.00140124844333748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-0.0612778107906294</c:v>
                </c:pt>
                <c:pt idx="1">
                  <c:v>-0.606338578501731</c:v>
                </c:pt>
                <c:pt idx="2">
                  <c:v>-0.606338578501731</c:v>
                </c:pt>
                <c:pt idx="3">
                  <c:v>-0.606338578501731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008472"/>
        <c:axId val="-2044038920"/>
      </c:barChart>
      <c:catAx>
        <c:axId val="-2040008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38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03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00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-0.161354502740392</c:v>
                </c:pt>
                <c:pt idx="1">
                  <c:v>-0.301440214068012</c:v>
                </c:pt>
                <c:pt idx="2">
                  <c:v>-0.301440214068012</c:v>
                </c:pt>
                <c:pt idx="3">
                  <c:v>-0.301440214068012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584248"/>
        <c:axId val="-2044691176"/>
      </c:barChart>
      <c:catAx>
        <c:axId val="-20185842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91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69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584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0.0431239045394598</c:v>
                </c:pt>
                <c:pt idx="1">
                  <c:v>0.0258802079266054</c:v>
                </c:pt>
                <c:pt idx="2">
                  <c:v>0.0345020562330326</c:v>
                </c:pt>
                <c:pt idx="3">
                  <c:v>0.0431239045394598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0.226747984189499</c:v>
                </c:pt>
                <c:pt idx="1">
                  <c:v>0.226747984189499</c:v>
                </c:pt>
                <c:pt idx="2">
                  <c:v>0.226747984189499</c:v>
                </c:pt>
                <c:pt idx="3">
                  <c:v>0.226747984189499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0.477342481717835</c:v>
                </c:pt>
                <c:pt idx="1">
                  <c:v>0.708228250891918</c:v>
                </c:pt>
                <c:pt idx="2">
                  <c:v>0.695101551776026</c:v>
                </c:pt>
                <c:pt idx="3">
                  <c:v>0.64367284528778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08456"/>
        <c:axId val="2074621944"/>
      </c:barChart>
      <c:catAx>
        <c:axId val="-2018708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62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462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0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0.251331267999041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0.0232993529900735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0.00263444188809003</c:v>
                </c:pt>
                <c:pt idx="3">
                  <c:v>0.00129756092995479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0.321496089498068</c:v>
                </c:pt>
                <c:pt idx="1">
                  <c:v>0.321496089498068</c:v>
                </c:pt>
                <c:pt idx="2">
                  <c:v>0.321496089498068</c:v>
                </c:pt>
                <c:pt idx="3">
                  <c:v>0.321496089498068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0.231054537840677</c:v>
                </c:pt>
                <c:pt idx="1">
                  <c:v>0.591349842399737</c:v>
                </c:pt>
                <c:pt idx="2">
                  <c:v>0.584315662887737</c:v>
                </c:pt>
                <c:pt idx="3">
                  <c:v>0.481894984692696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942472"/>
        <c:axId val="2089568376"/>
      </c:barChart>
      <c:catAx>
        <c:axId val="2088942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5683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956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94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0.0211802096015683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0.0883107044404373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788248"/>
        <c:axId val="2089736104"/>
      </c:barChart>
      <c:catAx>
        <c:axId val="208978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3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73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8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3.5031211083437112E-4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3455.9999999999995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12179.322604861256</v>
      </c>
      <c r="T23" s="179">
        <f>SUM(T7:T22)</f>
        <v>12948.666873950338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0.71161696139476982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11190.816833461988</v>
      </c>
      <c r="T30" s="234">
        <f t="shared" si="24"/>
        <v>10421.472564372905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-0.16135450274039195</v>
      </c>
      <c r="AB30" s="122">
        <f>IF($Y30=0,0,AC30/($Y$30))</f>
        <v>0</v>
      </c>
      <c r="AC30" s="188">
        <f>IF(AC79*4/$I$83+SUM(AC6:AC29)&lt;1,AC79*4/$I$83,1-SUM(AC6:AC29))</f>
        <v>-0.30144021406801158</v>
      </c>
      <c r="AD30" s="122">
        <f>IF($Y30=0,0,AE30/($Y$30))</f>
        <v>0</v>
      </c>
      <c r="AE30" s="188">
        <f>IF(AE79*4/$I$83+SUM(AE6:AE29)&lt;1,AE79*4/$I$83,1-SUM(AE6:AE29))</f>
        <v>-0.30144021406801158</v>
      </c>
      <c r="AF30" s="122">
        <f>IF($Y30=0,0,AG30/($Y$30))</f>
        <v>0</v>
      </c>
      <c r="AG30" s="188">
        <f>IF(AG79*4/$I$83+SUM(AG6:AG29)&lt;1,AG79*4/$I$83,1-SUM(AG6:AG29))</f>
        <v>-0.30144021406801158</v>
      </c>
      <c r="AH30" s="123">
        <f t="shared" si="12"/>
        <v>0</v>
      </c>
      <c r="AI30" s="184">
        <f t="shared" si="13"/>
        <v>-0.26641878623610671</v>
      </c>
      <c r="AJ30" s="120">
        <f t="shared" si="14"/>
        <v>-0.23139735840420178</v>
      </c>
      <c r="AK30" s="119">
        <f t="shared" si="15"/>
        <v>-0.30144021406801158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0.64823354231490338</v>
      </c>
      <c r="K31" s="22" t="str">
        <f t="shared" si="4"/>
        <v/>
      </c>
      <c r="L31" s="22">
        <f>(1-SUM(L6:L30))</f>
        <v>0.65355691375793157</v>
      </c>
      <c r="M31" s="241">
        <f t="shared" si="6"/>
        <v>0.64823354231490338</v>
      </c>
      <c r="N31" s="167">
        <f>M31*I83</f>
        <v>8408.9232365727494</v>
      </c>
      <c r="P31" s="22"/>
      <c r="Q31" s="238" t="s">
        <v>142</v>
      </c>
      <c r="R31" s="234">
        <f t="shared" si="24"/>
        <v>0</v>
      </c>
      <c r="S31" s="234">
        <f t="shared" si="24"/>
        <v>26393.936833461987</v>
      </c>
      <c r="T31" s="234">
        <f>IF(T25&gt;T$23,T25-T$23,0)</f>
        <v>25624.592564372906</v>
      </c>
      <c r="U31" s="242">
        <f>T31/$B$81</f>
        <v>4270.765427395484</v>
      </c>
      <c r="V31" s="56"/>
      <c r="W31" s="129" t="s">
        <v>84</v>
      </c>
      <c r="X31" s="130"/>
      <c r="Y31" s="121">
        <f>M31*4</f>
        <v>2.5929341692596135</v>
      </c>
      <c r="Z31" s="131"/>
      <c r="AA31" s="132">
        <f>1-AA32+IF($Y32&lt;0,$Y32/4,0)</f>
        <v>0.69595842927073748</v>
      </c>
      <c r="AB31" s="131"/>
      <c r="AC31" s="133">
        <f>1-AC32+IF($Y32&lt;0,$Y32/4,0)</f>
        <v>0.98801737779221344</v>
      </c>
      <c r="AD31" s="134"/>
      <c r="AE31" s="133">
        <f>1-AE32+IF($Y32&lt;0,$Y32/4,0)</f>
        <v>0.98801737779221344</v>
      </c>
      <c r="AF31" s="134"/>
      <c r="AG31" s="133">
        <f>1-AG32+IF($Y32&lt;0,$Y32/4,0)</f>
        <v>0.98801737779221344</v>
      </c>
      <c r="AH31" s="123"/>
      <c r="AI31" s="183">
        <f>SUM(AA31,AC31,AE31,AG31)/4</f>
        <v>0.91500264066184456</v>
      </c>
      <c r="AJ31" s="135">
        <f t="shared" si="14"/>
        <v>0.84198790353147546</v>
      </c>
      <c r="AK31" s="136">
        <f t="shared" si="15"/>
        <v>0.98801737779221344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0.35176645768509662</v>
      </c>
      <c r="J32" s="17"/>
      <c r="L32" s="22">
        <f>SUM(L6:L30)</f>
        <v>0.34644308624206843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50947.376833461989</v>
      </c>
      <c r="T32" s="234">
        <f t="shared" si="24"/>
        <v>50178.032564372908</v>
      </c>
      <c r="U32" s="56"/>
      <c r="V32" s="56"/>
      <c r="W32" s="110"/>
      <c r="X32" s="118"/>
      <c r="Y32" s="115">
        <f>SUM(Y6:Y31)</f>
        <v>3.9985987515566626</v>
      </c>
      <c r="Z32" s="137"/>
      <c r="AA32" s="138">
        <f>SUM(AA6:AA30)</f>
        <v>0.30404157072926252</v>
      </c>
      <c r="AB32" s="137"/>
      <c r="AC32" s="139">
        <f>SUM(AC6:AC30)</f>
        <v>1.1982622207786564E-2</v>
      </c>
      <c r="AD32" s="137"/>
      <c r="AE32" s="139">
        <f>SUM(AE6:AE30)</f>
        <v>1.1982622207786564E-2</v>
      </c>
      <c r="AF32" s="137"/>
      <c r="AG32" s="139">
        <f>SUM(AG6:AG30)</f>
        <v>1.1982622207786564E-2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141.60200423685549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17215.669327800162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3455.9999999999995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0.10250354129207438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0.59262553829668929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11303.85</v>
      </c>
      <c r="J65" s="39">
        <f>SUM(J37:J64)</f>
        <v>11303.85</v>
      </c>
      <c r="K65" s="40">
        <f>SUM(K37:K64)</f>
        <v>1</v>
      </c>
      <c r="L65" s="22">
        <f>SUM(L37:L64)</f>
        <v>0.31258389665921205</v>
      </c>
      <c r="M65" s="24">
        <f>SUM(M37:M64)</f>
        <v>0.33526755070440251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11303.85</v>
      </c>
      <c r="J70" s="51">
        <f t="shared" ref="J70:J77" si="44">J124*I$83</f>
        <v>11303.85</v>
      </c>
      <c r="K70" s="40">
        <f>B70/B$76</f>
        <v>0.28211352685989483</v>
      </c>
      <c r="L70" s="22">
        <f t="shared" ref="L70:L74" si="45">(L124*G$37*F$9/F$7)/B$130</f>
        <v>0.31258389665921205</v>
      </c>
      <c r="M70" s="24">
        <f>J70/B$76</f>
        <v>0.33526755070440256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2825.9625000000001</v>
      </c>
      <c r="AB70" s="156">
        <f>Poor!AB70</f>
        <v>0.25</v>
      </c>
      <c r="AC70" s="147">
        <f>$J70*AB70</f>
        <v>2825.9625000000001</v>
      </c>
      <c r="AD70" s="156">
        <f>Poor!AD70</f>
        <v>0.25</v>
      </c>
      <c r="AE70" s="147">
        <f>$J70*AD70</f>
        <v>2825.9625000000001</v>
      </c>
      <c r="AF70" s="156">
        <f>Poor!AF70</f>
        <v>0.25</v>
      </c>
      <c r="AG70" s="147">
        <f>$J70*AF70</f>
        <v>2825.9625000000001</v>
      </c>
      <c r="AH70" s="155">
        <f>SUM(Z70,AB70,AD70,AF70)</f>
        <v>1</v>
      </c>
      <c r="AI70" s="147">
        <f>SUM(AA70,AC70,AE70,AG70)</f>
        <v>11303.85</v>
      </c>
      <c r="AJ70" s="148">
        <f>(AA70+AC70)</f>
        <v>5651.9250000000002</v>
      </c>
      <c r="AK70" s="147">
        <f>(AE70+AG70)</f>
        <v>5651.9250000000002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0.38213415104371717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0.16593437771979364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-523.27499999999964</v>
      </c>
      <c r="AB74" s="156"/>
      <c r="AC74" s="147">
        <f>AC30*$I$83/4</f>
        <v>-977.57499999999982</v>
      </c>
      <c r="AD74" s="156"/>
      <c r="AE74" s="147">
        <f>AE30*$I$83/4</f>
        <v>-977.57499999999982</v>
      </c>
      <c r="AF74" s="156"/>
      <c r="AG74" s="147">
        <f>AG30*$I$83/4</f>
        <v>-977.57499999999982</v>
      </c>
      <c r="AH74" s="155"/>
      <c r="AI74" s="147">
        <f>SUM(AA74,AC74,AE74,AG74)</f>
        <v>-3455.9999999999991</v>
      </c>
      <c r="AJ74" s="148">
        <f>(AA74+AC74)</f>
        <v>-1500.8499999999995</v>
      </c>
      <c r="AK74" s="147">
        <f>(AE74+AG74)</f>
        <v>-1955.1499999999996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11303.85</v>
      </c>
      <c r="J76" s="51">
        <f t="shared" si="44"/>
        <v>11303.85</v>
      </c>
      <c r="K76" s="40">
        <f>SUM(K70:K75)</f>
        <v>1.4800236614420834</v>
      </c>
      <c r="L76" s="22">
        <f>SUM(L70:L75)</f>
        <v>0.31258389665921205</v>
      </c>
      <c r="M76" s="24">
        <f>SUM(M70:M75)</f>
        <v>0.33526755070440256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17215.669327800162</v>
      </c>
      <c r="J77" s="100">
        <f t="shared" si="44"/>
        <v>17215.669327800162</v>
      </c>
      <c r="K77" s="40"/>
      <c r="L77" s="22">
        <f>-(L131*G$37*F$9/F$7)/B$130</f>
        <v>-0.51060968513103655</v>
      </c>
      <c r="M77" s="24">
        <f>-J77/B$76</f>
        <v>-0.51060968513103666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2257.0033119099321</v>
      </c>
      <c r="AB77" s="112"/>
      <c r="AC77" s="111">
        <f>AC31*$I$83/4</f>
        <v>3204.1547312506327</v>
      </c>
      <c r="AD77" s="112"/>
      <c r="AE77" s="111">
        <f>AE31*$I$83/4</f>
        <v>3204.1547312506327</v>
      </c>
      <c r="AF77" s="112"/>
      <c r="AG77" s="111">
        <f>AG31*$I$83/4</f>
        <v>3204.1547312506327</v>
      </c>
      <c r="AH77" s="110"/>
      <c r="AI77" s="154">
        <f>SUM(AA77,AC77,AE77,AG77)</f>
        <v>11869.467505661833</v>
      </c>
      <c r="AJ77" s="153">
        <f>SUM(AA77,AC77)</f>
        <v>5461.1580431605653</v>
      </c>
      <c r="AK77" s="160">
        <f>SUM(AE77,AG77)</f>
        <v>6408.3094625012654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-523.27499999999964</v>
      </c>
      <c r="AB79" s="112"/>
      <c r="AC79" s="112">
        <f>AA79-AA74+AC65-AC70</f>
        <v>-977.57499999999982</v>
      </c>
      <c r="AD79" s="112"/>
      <c r="AE79" s="112">
        <f>AC79-AC74+AE65-AE70</f>
        <v>-977.57499999999982</v>
      </c>
      <c r="AF79" s="112"/>
      <c r="AG79" s="112">
        <f>AE79-AE74+AG65-AG70</f>
        <v>-977.57499999999982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0.26641878623610671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0.26641878623610671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2.5415009873347314</v>
      </c>
      <c r="L110" s="22">
        <f t="shared" si="64"/>
        <v>0</v>
      </c>
      <c r="M110" s="228">
        <f t="shared" si="65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0.871399883331891</v>
      </c>
      <c r="J119" s="24">
        <f>SUM(J91:J118)</f>
        <v>0.871399883331891</v>
      </c>
      <c r="K119" s="22">
        <f>SUM(K91:K118)</f>
        <v>4.2885444907410761</v>
      </c>
      <c r="L119" s="22">
        <f>SUM(L91:L118)</f>
        <v>0.81244239267408591</v>
      </c>
      <c r="M119" s="57">
        <f t="shared" si="49"/>
        <v>0.871399883331891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0.871399883331891</v>
      </c>
      <c r="J124" s="237">
        <f>IF(SUMPRODUCT($B$124:$B124,$H$124:$H124)&lt;J$119,($B124*$H124),J$119)</f>
        <v>0.871399883331891</v>
      </c>
      <c r="K124" s="29">
        <f>(B124)</f>
        <v>1.2098564113785366</v>
      </c>
      <c r="L124" s="29">
        <f>IF(SUMPRODUCT($B$124:$B124,$H$124:$H124)&lt;L$119,($B124*$H124),L$119)</f>
        <v>0.81244239267408591</v>
      </c>
      <c r="M124" s="240">
        <f t="shared" si="66"/>
        <v>0.871399883331891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0.71161696139476982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0.871399883331891</v>
      </c>
      <c r="J130" s="228">
        <f>(J119)</f>
        <v>0.871399883331891</v>
      </c>
      <c r="K130" s="29">
        <f>(B130)</f>
        <v>4.2885444907410761</v>
      </c>
      <c r="L130" s="29">
        <f>(L119)</f>
        <v>0.81244239267408591</v>
      </c>
      <c r="M130" s="240">
        <f t="shared" si="66"/>
        <v>0.871399883331891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1.3271347588410563</v>
      </c>
      <c r="J131" s="237">
        <f>IF(SUMPRODUCT($B124:$B125,$H124:$H125)&gt;(J119-J128),SUMPRODUCT($B124:$B125,$H124:$H125)+J128-J119,0)</f>
        <v>1.3271347588410563</v>
      </c>
      <c r="K131" s="29"/>
      <c r="L131" s="29">
        <f>IF(I131&lt;SUM(L126:L127),0,I131-(SUM(L126:L127)))</f>
        <v>1.3271347588410563</v>
      </c>
      <c r="M131" s="237">
        <f>IF(I131&lt;SUM(M126:M127),0,I131-(SUM(M126:M127)))</f>
        <v>1.3271347588410563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3.5031211083437112E-4</v>
      </c>
      <c r="K16" s="22">
        <f t="shared" si="4"/>
        <v>0</v>
      </c>
      <c r="L16" s="22">
        <f t="shared" si="5"/>
        <v>0</v>
      </c>
      <c r="M16" s="224">
        <f t="shared" si="6"/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3935.9999999999986</v>
      </c>
      <c r="U16" s="223">
        <v>10</v>
      </c>
      <c r="V16" s="56"/>
      <c r="W16" s="110"/>
      <c r="X16" s="118"/>
      <c r="Y16" s="184">
        <f t="shared" si="9"/>
        <v>1.4012484433374845E-3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1.4012484433374845E-3</v>
      </c>
      <c r="AH16" s="123">
        <f t="shared" si="12"/>
        <v>1</v>
      </c>
      <c r="AI16" s="184">
        <f t="shared" si="13"/>
        <v>3.5031211083437112E-4</v>
      </c>
      <c r="AJ16" s="120">
        <f t="shared" si="14"/>
        <v>0</v>
      </c>
      <c r="AK16" s="119">
        <f t="shared" si="15"/>
        <v>7.0062422166874223E-4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19891.074578697982</v>
      </c>
      <c r="T23" s="179">
        <f>SUM(T7:T22)</f>
        <v>20740.418847787063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0.22496954936955371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0.22496954936955371</v>
      </c>
      <c r="N29" s="229"/>
      <c r="P29" s="22"/>
      <c r="V29" s="56"/>
      <c r="W29" s="110"/>
      <c r="X29" s="118"/>
      <c r="Y29" s="184">
        <f t="shared" si="9"/>
        <v>0.89987819747821485</v>
      </c>
      <c r="Z29" s="116">
        <v>0.25</v>
      </c>
      <c r="AA29" s="121">
        <f t="shared" si="16"/>
        <v>0.22496954936955371</v>
      </c>
      <c r="AB29" s="116">
        <v>0.25</v>
      </c>
      <c r="AC29" s="121">
        <f t="shared" si="7"/>
        <v>0.22496954936955371</v>
      </c>
      <c r="AD29" s="116">
        <v>0.25</v>
      </c>
      <c r="AE29" s="121">
        <f t="shared" si="8"/>
        <v>0.22496954936955371</v>
      </c>
      <c r="AF29" s="122">
        <f t="shared" si="10"/>
        <v>0.25</v>
      </c>
      <c r="AG29" s="121">
        <f t="shared" si="11"/>
        <v>0.22496954936955371</v>
      </c>
      <c r="AH29" s="123">
        <f t="shared" si="12"/>
        <v>1</v>
      </c>
      <c r="AI29" s="184">
        <f t="shared" si="13"/>
        <v>0.22496954936955371</v>
      </c>
      <c r="AJ29" s="120">
        <f t="shared" si="14"/>
        <v>0.22496954936955371</v>
      </c>
      <c r="AK29" s="119">
        <f t="shared" si="15"/>
        <v>0.22496954936955371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0.42167022294072165</v>
      </c>
      <c r="J30" s="231">
        <f>IF(I$32&lt;=1,I30,1-SUM(J6:J29))</f>
        <v>0.42167022294072165</v>
      </c>
      <c r="K30" s="22">
        <f t="shared" si="4"/>
        <v>0.64870199252802008</v>
      </c>
      <c r="L30" s="22">
        <f>IF(L124=L119,0,IF(K30="",0,(L119-L124)/(B119-B124)*K30))</f>
        <v>5.1867551719427592E-2</v>
      </c>
      <c r="M30" s="175">
        <f t="shared" si="6"/>
        <v>0.42167022294072165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3479.0648596252613</v>
      </c>
      <c r="T30" s="234">
        <f t="shared" si="50"/>
        <v>2629.7205905361807</v>
      </c>
      <c r="V30" s="56"/>
      <c r="W30" s="110"/>
      <c r="X30" s="118"/>
      <c r="Y30" s="184">
        <f>M30*4</f>
        <v>1.6866808917628866</v>
      </c>
      <c r="Z30" s="122">
        <f>IF($Y30=0,0,AA30/($Y$30))</f>
        <v>-3.6330411454761319E-2</v>
      </c>
      <c r="AA30" s="188">
        <f>IF(AA79*4/$I$83+SUM(AA6:AA29)&lt;1,AA79*4/$I$83,1-SUM(AA6:AA29))</f>
        <v>-6.1277810790629411E-2</v>
      </c>
      <c r="AB30" s="122">
        <f>IF($Y30=0,0,AC30/($Y$30))</f>
        <v>-0.35948624393793743</v>
      </c>
      <c r="AC30" s="188">
        <f>IF(AC79*4/$I$83+SUM(AC6:AC29)&lt;1,AC79*4/$I$83,1-SUM(AC6:AC29))</f>
        <v>-0.6063385785017309</v>
      </c>
      <c r="AD30" s="122">
        <f>IF($Y30=0,0,AE30/($Y$30))</f>
        <v>-0.35948624393793743</v>
      </c>
      <c r="AE30" s="188">
        <f>IF(AE79*4/$I$83+SUM(AE6:AE29)&lt;1,AE79*4/$I$83,1-SUM(AE6:AE29))</f>
        <v>-0.6063385785017309</v>
      </c>
      <c r="AF30" s="122">
        <f>IF($Y30=0,0,AG30/($Y$30))</f>
        <v>-0.35948624393793743</v>
      </c>
      <c r="AG30" s="188">
        <f>IF(AG79*4/$I$83+SUM(AG6:AG29)&lt;1,AG79*4/$I$83,1-SUM(AG6:AG29))</f>
        <v>-0.6063385785017309</v>
      </c>
      <c r="AH30" s="123">
        <f t="shared" si="12"/>
        <v>-1.1147891432685735</v>
      </c>
      <c r="AI30" s="184">
        <f t="shared" si="13"/>
        <v>-0.47007338657395559</v>
      </c>
      <c r="AJ30" s="120">
        <f t="shared" si="14"/>
        <v>-0.33380819464618017</v>
      </c>
      <c r="AK30" s="119">
        <f t="shared" si="15"/>
        <v>-0.6063385785017309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0.20272192357371122</v>
      </c>
      <c r="K31" s="22" t="str">
        <f t="shared" si="4"/>
        <v/>
      </c>
      <c r="L31" s="22">
        <f>(1-SUM(L6:L30))</f>
        <v>0.58741432738373711</v>
      </c>
      <c r="M31" s="178">
        <f t="shared" si="6"/>
        <v>0.20272192357371122</v>
      </c>
      <c r="N31" s="167">
        <f>M31*I83</f>
        <v>2629.7205905361766</v>
      </c>
      <c r="P31" s="22"/>
      <c r="Q31" s="238" t="s">
        <v>142</v>
      </c>
      <c r="R31" s="234">
        <f t="shared" si="50"/>
        <v>0</v>
      </c>
      <c r="S31" s="234">
        <f t="shared" si="50"/>
        <v>18682.18485962526</v>
      </c>
      <c r="T31" s="234">
        <f>IF(T25&gt;T$23,T25-T$23,0)</f>
        <v>17832.84059053618</v>
      </c>
      <c r="V31" s="56"/>
      <c r="W31" s="129" t="s">
        <v>84</v>
      </c>
      <c r="X31" s="130"/>
      <c r="Y31" s="121">
        <f>M31*4</f>
        <v>0.81088769429484486</v>
      </c>
      <c r="Z31" s="131"/>
      <c r="AA31" s="132">
        <f>1-AA32+IF($Y32&lt;0,$Y32/4,0)</f>
        <v>0.52426819749808851</v>
      </c>
      <c r="AB31" s="131"/>
      <c r="AC31" s="133">
        <f>1-AC32+IF($Y32&lt;0,$Y32/4,0)</f>
        <v>1.2881484878326852</v>
      </c>
      <c r="AD31" s="134"/>
      <c r="AE31" s="133">
        <f>1-AE32+IF($Y32&lt;0,$Y32/4,0)</f>
        <v>1.2881484878326852</v>
      </c>
      <c r="AF31" s="134"/>
      <c r="AG31" s="133">
        <f>1-AG32+IF($Y32&lt;0,$Y32/4,0)</f>
        <v>1.2772969591900949</v>
      </c>
      <c r="AH31" s="123"/>
      <c r="AI31" s="183">
        <f>SUM(AA31,AC31,AE31,AG31)/4</f>
        <v>1.0944655330883886</v>
      </c>
      <c r="AJ31" s="135">
        <f t="shared" si="14"/>
        <v>0.90620834266538686</v>
      </c>
      <c r="AK31" s="136">
        <f t="shared" si="15"/>
        <v>1.2827227235113901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0.79727807642628878</v>
      </c>
      <c r="J32" s="17"/>
      <c r="L32" s="22">
        <f>SUM(L6:L30)</f>
        <v>0.41258567261626289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43235.624859625263</v>
      </c>
      <c r="T32" s="234">
        <f t="shared" si="50"/>
        <v>42386.280590536182</v>
      </c>
      <c r="V32" s="56"/>
      <c r="W32" s="110"/>
      <c r="X32" s="118"/>
      <c r="Y32" s="115">
        <f>SUM(Y6:Y31)</f>
        <v>4</v>
      </c>
      <c r="Z32" s="137"/>
      <c r="AA32" s="138">
        <f>SUM(AA6:AA30)</f>
        <v>0.47573180250191149</v>
      </c>
      <c r="AB32" s="137"/>
      <c r="AC32" s="139">
        <f>SUM(AC6:AC30)</f>
        <v>-0.28814848783268521</v>
      </c>
      <c r="AD32" s="137"/>
      <c r="AE32" s="139">
        <f>SUM(AE6:AE30)</f>
        <v>-0.28814848783268521</v>
      </c>
      <c r="AF32" s="137"/>
      <c r="AG32" s="139">
        <f>SUM(AG6:AG30)</f>
        <v>-0.27729695919009489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2.1637609281281756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15203.120000000004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1534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1534</v>
      </c>
      <c r="AJ37" s="148">
        <f>(AA37+AC37)</f>
        <v>1534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944.00000000000023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2.1180209601568321E-2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3935.9999999999991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8.8310704440437357E-2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0.44830490053711514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18786.329999999998</v>
      </c>
      <c r="J65" s="39">
        <f>SUM(J37:J64)</f>
        <v>18786.329999999998</v>
      </c>
      <c r="K65" s="40">
        <f>SUM(K37:K64)</f>
        <v>0.99999999999999989</v>
      </c>
      <c r="L65" s="22">
        <f>SUM(L37:L64)</f>
        <v>0.40254805717460385</v>
      </c>
      <c r="M65" s="24">
        <f>SUM(M37:M64)</f>
        <v>0.42150254983499036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3130.375</v>
      </c>
      <c r="AB65" s="137"/>
      <c r="AC65" s="153">
        <f>SUM(AC37:AC64)</f>
        <v>1362.7350000000001</v>
      </c>
      <c r="AD65" s="137"/>
      <c r="AE65" s="153">
        <f>SUM(AE37:AE64)</f>
        <v>1362.7350000000001</v>
      </c>
      <c r="AF65" s="137"/>
      <c r="AG65" s="153">
        <f>SUM(AG37:AG64)</f>
        <v>1362.7350000000001</v>
      </c>
      <c r="AH65" s="137"/>
      <c r="AI65" s="153">
        <f>SUM(AI37:AI64)</f>
        <v>7218.5800000000008</v>
      </c>
      <c r="AJ65" s="153">
        <f>SUM(AJ37:AJ64)</f>
        <v>4493.1099999999997</v>
      </c>
      <c r="AK65" s="153">
        <f>SUM(AK37:AK64)</f>
        <v>2725.4700000000003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5469.9306721998446</v>
      </c>
      <c r="J71" s="51">
        <f t="shared" si="75"/>
        <v>5469.9306721998446</v>
      </c>
      <c r="K71" s="40">
        <f t="shared" ref="K71:K72" si="78">B71/B$76</f>
        <v>0.28907396240106586</v>
      </c>
      <c r="L71" s="22">
        <f t="shared" si="76"/>
        <v>0.10377249689813063</v>
      </c>
      <c r="M71" s="24">
        <f t="shared" ref="M71:M72" si="79">J71/B$76</f>
        <v>0.12272698955851714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0.46686207774304395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5469.9306721998446</v>
      </c>
      <c r="J74" s="51">
        <f t="shared" si="75"/>
        <v>5469.9306721998446</v>
      </c>
      <c r="K74" s="40">
        <f>B74/B$76</f>
        <v>0.11442697983898133</v>
      </c>
      <c r="L74" s="22">
        <f t="shared" si="76"/>
        <v>1.5096035081402717E-2</v>
      </c>
      <c r="M74" s="24">
        <f>J74/B$76</f>
        <v>0.12272698955851714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-198.72483195003952</v>
      </c>
      <c r="AB74" s="156"/>
      <c r="AC74" s="147">
        <f>AC30*$I$83/4</f>
        <v>-1966.3648319500394</v>
      </c>
      <c r="AD74" s="156"/>
      <c r="AE74" s="147">
        <f>AE30*$I$83/4</f>
        <v>-1966.3648319500394</v>
      </c>
      <c r="AF74" s="156"/>
      <c r="AG74" s="147">
        <f>AG30*$I$83/4</f>
        <v>-1966.3648319500394</v>
      </c>
      <c r="AH74" s="155"/>
      <c r="AI74" s="147">
        <f>SUM(AA74,AC74,AE74,AG74)</f>
        <v>-6097.8193278001581</v>
      </c>
      <c r="AJ74" s="148">
        <f>(AA74+AC74)</f>
        <v>-2165.0896639000789</v>
      </c>
      <c r="AK74" s="147">
        <f>(AE74+AG74)</f>
        <v>-3932.7296639000788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18786.330000000002</v>
      </c>
      <c r="J76" s="51">
        <f t="shared" si="75"/>
        <v>18786.330000000002</v>
      </c>
      <c r="K76" s="40">
        <f>SUM(K70:K75)</f>
        <v>1.1441960671538112</v>
      </c>
      <c r="L76" s="22">
        <f>SUM(L70:L75)</f>
        <v>0.41764409225600668</v>
      </c>
      <c r="M76" s="24">
        <f>SUM(M70:M75)</f>
        <v>0.5442295393935076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3130.375</v>
      </c>
      <c r="AB76" s="137"/>
      <c r="AC76" s="153">
        <f>AC65</f>
        <v>1362.7350000000001</v>
      </c>
      <c r="AD76" s="137"/>
      <c r="AE76" s="153">
        <f>AE65</f>
        <v>1362.7350000000001</v>
      </c>
      <c r="AF76" s="137"/>
      <c r="AG76" s="153">
        <f>AG65</f>
        <v>1362.7350000000001</v>
      </c>
      <c r="AH76" s="137"/>
      <c r="AI76" s="153">
        <f>SUM(AA76,AC76,AE76,AG76)</f>
        <v>7218.5800000000017</v>
      </c>
      <c r="AJ76" s="154">
        <f>SUM(AA76,AC76)</f>
        <v>4493.1100000000006</v>
      </c>
      <c r="AK76" s="154">
        <f>SUM(AE76,AG76)</f>
        <v>2725.4700000000003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75"/>
        <v>15203.120000000004</v>
      </c>
      <c r="K77" s="40"/>
      <c r="L77" s="22">
        <f>-(L131*G$37*F$9/F$7)/B$130</f>
        <v>-0.34110727563325788</v>
      </c>
      <c r="M77" s="24">
        <f>-J77/B$76</f>
        <v>-0.34110727563325782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1700.2093922795577</v>
      </c>
      <c r="AB77" s="112"/>
      <c r="AC77" s="111">
        <f>AC31*$I$83/4</f>
        <v>4177.4842878426289</v>
      </c>
      <c r="AD77" s="112"/>
      <c r="AE77" s="111">
        <f>AE31*$I$83/4</f>
        <v>4177.4842878426289</v>
      </c>
      <c r="AF77" s="112"/>
      <c r="AG77" s="111">
        <f>AG31*$I$83/4</f>
        <v>4142.2926225713636</v>
      </c>
      <c r="AH77" s="110"/>
      <c r="AI77" s="154">
        <f>SUM(AA77,AC77,AE77,AG77)</f>
        <v>14197.470590536179</v>
      </c>
      <c r="AJ77" s="153">
        <f>SUM(AA77,AC77)</f>
        <v>5877.6936801221864</v>
      </c>
      <c r="AK77" s="160">
        <f>SUM(AE77,AG77)</f>
        <v>8319.7769104139916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-198.72483195003952</v>
      </c>
      <c r="AB79" s="112"/>
      <c r="AC79" s="112">
        <f>AA79-AA74+AC65-AC70</f>
        <v>-1966.3648319500394</v>
      </c>
      <c r="AD79" s="112"/>
      <c r="AE79" s="112">
        <f>AC79-AC74+AE65-AE70</f>
        <v>-1966.3648319500394</v>
      </c>
      <c r="AF79" s="112"/>
      <c r="AG79" s="112">
        <f>AE79-AE74+AG65-AG70</f>
        <v>-1966.3648319500394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7.2771798092269913E-2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0.30342139543556595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0.30342139543556595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2.5415009873347314</v>
      </c>
      <c r="L110" s="22">
        <f t="shared" si="91"/>
        <v>0</v>
      </c>
      <c r="M110" s="227">
        <f t="shared" si="9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1.4482150568376619</v>
      </c>
      <c r="J119" s="24">
        <f>SUM(J91:J118)</f>
        <v>1.4482150568376619</v>
      </c>
      <c r="K119" s="22">
        <f>SUM(K91:K118)</f>
        <v>5.6691349666036501</v>
      </c>
      <c r="L119" s="22">
        <f>SUM(L91:L118)</f>
        <v>1.3830904646466138</v>
      </c>
      <c r="M119" s="57">
        <f t="shared" si="80"/>
        <v>1.4482150568376619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0.42167022294072165</v>
      </c>
      <c r="J125" s="237">
        <f>IF(SUMPRODUCT($B$124:$B125,$H$124:$H125)&lt;J$119,($B125*$H125),IF(SUMPRODUCT($B$124:$B124,$H$124:$H124)&lt;J$119,J$119-SUMPRODUCT($B$124:$B124,$H$124:$H124),0))</f>
        <v>0.42167022294072165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0.35654563074967349</v>
      </c>
      <c r="M125" s="240">
        <f t="shared" si="93"/>
        <v>0.42167022294072165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0.42167022294072165</v>
      </c>
      <c r="J128" s="228">
        <f>(J30)</f>
        <v>0.42167022294072165</v>
      </c>
      <c r="K128" s="29">
        <f>(B128)</f>
        <v>0.64870199252802008</v>
      </c>
      <c r="L128" s="29">
        <f>IF(L124=L119,0,(L119-L124)/(B119-B124)*K128)</f>
        <v>5.1867551719427592E-2</v>
      </c>
      <c r="M128" s="240">
        <f t="shared" si="93"/>
        <v>0.42167022294072165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1.4482150568376619</v>
      </c>
      <c r="J130" s="228">
        <f>(J119)</f>
        <v>1.4482150568376619</v>
      </c>
      <c r="K130" s="29">
        <f>(B130)</f>
        <v>5.6691349666036501</v>
      </c>
      <c r="L130" s="29">
        <f>(L119)</f>
        <v>1.3830904646466138</v>
      </c>
      <c r="M130" s="240">
        <f t="shared" si="93"/>
        <v>1.4482150568376619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1.171989808276007</v>
      </c>
      <c r="K131" s="29"/>
      <c r="L131" s="29">
        <f>IF(I131&lt;SUM(L126:L127),0,I131-(SUM(L126:L127)))</f>
        <v>1.171989808276007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5177.1522862082875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1019.4234608937803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25488</v>
      </c>
      <c r="T14" s="222">
        <f>IF($B$81=0,0,(SUMIF($N$6:$N$28,$U14,M$6:M$28)+SUMIF($N$91:$N$118,$U14,M$91:M$118))*$I$83*Poor!$B$81/$B$81)</f>
        <v>25488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3167.7274424018119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3.6657518309639384E-2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3.6657518309639384E-2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0.14663007323855753</v>
      </c>
      <c r="Z17" s="156">
        <f>Poor!Z17</f>
        <v>0.29409999999999997</v>
      </c>
      <c r="AA17" s="121">
        <f t="shared" si="16"/>
        <v>4.3123904539459766E-2</v>
      </c>
      <c r="AB17" s="156">
        <f>Poor!AB17</f>
        <v>0.17649999999999999</v>
      </c>
      <c r="AC17" s="121">
        <f t="shared" si="7"/>
        <v>2.5880207926605402E-2</v>
      </c>
      <c r="AD17" s="156">
        <f>Poor!AD17</f>
        <v>0.23530000000000001</v>
      </c>
      <c r="AE17" s="121">
        <f t="shared" si="8"/>
        <v>3.4502056233032589E-2</v>
      </c>
      <c r="AF17" s="122">
        <f t="shared" si="10"/>
        <v>0.29410000000000003</v>
      </c>
      <c r="AG17" s="121">
        <f t="shared" si="11"/>
        <v>4.3123904539459773E-2</v>
      </c>
      <c r="AH17" s="123">
        <f t="shared" si="12"/>
        <v>1</v>
      </c>
      <c r="AI17" s="184">
        <f t="shared" si="13"/>
        <v>3.6657518309639384E-2</v>
      </c>
      <c r="AJ17" s="120">
        <f t="shared" si="14"/>
        <v>3.4502056233032583E-2</v>
      </c>
      <c r="AK17" s="119">
        <f t="shared" si="15"/>
        <v>3.8812980386246185E-2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69452.507450820951</v>
      </c>
      <c r="T23" s="179">
        <f>SUM(T7:T22)</f>
        <v>69551.668929005333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1.1416304538677481E-2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1.1416304538677481E-2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4.5665218154709926E-2</v>
      </c>
      <c r="Z27" s="156">
        <f>Poor!Z27</f>
        <v>0.25</v>
      </c>
      <c r="AA27" s="121">
        <f t="shared" si="16"/>
        <v>1.1416304538677481E-2</v>
      </c>
      <c r="AB27" s="156">
        <f>Poor!AB27</f>
        <v>0.25</v>
      </c>
      <c r="AC27" s="121">
        <f t="shared" si="7"/>
        <v>1.1416304538677481E-2</v>
      </c>
      <c r="AD27" s="156">
        <f>Poor!AD27</f>
        <v>0.25</v>
      </c>
      <c r="AE27" s="121">
        <f t="shared" si="8"/>
        <v>1.1416304538677481E-2</v>
      </c>
      <c r="AF27" s="122">
        <f t="shared" si="10"/>
        <v>0.25</v>
      </c>
      <c r="AG27" s="121">
        <f t="shared" si="11"/>
        <v>1.1416304538677481E-2</v>
      </c>
      <c r="AH27" s="123">
        <f t="shared" si="12"/>
        <v>1</v>
      </c>
      <c r="AI27" s="184">
        <f t="shared" si="13"/>
        <v>1.1416304538677481E-2</v>
      </c>
      <c r="AJ27" s="120">
        <f t="shared" si="14"/>
        <v>1.1416304538677481E-2</v>
      </c>
      <c r="AK27" s="119">
        <f t="shared" si="15"/>
        <v>1.1416304538677481E-2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0.22674798418949935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0.22674798418949935</v>
      </c>
      <c r="N29" s="229"/>
      <c r="P29" s="22"/>
      <c r="V29" s="56"/>
      <c r="W29" s="110"/>
      <c r="X29" s="118"/>
      <c r="Y29" s="184">
        <f t="shared" si="9"/>
        <v>0.90699193675799739</v>
      </c>
      <c r="Z29" s="156">
        <f>Poor!Z29</f>
        <v>0.25</v>
      </c>
      <c r="AA29" s="121">
        <f t="shared" si="16"/>
        <v>0.22674798418949935</v>
      </c>
      <c r="AB29" s="156">
        <f>Poor!AB29</f>
        <v>0.25</v>
      </c>
      <c r="AC29" s="121">
        <f t="shared" si="7"/>
        <v>0.22674798418949935</v>
      </c>
      <c r="AD29" s="156">
        <f>Poor!AD29</f>
        <v>0.25</v>
      </c>
      <c r="AE29" s="121">
        <f t="shared" si="8"/>
        <v>0.22674798418949935</v>
      </c>
      <c r="AF29" s="122">
        <f t="shared" si="10"/>
        <v>0.25</v>
      </c>
      <c r="AG29" s="121">
        <f t="shared" si="11"/>
        <v>0.22674798418949935</v>
      </c>
      <c r="AH29" s="123">
        <f t="shared" si="12"/>
        <v>1</v>
      </c>
      <c r="AI29" s="184">
        <f t="shared" si="13"/>
        <v>0.22674798418949935</v>
      </c>
      <c r="AJ29" s="120">
        <f t="shared" si="14"/>
        <v>0.22674798418949935</v>
      </c>
      <c r="AK29" s="119">
        <f t="shared" si="15"/>
        <v>0.22674798418949935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4.2345478130975112</v>
      </c>
      <c r="J30" s="231">
        <f>IF(I$32&lt;=1,I30,1-SUM(J6:J29))</f>
        <v>0.63108628241838971</v>
      </c>
      <c r="K30" s="22">
        <f t="shared" si="4"/>
        <v>0.61046637608966381</v>
      </c>
      <c r="L30" s="22">
        <f>IF(L124=L119,0,IF(K30="",0,(L119-L124)/(B119-B124)*K30))</f>
        <v>0.25360095306647429</v>
      </c>
      <c r="M30" s="175">
        <f t="shared" si="6"/>
        <v>0.63108628241838971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2.5243451296735588</v>
      </c>
      <c r="Z30" s="122">
        <f>IF($Y30=0,0,AA30/($Y$30))</f>
        <v>0.1890955702160913</v>
      </c>
      <c r="AA30" s="188">
        <f>IF(AA79*4/$I$84+SUM(AA6:AA29)&lt;1,AA79*4/$I$84,1-SUM(AA6:AA29))</f>
        <v>0.47734248171783455</v>
      </c>
      <c r="AB30" s="122">
        <f>IF($Y30=0,0,AC30/($Y$30))</f>
        <v>0.28055920031168785</v>
      </c>
      <c r="AC30" s="188">
        <f>IF(AC79*4/$I$84+SUM(AC6:AC29)&lt;1,AC79*4/$I$84,1-SUM(AC6:AC29))</f>
        <v>0.70822825089191765</v>
      </c>
      <c r="AD30" s="122">
        <f>IF($Y30=0,0,AE30/($Y$30))</f>
        <v>0.27535915893795176</v>
      </c>
      <c r="AE30" s="188">
        <f>IF(AE79*4/$I$84+SUM(AE6:AE29)&lt;1,AE79*4/$I$84,1-SUM(AE6:AE29))</f>
        <v>0.69510155177602595</v>
      </c>
      <c r="AF30" s="122">
        <f>IF($Y30=0,0,AG30/($Y$30))</f>
        <v>0.25498607053426903</v>
      </c>
      <c r="AG30" s="188">
        <f>IF(AG79*4/$I$84+SUM(AG6:AG29)&lt;1,AG79*4/$I$84,1-SUM(AG6:AG29))</f>
        <v>0.64367284528778057</v>
      </c>
      <c r="AH30" s="123">
        <f t="shared" si="12"/>
        <v>1</v>
      </c>
      <c r="AI30" s="184">
        <f t="shared" si="13"/>
        <v>0.63108628241838971</v>
      </c>
      <c r="AJ30" s="120">
        <f t="shared" si="14"/>
        <v>0.5927853663048761</v>
      </c>
      <c r="AK30" s="119">
        <f t="shared" si="15"/>
        <v>0.66938719853190332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0.34182734000118864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4.5677359853396258</v>
      </c>
      <c r="J32" s="17"/>
      <c r="L32" s="22">
        <f>SUM(L6:L30)</f>
        <v>0.65817265999881136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0.49952680972536717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0.16961301395120992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160.11468516994216</v>
      </c>
      <c r="AD37" s="122">
        <f>IF($J37=0,0,AE37/($J37))</f>
        <v>0.1499177912558258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141.52239494549954</v>
      </c>
      <c r="AF37" s="122">
        <f t="shared" ref="AF37:AF64" si="29">1-SUM(Z37,AB37,AD37)</f>
        <v>0.6804691947929643</v>
      </c>
      <c r="AG37" s="147">
        <f>$J37*AF37</f>
        <v>642.36291988455832</v>
      </c>
      <c r="AH37" s="123">
        <f>SUM(Z37,AB37,AD37,AF37)</f>
        <v>1</v>
      </c>
      <c r="AI37" s="112">
        <f>SUM(AA37,AC37,AE37,AG37)</f>
        <v>944</v>
      </c>
      <c r="AJ37" s="148">
        <f>(AA37+AC37)</f>
        <v>160.11468516994216</v>
      </c>
      <c r="AK37" s="147">
        <f>(AE37+AG37)</f>
        <v>783.88531483005784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0.16961301395120992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500.35839115606916</v>
      </c>
      <c r="AD38" s="122">
        <f>IF($J38=0,0,AE38/($J38))</f>
        <v>0.14991779125582577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442.25748420468597</v>
      </c>
      <c r="AF38" s="122">
        <f t="shared" si="29"/>
        <v>0.6804691947929643</v>
      </c>
      <c r="AG38" s="147">
        <f t="shared" ref="AG38:AG64" si="36">$J38*AF38</f>
        <v>2007.3841246392444</v>
      </c>
      <c r="AH38" s="123">
        <f t="shared" ref="AH38:AI58" si="37">SUM(Z38,AB38,AD38,AF38)</f>
        <v>1</v>
      </c>
      <c r="AI38" s="112">
        <f t="shared" si="37"/>
        <v>2949.9999999999995</v>
      </c>
      <c r="AJ38" s="148">
        <f t="shared" ref="AJ38:AJ64" si="38">(AA38+AC38)</f>
        <v>500.35839115606916</v>
      </c>
      <c r="AK38" s="147">
        <f t="shared" ref="AK38:AK64" si="39">(AE38+AG38)</f>
        <v>2449.6416088439305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929.15228620828816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1.0497837321768276E-2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929.15228620828816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929.15228620828816</v>
      </c>
      <c r="AJ39" s="148">
        <f t="shared" si="38"/>
        <v>929.15228620828816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25488</v>
      </c>
      <c r="K53" s="40">
        <f t="shared" si="33"/>
        <v>0.40673864682171068</v>
      </c>
      <c r="L53" s="22">
        <f t="shared" si="34"/>
        <v>0.28797096194977112</v>
      </c>
      <c r="M53" s="24">
        <f t="shared" si="35"/>
        <v>0.28797096194977118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3167.7274424018115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3.5789921483958646E-2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9.1278073225827899E-2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68247.199999999997</v>
      </c>
      <c r="J65" s="39">
        <f>SUM(J37:J64)</f>
        <v>67855.579728610101</v>
      </c>
      <c r="K65" s="40">
        <f>SUM(K37:K64)</f>
        <v>0.99999999999999978</v>
      </c>
      <c r="L65" s="22">
        <f>SUM(L37:L64)</f>
        <v>0.76223613295090731</v>
      </c>
      <c r="M65" s="24">
        <f>SUM(M37:M64)</f>
        <v>0.76665240772548826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8089.6272862082888</v>
      </c>
      <c r="AB65" s="137"/>
      <c r="AC65" s="153">
        <f>SUM(AC37:AC64)</f>
        <v>7466.9480763260126</v>
      </c>
      <c r="AD65" s="137"/>
      <c r="AE65" s="153">
        <f>SUM(AE37:AE64)</f>
        <v>7390.2548791501868</v>
      </c>
      <c r="AF65" s="137"/>
      <c r="AG65" s="153">
        <f>SUM(AG37:AG64)</f>
        <v>9456.2220445238036</v>
      </c>
      <c r="AH65" s="137"/>
      <c r="AI65" s="153">
        <f>SUM(AI37:AI64)</f>
        <v>32403.052286208291</v>
      </c>
      <c r="AJ65" s="153">
        <f>SUM(AJ37:AJ64)</f>
        <v>15556.575362534302</v>
      </c>
      <c r="AK65" s="153">
        <f>SUM(AK37:AK64)</f>
        <v>16846.476923673988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6596.132417544869</v>
      </c>
      <c r="K73" s="40">
        <f>B73/B$76</f>
        <v>0.25330779060396541</v>
      </c>
      <c r="L73" s="22">
        <f t="shared" si="45"/>
        <v>0.12543384149255846</v>
      </c>
      <c r="M73" s="24">
        <f>J73/B$76</f>
        <v>7.4525054826917195E-2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54930.800672199846</v>
      </c>
      <c r="J74" s="51">
        <f t="shared" si="44"/>
        <v>8186.4879832650759</v>
      </c>
      <c r="K74" s="40">
        <f>B74/B$76</f>
        <v>5.4225008815229715E-2</v>
      </c>
      <c r="L74" s="22">
        <f t="shared" si="45"/>
        <v>3.7168300907984363E-2</v>
      </c>
      <c r="M74" s="24">
        <f>J74/B$76</f>
        <v>9.2493362348206459E-2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2788.8900893952641</v>
      </c>
      <c r="AB74" s="156"/>
      <c r="AC74" s="147">
        <f>AC30*$I$84/4</f>
        <v>4137.8482443759731</v>
      </c>
      <c r="AD74" s="156"/>
      <c r="AE74" s="147">
        <f>AE30*$I$84/4</f>
        <v>4061.1550472001477</v>
      </c>
      <c r="AF74" s="156"/>
      <c r="AG74" s="147">
        <f>AG30*$I$84/4</f>
        <v>3760.6810367594239</v>
      </c>
      <c r="AH74" s="155"/>
      <c r="AI74" s="147">
        <f>SUM(AA74,AC74,AE74,AG74)</f>
        <v>14748.57441773081</v>
      </c>
      <c r="AJ74" s="148">
        <f>(AA74+AC74)</f>
        <v>6926.7383337712372</v>
      </c>
      <c r="AK74" s="147">
        <f>(AE74+AG74)</f>
        <v>7821.8360839595716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6011.3191751079748</v>
      </c>
      <c r="AB75" s="158"/>
      <c r="AC75" s="149">
        <f>AA75+AC65-SUM(AC70,AC74)</f>
        <v>6011.3191751079739</v>
      </c>
      <c r="AD75" s="158"/>
      <c r="AE75" s="149">
        <f>AC75+AE65-SUM(AE70,AE74)</f>
        <v>6011.3191751079739</v>
      </c>
      <c r="AF75" s="158"/>
      <c r="AG75" s="149">
        <f>IF(SUM(AG6:AG29)+((AG65-AG70-$J$75)*4/I$83)&lt;1,0,AG65-AG70-$J$75-(1-SUM(AG6:AG29))*I$83/4)</f>
        <v>4039.6818102449897</v>
      </c>
      <c r="AH75" s="134"/>
      <c r="AI75" s="149">
        <f>AI76-SUM(AI70,AI74)</f>
        <v>4338.0785406773284</v>
      </c>
      <c r="AJ75" s="151">
        <f>AJ76-SUM(AJ70,AJ74)</f>
        <v>1971.6373648629851</v>
      </c>
      <c r="AK75" s="149">
        <f>AJ75+AK76-SUM(AK70,AK74)</f>
        <v>4338.078540677323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68247.199999999997</v>
      </c>
      <c r="J76" s="51">
        <f t="shared" si="44"/>
        <v>67855.579728610101</v>
      </c>
      <c r="K76" s="40">
        <f>SUM(K70:K75)</f>
        <v>0.99999999999999978</v>
      </c>
      <c r="L76" s="22">
        <f>SUM(L70:L75)</f>
        <v>0.76223613295090753</v>
      </c>
      <c r="M76" s="24">
        <f>SUM(M70:M75)</f>
        <v>0.76665240772548815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8089.6272862082888</v>
      </c>
      <c r="AB76" s="137"/>
      <c r="AC76" s="153">
        <f>AC65</f>
        <v>7466.9480763260126</v>
      </c>
      <c r="AD76" s="137"/>
      <c r="AE76" s="153">
        <f>AE65</f>
        <v>7390.2548791501868</v>
      </c>
      <c r="AF76" s="137"/>
      <c r="AG76" s="153">
        <f>AG65</f>
        <v>9456.2220445238036</v>
      </c>
      <c r="AH76" s="137"/>
      <c r="AI76" s="153">
        <f>SUM(AA76,AC76,AE76,AG76)</f>
        <v>32403.052286208294</v>
      </c>
      <c r="AJ76" s="154">
        <f>SUM(AA76,AC76)</f>
        <v>15556.575362534302</v>
      </c>
      <c r="AK76" s="154">
        <f>SUM(AE76,AG76)</f>
        <v>16846.476923673988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4039.6818102449897</v>
      </c>
      <c r="AB78" s="112"/>
      <c r="AC78" s="112">
        <f>IF(AA75&lt;0,0,AA75)</f>
        <v>6011.3191751079748</v>
      </c>
      <c r="AD78" s="112"/>
      <c r="AE78" s="112">
        <f>AC75</f>
        <v>6011.3191751079739</v>
      </c>
      <c r="AF78" s="112"/>
      <c r="AG78" s="112">
        <f>AE75</f>
        <v>6011.3191751079739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8800.209264503239</v>
      </c>
      <c r="AB79" s="112"/>
      <c r="AC79" s="112">
        <f>AA79-AA74+AC65-AC70</f>
        <v>10149.167419483947</v>
      </c>
      <c r="AD79" s="112"/>
      <c r="AE79" s="112">
        <f>AC79-AC74+AE65-AE70</f>
        <v>10072.474222308121</v>
      </c>
      <c r="AF79" s="112"/>
      <c r="AG79" s="112">
        <f>AE79-AE74+AG65-AG70</f>
        <v>12138.441387681738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7.162720611114462E-2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7.162720611114462E-2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0.42909090909090908</v>
      </c>
      <c r="I107" s="22">
        <f t="shared" si="58"/>
        <v>1.9648385484912871</v>
      </c>
      <c r="J107" s="24">
        <f t="shared" si="59"/>
        <v>1.9648385484912871</v>
      </c>
      <c r="K107" s="22">
        <f t="shared" si="60"/>
        <v>4.5790728884330845</v>
      </c>
      <c r="L107" s="22">
        <f t="shared" si="61"/>
        <v>1.9648385484912871</v>
      </c>
      <c r="M107" s="227">
        <f t="shared" si="62"/>
        <v>1.9648385484912871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0.24419620958666011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0.24419620958666011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1.0276106135545324</v>
      </c>
      <c r="L110" s="22">
        <f t="shared" si="61"/>
        <v>0</v>
      </c>
      <c r="M110" s="227">
        <f t="shared" si="6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5.2610926469944514</v>
      </c>
      <c r="J119" s="24">
        <f>SUM(J91:J118)</f>
        <v>5.2309031222927294</v>
      </c>
      <c r="K119" s="22">
        <f>SUM(K91:K118)</f>
        <v>11.258022625128781</v>
      </c>
      <c r="L119" s="22">
        <f>SUM(L91:L118)</f>
        <v>5.200770685122416</v>
      </c>
      <c r="M119" s="57">
        <f t="shared" si="49"/>
        <v>5.2309031222927294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0.5084877293214527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0.85584062150305495</v>
      </c>
      <c r="M127" s="57">
        <f t="shared" si="63"/>
        <v>0.5084877293214527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4.2345478130975112</v>
      </c>
      <c r="J128" s="228">
        <f>(J30)</f>
        <v>0.63108628241838971</v>
      </c>
      <c r="K128" s="22">
        <f>(B128)</f>
        <v>0.61046637608966381</v>
      </c>
      <c r="L128" s="22">
        <f>IF(L124=L119,0,(L119-L124)/(B119-B124)*K128)</f>
        <v>0.25360095306647429</v>
      </c>
      <c r="M128" s="57">
        <f t="shared" si="63"/>
        <v>0.63108628241838971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5.2610926469944514</v>
      </c>
      <c r="J130" s="228">
        <f>(J119)</f>
        <v>5.2309031222927294</v>
      </c>
      <c r="K130" s="22">
        <f>(B130)</f>
        <v>11.258022625128781</v>
      </c>
      <c r="L130" s="22">
        <f>(L119)</f>
        <v>5.200770685122416</v>
      </c>
      <c r="M130" s="57">
        <f t="shared" si="63"/>
        <v>5.2309031222927294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1407.5979748660873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4722.9461581954147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6.2832816999760177E-2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6.2832816999760177E-2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0.25133126799904071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0.25133126799904071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6.2832816999760177E-2</v>
      </c>
      <c r="AJ9" s="120">
        <f t="shared" si="14"/>
        <v>0.12566563399952035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5.8248382475183701E-3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5.8248382475183701E-3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2.329935299007348E-2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2.329935299007348E-2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5.8248382475183701E-3</v>
      </c>
      <c r="AJ10" s="120">
        <f t="shared" si="14"/>
        <v>1.164967649503674E-2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13093.333034422958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9.830007045112056E-4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9.830007045112056E-4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3.9320028180448224E-3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2.6344418880900312E-3</v>
      </c>
      <c r="AF12" s="122">
        <f>1-SUM(Z12,AB12,AD12)</f>
        <v>0.32999999999999996</v>
      </c>
      <c r="AG12" s="121">
        <f>$M12*AF12*4</f>
        <v>1.2975609299547912E-3</v>
      </c>
      <c r="AH12" s="123">
        <f t="shared" si="12"/>
        <v>1</v>
      </c>
      <c r="AI12" s="184">
        <f t="shared" si="13"/>
        <v>9.830007045112056E-4</v>
      </c>
      <c r="AJ12" s="120">
        <f t="shared" si="14"/>
        <v>0</v>
      </c>
      <c r="AK12" s="119">
        <f t="shared" si="15"/>
        <v>1.9660014090224112E-3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173318.39999999999</v>
      </c>
      <c r="T14" s="222">
        <f>IF($B$81=0,0,(SUMIF($N$6:$N$28,$U14,M$6:M$28)+SUMIF($N$91:$N$118,$U14,M$91:M$118))*$I$83*Poor!$B$81/$B$81)</f>
        <v>173318.39999999999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5778.2035301920314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263139.70639455842</v>
      </c>
      <c r="T23" s="179">
        <f>SUM(T7:T22)</f>
        <v>263155.03671910986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5.3881365158234794E-2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5.3881365158234794E-2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0.21552546063293918</v>
      </c>
      <c r="Z27" s="156">
        <f>Poor!Z27</f>
        <v>0.25</v>
      </c>
      <c r="AA27" s="121">
        <f t="shared" si="16"/>
        <v>5.3881365158234794E-2</v>
      </c>
      <c r="AB27" s="156">
        <f>Poor!AB27</f>
        <v>0.25</v>
      </c>
      <c r="AC27" s="121">
        <f t="shared" si="7"/>
        <v>5.3881365158234794E-2</v>
      </c>
      <c r="AD27" s="156">
        <f>Poor!AD27</f>
        <v>0.25</v>
      </c>
      <c r="AE27" s="121">
        <f t="shared" si="8"/>
        <v>5.3881365158234794E-2</v>
      </c>
      <c r="AF27" s="122">
        <f t="shared" si="10"/>
        <v>0.25</v>
      </c>
      <c r="AG27" s="121">
        <f t="shared" si="11"/>
        <v>5.3881365158234794E-2</v>
      </c>
      <c r="AH27" s="123">
        <f t="shared" si="12"/>
        <v>1</v>
      </c>
      <c r="AI27" s="184">
        <f t="shared" si="13"/>
        <v>5.3881365158234794E-2</v>
      </c>
      <c r="AJ27" s="120">
        <f t="shared" si="14"/>
        <v>5.3881365158234794E-2</v>
      </c>
      <c r="AK27" s="119">
        <f t="shared" si="15"/>
        <v>5.3881365158234794E-2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0.32149608949806796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0.32149608949806796</v>
      </c>
      <c r="N29" s="229"/>
      <c r="P29" s="22"/>
      <c r="V29" s="56"/>
      <c r="W29" s="110"/>
      <c r="X29" s="118"/>
      <c r="Y29" s="184">
        <f t="shared" si="9"/>
        <v>1.2859843579922718</v>
      </c>
      <c r="Z29" s="156">
        <f>Poor!Z29</f>
        <v>0.25</v>
      </c>
      <c r="AA29" s="121">
        <f t="shared" si="16"/>
        <v>0.32149608949806796</v>
      </c>
      <c r="AB29" s="156">
        <f>Poor!AB29</f>
        <v>0.25</v>
      </c>
      <c r="AC29" s="121">
        <f t="shared" si="7"/>
        <v>0.32149608949806796</v>
      </c>
      <c r="AD29" s="156">
        <f>Poor!AD29</f>
        <v>0.25</v>
      </c>
      <c r="AE29" s="121">
        <f t="shared" si="8"/>
        <v>0.32149608949806796</v>
      </c>
      <c r="AF29" s="122">
        <f t="shared" si="10"/>
        <v>0.25</v>
      </c>
      <c r="AG29" s="121">
        <f t="shared" si="11"/>
        <v>0.32149608949806796</v>
      </c>
      <c r="AH29" s="123">
        <f t="shared" si="12"/>
        <v>1</v>
      </c>
      <c r="AI29" s="184">
        <f t="shared" si="13"/>
        <v>0.32149608949806796</v>
      </c>
      <c r="AJ29" s="120">
        <f t="shared" si="14"/>
        <v>0.32149608949806796</v>
      </c>
      <c r="AK29" s="119">
        <f t="shared" si="15"/>
        <v>0.32149608949806796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19.067925606220008</v>
      </c>
      <c r="J30" s="231">
        <f>IF(I$32&lt;=1,I30,1-SUM(J6:J29))</f>
        <v>0.47215375695521178</v>
      </c>
      <c r="K30" s="22">
        <f t="shared" si="4"/>
        <v>0.58156372602739725</v>
      </c>
      <c r="L30" s="22">
        <f>IF(L124=L119,0,IF(K30="",0,(L119-L124)/(B119-B124)*K30))</f>
        <v>0.24906596412320084</v>
      </c>
      <c r="M30" s="175">
        <f t="shared" si="6"/>
        <v>0.47215375695521178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1.8886150278208471</v>
      </c>
      <c r="Z30" s="122">
        <f>IF($Y30=0,0,AA30/($Y$30))</f>
        <v>0.12234072822520957</v>
      </c>
      <c r="AA30" s="188">
        <f>IF(AA79*4/$I$83+SUM(AA6:AA29)&lt;1,AA79*4/$I$83,1-SUM(AA6:AA29))</f>
        <v>0.23105453784067687</v>
      </c>
      <c r="AB30" s="122">
        <f>IF($Y30=0,0,AC30/($Y$30))</f>
        <v>0.31311296039090514</v>
      </c>
      <c r="AC30" s="188">
        <f>IF(AC79*4/$I$83+SUM(AC6:AC29)&lt;1,AC79*4/$I$83,1-SUM(AC6:AC29))</f>
        <v>0.59134984239973709</v>
      </c>
      <c r="AD30" s="122">
        <f>IF($Y30=0,0,AE30/($Y$30))</f>
        <v>0.30938844300203489</v>
      </c>
      <c r="AE30" s="188">
        <f>IF(AE79*4/$I$83+SUM(AE6:AE29)&lt;1,AE79*4/$I$83,1-SUM(AE6:AE29))</f>
        <v>0.58431566288773673</v>
      </c>
      <c r="AF30" s="122">
        <f>IF($Y30=0,0,AG30/($Y$30))</f>
        <v>0.25515786838185039</v>
      </c>
      <c r="AG30" s="188">
        <f>IF(AG79*4/$I$83+SUM(AG6:AG29)&lt;1,AG79*4/$I$83,1-SUM(AG6:AG29))</f>
        <v>0.48189498469269643</v>
      </c>
      <c r="AH30" s="123">
        <f t="shared" si="12"/>
        <v>1</v>
      </c>
      <c r="AI30" s="184">
        <f t="shared" si="13"/>
        <v>0.47215375695521178</v>
      </c>
      <c r="AJ30" s="120">
        <f t="shared" si="14"/>
        <v>0.41120219012020698</v>
      </c>
      <c r="AK30" s="119">
        <f t="shared" si="15"/>
        <v>0.53310532379021658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0.22248665101170995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19.558330074701228</v>
      </c>
      <c r="J32" s="17"/>
      <c r="L32" s="22">
        <f>SUM(L6:L30)</f>
        <v>0.77751334898829005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1.5801675513915831E-2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2468.2108620191289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8.220959273086267E-3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2468.2108620191289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2468.2108620191289</v>
      </c>
      <c r="AJ39" s="148">
        <f t="shared" si="36"/>
        <v>2468.2108620191289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372.02696665573984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1.239123686079523E-3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93.00674166393496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186.01348332786992</v>
      </c>
      <c r="AF42" s="122">
        <f t="shared" si="31"/>
        <v>0.25</v>
      </c>
      <c r="AG42" s="147">
        <f t="shared" si="34"/>
        <v>93.00674166393496</v>
      </c>
      <c r="AH42" s="123">
        <f t="shared" si="35"/>
        <v>1</v>
      </c>
      <c r="AI42" s="112">
        <f t="shared" si="35"/>
        <v>372.02696665573984</v>
      </c>
      <c r="AJ42" s="148">
        <f t="shared" si="36"/>
        <v>93.00674166393496</v>
      </c>
      <c r="AK42" s="147">
        <f t="shared" si="37"/>
        <v>279.02022499180487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42.398202222950665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1.4121722705726095E-4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10.599550555737666</v>
      </c>
      <c r="AB43" s="156">
        <f>Poor!AB43</f>
        <v>0.25</v>
      </c>
      <c r="AC43" s="147">
        <f t="shared" si="39"/>
        <v>10.599550555737666</v>
      </c>
      <c r="AD43" s="156">
        <f>Poor!AD43</f>
        <v>0.25</v>
      </c>
      <c r="AE43" s="147">
        <f t="shared" si="40"/>
        <v>10.599550555737666</v>
      </c>
      <c r="AF43" s="122">
        <f t="shared" si="31"/>
        <v>0.25</v>
      </c>
      <c r="AG43" s="147">
        <f t="shared" si="34"/>
        <v>10.599550555737666</v>
      </c>
      <c r="AH43" s="123">
        <f t="shared" si="35"/>
        <v>1</v>
      </c>
      <c r="AI43" s="112">
        <f t="shared" si="35"/>
        <v>42.398202222950665</v>
      </c>
      <c r="AJ43" s="148">
        <f t="shared" si="36"/>
        <v>21.199101111475333</v>
      </c>
      <c r="AK43" s="147">
        <f t="shared" si="37"/>
        <v>21.199101111475333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413.3632962841553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1.3768040956439141E-3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103.34082407103882</v>
      </c>
      <c r="AB44" s="156">
        <f>Poor!AB44</f>
        <v>0.25</v>
      </c>
      <c r="AC44" s="147">
        <f t="shared" si="39"/>
        <v>103.34082407103882</v>
      </c>
      <c r="AD44" s="156">
        <f>Poor!AD44</f>
        <v>0.25</v>
      </c>
      <c r="AE44" s="147">
        <f t="shared" si="40"/>
        <v>103.34082407103882</v>
      </c>
      <c r="AF44" s="122">
        <f t="shared" si="31"/>
        <v>0.25</v>
      </c>
      <c r="AG44" s="147">
        <f t="shared" si="34"/>
        <v>103.34082407103882</v>
      </c>
      <c r="AH44" s="123">
        <f t="shared" si="35"/>
        <v>1</v>
      </c>
      <c r="AI44" s="112">
        <f t="shared" si="35"/>
        <v>413.3632962841553</v>
      </c>
      <c r="AJ44" s="148">
        <f t="shared" si="36"/>
        <v>206.68164814207765</v>
      </c>
      <c r="AK44" s="147">
        <f t="shared" si="37"/>
        <v>206.68164814207765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144432</v>
      </c>
      <c r="J53" s="38">
        <f t="shared" si="33"/>
        <v>144432</v>
      </c>
      <c r="K53" s="40">
        <f t="shared" ref="K53:K64" si="43">(B53/B$65)</f>
        <v>0.67947018527325531</v>
      </c>
      <c r="L53" s="22">
        <f t="shared" ref="L53:L64" si="44">(K53*H53)</f>
        <v>0.48106489117346474</v>
      </c>
      <c r="M53" s="24">
        <f t="shared" ref="M53:M64" si="45">J53/B$65</f>
        <v>0.48106489117346474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4815.1696084933592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1.6038059735319268E-2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2.6908764811235799E-2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217222.2</v>
      </c>
      <c r="J65" s="39">
        <f>SUM(J37:J64)</f>
        <v>217647.66893567535</v>
      </c>
      <c r="K65" s="40">
        <f>SUM(K37:K64)</f>
        <v>1</v>
      </c>
      <c r="L65" s="22">
        <f>SUM(L37:L64)</f>
        <v>0.72494972274783198</v>
      </c>
      <c r="M65" s="24">
        <f>SUM(M37:M64)</f>
        <v>0.72492697027458552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14451.057978309842</v>
      </c>
      <c r="AB65" s="137"/>
      <c r="AC65" s="153">
        <f>SUM(AC37:AC64)</f>
        <v>10880.940374626778</v>
      </c>
      <c r="AD65" s="137"/>
      <c r="AE65" s="153">
        <f>SUM(AE37:AE64)</f>
        <v>11066.953857954648</v>
      </c>
      <c r="AF65" s="137"/>
      <c r="AG65" s="153">
        <f>SUM(AG37:AG64)</f>
        <v>18407.947116290714</v>
      </c>
      <c r="AH65" s="137"/>
      <c r="AI65" s="153">
        <f>SUM(AI37:AI64)</f>
        <v>54806.899327181978</v>
      </c>
      <c r="AJ65" s="153">
        <f>SUM(AJ37:AJ64)</f>
        <v>25331.998352936622</v>
      </c>
      <c r="AK65" s="153">
        <f>SUM(AK37:AK64)</f>
        <v>29474.900974245364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206125.20056016653</v>
      </c>
      <c r="J74" s="51">
        <f>J128*I$83</f>
        <v>5104.0050112153885</v>
      </c>
      <c r="K74" s="40">
        <f>B74/B$76</f>
        <v>1.26905734201907E-2</v>
      </c>
      <c r="L74" s="22">
        <f>(L128*G$37*F$9/F$7)/B$130</f>
        <v>8.9677246163816157E-3</v>
      </c>
      <c r="M74" s="24">
        <f>J74/B$76</f>
        <v>1.7000094267677172E-2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624.42768993720961</v>
      </c>
      <c r="AB74" s="156"/>
      <c r="AC74" s="147">
        <f>AC30*$I$83/4</f>
        <v>1598.1301189116652</v>
      </c>
      <c r="AD74" s="156"/>
      <c r="AE74" s="147">
        <f>AE30*$I$83/4</f>
        <v>1579.1201634945128</v>
      </c>
      <c r="AF74" s="156"/>
      <c r="AG74" s="147">
        <f>AG30*$I$83/4</f>
        <v>1302.3270388720009</v>
      </c>
      <c r="AH74" s="155"/>
      <c r="AI74" s="147">
        <f>SUM(AA74,AC74,AE74,AG74)</f>
        <v>5104.0050112153885</v>
      </c>
      <c r="AJ74" s="148">
        <f>(AA74+AC74)</f>
        <v>2222.5578088488746</v>
      </c>
      <c r="AK74" s="147">
        <f>(AE74+AG74)</f>
        <v>2881.4472023665139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117499.4978179598</v>
      </c>
      <c r="K75" s="40">
        <f>B75/B$76</f>
        <v>0.72395446065450009</v>
      </c>
      <c r="L75" s="22">
        <f>(L129*G$37*F$9/F$7)/B$130</f>
        <v>0.39941495326122645</v>
      </c>
      <c r="M75" s="24">
        <f>J75/B$76</f>
        <v>0.39135983113668427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11052.380428414268</v>
      </c>
      <c r="AB75" s="158"/>
      <c r="AC75" s="149">
        <f>AA75+AC65-SUM(AC70,AC74)</f>
        <v>17560.940824171015</v>
      </c>
      <c r="AD75" s="158"/>
      <c r="AE75" s="149">
        <f>AC75+AE65-SUM(AE70,AE74)</f>
        <v>24274.524658672784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38605.894876133141</v>
      </c>
      <c r="AJ75" s="151">
        <f>AJ76-SUM(AJ70,AJ74)</f>
        <v>17560.940824171019</v>
      </c>
      <c r="AK75" s="149">
        <f>AJ75+AK76-SUM(AK70,AK74)</f>
        <v>38605.894876133141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217222.19999999998</v>
      </c>
      <c r="J76" s="51">
        <f>J130*I$83</f>
        <v>217647.66893567532</v>
      </c>
      <c r="K76" s="40">
        <f>SUM(K70:K75)</f>
        <v>0.90648402989286547</v>
      </c>
      <c r="L76" s="22">
        <f>SUM(L70:L75)</f>
        <v>0.61460087802141339</v>
      </c>
      <c r="M76" s="24">
        <f>SUM(M70:M75)</f>
        <v>0.61457812554816682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14451.057978309842</v>
      </c>
      <c r="AB76" s="137"/>
      <c r="AC76" s="153">
        <f>AC65</f>
        <v>10880.940374626778</v>
      </c>
      <c r="AD76" s="137"/>
      <c r="AE76" s="153">
        <f>AE65</f>
        <v>11066.953857954648</v>
      </c>
      <c r="AF76" s="137"/>
      <c r="AG76" s="153">
        <f>AG65</f>
        <v>18407.947116290714</v>
      </c>
      <c r="AH76" s="137"/>
      <c r="AI76" s="153">
        <f>SUM(AA76,AC76,AE76,AG76)</f>
        <v>54806.899327181985</v>
      </c>
      <c r="AJ76" s="154">
        <f>SUM(AA76,AC76)</f>
        <v>25331.998352936622</v>
      </c>
      <c r="AK76" s="154">
        <f>SUM(AE76,AG76)</f>
        <v>29474.900974245364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11052.380428414268</v>
      </c>
      <c r="AD78" s="112"/>
      <c r="AE78" s="112">
        <f>AC75</f>
        <v>17560.940824171015</v>
      </c>
      <c r="AF78" s="112"/>
      <c r="AG78" s="112">
        <f>AE75</f>
        <v>24274.524658672784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11676.808118351477</v>
      </c>
      <c r="AB79" s="112"/>
      <c r="AC79" s="112">
        <f>AA79-AA74+AC65-AC70</f>
        <v>19159.070943082683</v>
      </c>
      <c r="AD79" s="112"/>
      <c r="AE79" s="112">
        <f>AC79-AC74+AE65-AE70</f>
        <v>25853.644822167305</v>
      </c>
      <c r="AF79" s="112"/>
      <c r="AG79" s="112">
        <f>AE79-AE74+AG65-AG70</f>
        <v>39908.221915005139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0.22832560487288575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0.22832560487288575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3.4414921147056507E-2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3.4414921147056507E-2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3.9221102690387213E-3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3.9221102690387213E-3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3.8238801274507225E-2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3.8238801274507225E-2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0.42909090909090908</v>
      </c>
      <c r="I107" s="22">
        <f t="shared" si="59"/>
        <v>13.360902129740749</v>
      </c>
      <c r="J107" s="24">
        <f t="shared" si="60"/>
        <v>13.360902129740749</v>
      </c>
      <c r="K107" s="22">
        <f t="shared" si="61"/>
        <v>31.137695641344969</v>
      </c>
      <c r="L107" s="22">
        <f t="shared" si="62"/>
        <v>13.360902129740749</v>
      </c>
      <c r="M107" s="227">
        <f t="shared" si="63"/>
        <v>13.360902129740749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0.44543459813048258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0.44543459813048258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1.2331327362654385</v>
      </c>
      <c r="L110" s="22">
        <f t="shared" si="62"/>
        <v>0</v>
      </c>
      <c r="M110" s="227">
        <f t="shared" si="63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20.094470440116947</v>
      </c>
      <c r="J119" s="24">
        <f>SUM(J91:J118)</f>
        <v>20.133829092000209</v>
      </c>
      <c r="K119" s="22">
        <f>SUM(K91:K118)</f>
        <v>45.826434060271026</v>
      </c>
      <c r="L119" s="22">
        <f>SUM(L91:L118)</f>
        <v>20.134461010009264</v>
      </c>
      <c r="M119" s="57">
        <f t="shared" si="50"/>
        <v>20.133829092000209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19.067925606220008</v>
      </c>
      <c r="J128" s="228">
        <f>(J30)</f>
        <v>0.47215375695521178</v>
      </c>
      <c r="K128" s="22">
        <f>(B128)</f>
        <v>0.58156372602739725</v>
      </c>
      <c r="L128" s="22">
        <f>IF(L124=L119,0,(L119-L124)/(B119-B124)*K128)</f>
        <v>0.24906596412320084</v>
      </c>
      <c r="M128" s="57">
        <f t="shared" si="90"/>
        <v>0.47215375695521178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10.869469997226707</v>
      </c>
      <c r="K129" s="29">
        <f>(B129)</f>
        <v>33.176251353822522</v>
      </c>
      <c r="L129" s="60">
        <f>IF(SUM(L124:L128)&gt;L130,0,L130-SUM(L124:L128))</f>
        <v>11.093189708067774</v>
      </c>
      <c r="M129" s="57">
        <f t="shared" si="90"/>
        <v>10.869469997226707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20.094470440116947</v>
      </c>
      <c r="J130" s="228">
        <f>(J119)</f>
        <v>20.133829092000209</v>
      </c>
      <c r="K130" s="22">
        <f>(B130)</f>
        <v>45.826434060271026</v>
      </c>
      <c r="L130" s="22">
        <f>(L119)</f>
        <v>20.134461010009264</v>
      </c>
      <c r="M130" s="57">
        <f t="shared" si="90"/>
        <v>20.133829092000209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1407.5979748660873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4722.9461581954147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5177.1522862082875</v>
      </c>
      <c r="I76" s="109">
        <f>Rich!T11</f>
        <v>13093.333034422958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948.5442690890826</v>
      </c>
      <c r="G77" s="109">
        <f>Poor!T12</f>
        <v>948.5442690890826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1019.4234608937803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25488</v>
      </c>
      <c r="I79" s="109">
        <f>Rich!T14</f>
        <v>173318.39999999999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3455.9999999999995</v>
      </c>
      <c r="G81" s="109">
        <f>Poor!T16</f>
        <v>3935.9999999999986</v>
      </c>
      <c r="H81" s="109">
        <f>Middle!T16</f>
        <v>3167.7274424018119</v>
      </c>
      <c r="I81" s="109">
        <f>Rich!T16</f>
        <v>5778.2035301920314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12948.666873950338</v>
      </c>
      <c r="G88" s="109">
        <f>Poor!T23</f>
        <v>20740.418847787063</v>
      </c>
      <c r="H88" s="109">
        <f>Middle!T23</f>
        <v>69551.668929005333</v>
      </c>
      <c r="I88" s="109">
        <f>Rich!T23</f>
        <v>263155.03671910986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10421.472564372905</v>
      </c>
      <c r="G98" s="239">
        <f t="shared" si="0"/>
        <v>2629.7205905361807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25624.592564372906</v>
      </c>
      <c r="G99" s="239">
        <f t="shared" si="0"/>
        <v>17832.84059053618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50178.032564372908</v>
      </c>
      <c r="G100" s="239">
        <f t="shared" si="0"/>
        <v>42386.280590536182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2016-06-04T23:02:30Z</dcterms:modified>
  <cp:category/>
</cp:coreProperties>
</file>