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7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I18" i="12"/>
  <c r="D19" i="12"/>
  <c r="E19" i="12"/>
  <c r="H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E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E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I18" i="7"/>
  <c r="D19" i="7"/>
  <c r="E19" i="7"/>
  <c r="H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E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E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I18" i="8"/>
  <c r="D19" i="8"/>
  <c r="E19" i="8"/>
  <c r="H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F54" i="12"/>
  <c r="E56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F54" i="7"/>
  <c r="E56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F54" i="8"/>
  <c r="E56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<sst xmlns="http://schemas.openxmlformats.org/spreadsheetml/2006/main" count="790" uniqueCount="145">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</sst>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0.00281553175591532</c:v>
                </c:pt>
                <c:pt idx="2" formatCode="0.0%">
                  <c:v>0.00281553175591532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0.00187702117061021</c:v>
                </c:pt>
                <c:pt idx="2" formatCode="0.0%">
                  <c:v>0.00187702117061021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0.0736364203767123</c:v>
                </c:pt>
                <c:pt idx="2" formatCode="0.0%">
                  <c:v>0.0785816307522383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0.0663192231258267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0.000443185554171855</c:v>
                </c:pt>
                <c:pt idx="2" formatCode="0.0%">
                  <c:v>0.000443185554171855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0.00143611671855542</c:v>
                </c:pt>
                <c:pt idx="2" formatCode="0.0%">
                  <c:v>0.00143611671855542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0.00408643150684931</c:v>
                </c:pt>
                <c:pt idx="2" formatCode="0.0%">
                  <c:v>0.00732193416301302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0.00450653798256538</c:v>
                </c:pt>
                <c:pt idx="2" formatCode="0.0%">
                  <c:v>0.00686150325929825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0.00433653769929572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0.0399233604452055</c:v>
                </c:pt>
                <c:pt idx="2" formatCode="0.0%">
                  <c:v>0.0399233604452055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0.0157106659574833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0.141292065522289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0.196050975548183</c:v>
                </c:pt>
                <c:pt idx="2" formatCode="0.0%">
                  <c:v>0.541031586296782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690936"/>
        <c:axId val="-2103695368"/>
      </c:barChart>
      <c:catAx>
        <c:axId val="-210369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69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69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690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0.0163572454081885</c:v>
                </c:pt>
                <c:pt idx="2">
                  <c:v>0.0163572454081885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0.0292093668003366</c:v>
                </c:pt>
                <c:pt idx="2">
                  <c:v>0.0532678032887469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0.00584187336006733</c:v>
                </c:pt>
                <c:pt idx="2">
                  <c:v>0.00343602971122631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0.00374275954255161</c:v>
                </c:pt>
                <c:pt idx="2">
                  <c:v>-0.00242272452024097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-0.00293418858562518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0.000831724342789247</c:v>
                </c:pt>
                <c:pt idx="2">
                  <c:v>-0.000538383226720216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0.00554482895192831</c:v>
                </c:pt>
                <c:pt idx="2">
                  <c:v>-0.00358922151146811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0.00249517302836774</c:v>
                </c:pt>
                <c:pt idx="2">
                  <c:v>-0.00161514968016065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0.000485172533293727</c:v>
                </c:pt>
                <c:pt idx="2">
                  <c:v>-0.00031405688225346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0.00221793158077132</c:v>
                </c:pt>
                <c:pt idx="2">
                  <c:v>0.00221793158077132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0.196286944898262</c:v>
                </c:pt>
                <c:pt idx="2">
                  <c:v>0.196286944898262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0.252368929154909</c:v>
                </c:pt>
                <c:pt idx="2">
                  <c:v>0.252368929154909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0.0126370955050416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0.0890301500074261</c:v>
                </c:pt>
                <c:pt idx="2">
                  <c:v>0.0890301500074261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310600"/>
        <c:axId val="-2104315960"/>
      </c:barChart>
      <c:catAx>
        <c:axId val="-210431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315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15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31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0.0125344143597303</c:v>
                </c:pt>
                <c:pt idx="2">
                  <c:v>0.0125344143597303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0.0460447874439073</c:v>
                </c:pt>
                <c:pt idx="2">
                  <c:v>0.0460447874439073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0.00575559843048841</c:v>
                </c:pt>
                <c:pt idx="2">
                  <c:v>0.00488082118805785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0.00546294088317544</c:v>
                </c:pt>
                <c:pt idx="2">
                  <c:v>0.00297204975218673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0.00107984474329451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0.0029135684710269</c:v>
                </c:pt>
                <c:pt idx="2">
                  <c:v>0.00158509320116626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0.0048559474517115</c:v>
                </c:pt>
                <c:pt idx="2">
                  <c:v>0.00264182200194376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0.00145678423551345</c:v>
                </c:pt>
                <c:pt idx="2">
                  <c:v>0.000792546600583129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0.000212447701012378</c:v>
                </c:pt>
                <c:pt idx="2">
                  <c:v>0.00011557971258504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0.0009711894903423</c:v>
                </c:pt>
                <c:pt idx="2">
                  <c:v>0.000971189490342301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0.0859502698952936</c:v>
                </c:pt>
                <c:pt idx="2">
                  <c:v>0.0859502698952936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0.44202995946151</c:v>
                </c:pt>
                <c:pt idx="2">
                  <c:v>0.44202995946151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0.0389845867025082</c:v>
                </c:pt>
                <c:pt idx="2">
                  <c:v>0.0389845867025082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477880"/>
        <c:axId val="-2104474888"/>
      </c:barChart>
      <c:catAx>
        <c:axId val="-210447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7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47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77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0.0093840069709766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0.00129499296199477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0.0167403981500101</c:v>
                </c:pt>
                <c:pt idx="2">
                  <c:v>0.01674039815001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0.0267846370400161</c:v>
                </c:pt>
                <c:pt idx="2">
                  <c:v>0.0267846370400161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0.0892821234667203</c:v>
                </c:pt>
                <c:pt idx="2">
                  <c:v>0.0892821234667203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0.799638045445405</c:v>
                </c:pt>
                <c:pt idx="2">
                  <c:v>0.799638045445405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764824"/>
        <c:axId val="1768767848"/>
      </c:barChart>
      <c:catAx>
        <c:axId val="176876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767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767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76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765.5693374134275</c:v>
                </c:pt>
                <c:pt idx="5">
                  <c:v>2251.398788227296</c:v>
                </c:pt>
                <c:pt idx="6">
                  <c:v>4768.672501757876</c:v>
                </c:pt>
                <c:pt idx="7">
                  <c:v>3309.079854109735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759.0097807007438</c:v>
                </c:pt>
                <c:pt idx="6">
                  <c:v>-928.7290964312952</c:v>
                </c:pt>
                <c:pt idx="7">
                  <c:v>2677.62383592258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60.07268896497234</c:v>
                </c:pt>
                <c:pt idx="6">
                  <c:v>135.2678430339742</c:v>
                </c:pt>
                <c:pt idx="7">
                  <c:v>558.5329771624214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118</c:v>
                </c:pt>
                <c:pt idx="6">
                  <c:v>7378.803613832292</c:v>
                </c:pt>
                <c:pt idx="7">
                  <c:v>16727.69943190812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2566.5</c:v>
                </c:pt>
                <c:pt idx="5">
                  <c:v>3656.871370829041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4947.01603897814</c:v>
                </c:pt>
                <c:pt idx="5">
                  <c:v>8328.262174084804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6796.8</c:v>
                </c:pt>
                <c:pt idx="6">
                  <c:v>45312</c:v>
                </c:pt>
                <c:pt idx="7">
                  <c:v>139172.5714285714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5493.853462623794</c:v>
                </c:pt>
                <c:pt idx="6">
                  <c:v>1276.283460531676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23859.6</c:v>
                </c:pt>
                <c:pt idx="5">
                  <c:v>23859.6</c:v>
                </c:pt>
                <c:pt idx="6">
                  <c:v>8991.6</c:v>
                </c:pt>
                <c:pt idx="7">
                  <c:v>10276.11428571429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597032"/>
        <c:axId val="17775963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597032"/>
        <c:axId val="1777596344"/>
      </c:lineChart>
      <c:catAx>
        <c:axId val="177759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59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59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597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890968"/>
        <c:axId val="-20220118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90968"/>
        <c:axId val="-2022011848"/>
      </c:lineChart>
      <c:catAx>
        <c:axId val="-202189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011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011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89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878104"/>
        <c:axId val="17688814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78104"/>
        <c:axId val="1768881448"/>
      </c:lineChart>
      <c:catAx>
        <c:axId val="1768878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88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881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87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0.298583394707124</c:v>
                </c:pt>
                <c:pt idx="2">
                  <c:v>0.298583394707124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0.0406405640960411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0.0369684371936993</c:v>
                </c:pt>
                <c:pt idx="2">
                  <c:v>0.102019855610993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-0.257942830611083</c:v>
                </c:pt>
                <c:pt idx="2">
                  <c:v>-0.0117501588704712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712216"/>
        <c:axId val="1768708040"/>
      </c:barChart>
      <c:catAx>
        <c:axId val="176871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870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70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8712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0.0201755903479598</c:v>
                </c:pt>
                <c:pt idx="2">
                  <c:v>0.0500408318766906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0.106476819153109</c:v>
                </c:pt>
                <c:pt idx="2">
                  <c:v>0.0723495644349399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0.0201755903479598</c:v>
                </c:pt>
                <c:pt idx="2">
                  <c:v>0.0500408318766906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-0.0942343711698443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442824"/>
        <c:axId val="1777435528"/>
      </c:barChart>
      <c:catAx>
        <c:axId val="177744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43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43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442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0.0111268472702606</c:v>
                </c:pt>
                <c:pt idx="2">
                  <c:v>0.0208493057566443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0.325402115357871</c:v>
                </c:pt>
                <c:pt idx="2">
                  <c:v>0.307105258377489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0.0111268472702606</c:v>
                </c:pt>
                <c:pt idx="2">
                  <c:v>0.0208493057566443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388728"/>
        <c:axId val="1777373736"/>
      </c:barChart>
      <c:catAx>
        <c:axId val="177738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373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37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388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0.985264201212309</c:v>
                </c:pt>
                <c:pt idx="2">
                  <c:v>0.985264201212309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0.0108528307603436</c:v>
                </c:pt>
                <c:pt idx="2">
                  <c:v>0.0331954810720268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0.00539399173298292</c:v>
                </c:pt>
                <c:pt idx="2">
                  <c:v>0.0331954810720268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-0.679362781240923</c:v>
                </c:pt>
                <c:pt idx="2">
                  <c:v>-0.679362781240923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051560"/>
        <c:axId val="-2022056584"/>
      </c:barChart>
      <c:catAx>
        <c:axId val="-202205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05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05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05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0.0975904366438356</c:v>
                </c:pt>
                <c:pt idx="2" formatCode="0.0%">
                  <c:v>0.16774098440863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0.133311733276556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0.00199433499377335</c:v>
                </c:pt>
                <c:pt idx="2" formatCode="0.0%">
                  <c:v>0.00199433499377335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0.00545937458500123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0.00371493773349938</c:v>
                </c:pt>
                <c:pt idx="2" formatCode="0.0%">
                  <c:v>0.0343132023691995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0.0112663449564134</c:v>
                </c:pt>
                <c:pt idx="2" formatCode="0.0%">
                  <c:v>0.0224018404887823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0.00504777581499404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-0.0249028086896674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0.237615082812863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0.159168906341936</c:v>
                </c:pt>
                <c:pt idx="2" formatCode="0.0%">
                  <c:v>0.394781235388186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413128"/>
        <c:axId val="-2084419144"/>
      </c:barChart>
      <c:catAx>
        <c:axId val="-208441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1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41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1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476024"/>
        <c:axId val="17684723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76024"/>
        <c:axId val="17684723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476024"/>
        <c:axId val="1768472376"/>
      </c:scatterChart>
      <c:catAx>
        <c:axId val="1768476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472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68472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476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357720"/>
        <c:axId val="17683477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57720"/>
        <c:axId val="1768347704"/>
      </c:lineChart>
      <c:catAx>
        <c:axId val="1768357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347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68347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3577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09336"/>
        <c:axId val="17682126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16216"/>
        <c:axId val="1768219208"/>
      </c:scatterChart>
      <c:valAx>
        <c:axId val="17682093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212616"/>
        <c:crosses val="autoZero"/>
        <c:crossBetween val="midCat"/>
      </c:valAx>
      <c:valAx>
        <c:axId val="1768212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209336"/>
        <c:crosses val="autoZero"/>
        <c:crossBetween val="midCat"/>
      </c:valAx>
      <c:valAx>
        <c:axId val="176821621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68219208"/>
        <c:crosses val="autoZero"/>
        <c:crossBetween val="midCat"/>
      </c:valAx>
      <c:valAx>
        <c:axId val="17682192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21621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99480"/>
        <c:axId val="17680094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299480"/>
        <c:axId val="1768009448"/>
      </c:lineChart>
      <c:catAx>
        <c:axId val="176829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009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68009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2994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0.0193065034691336</c:v>
                </c:pt>
                <c:pt idx="2" formatCode="0.0%">
                  <c:v>0.0193065034691336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0.0128710023127557</c:v>
                </c:pt>
                <c:pt idx="2" formatCode="0.0%">
                  <c:v>0.0128710023127557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0.0114520636897349</c:v>
                </c:pt>
                <c:pt idx="2" formatCode="0.0%">
                  <c:v>0.0114520636897349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0.0324456516634051</c:v>
                </c:pt>
                <c:pt idx="2" formatCode="0.0%">
                  <c:v>0.106415503887531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0.0821347134640025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0.00569809998220957</c:v>
                </c:pt>
                <c:pt idx="2" formatCode="0.0%">
                  <c:v>0.00569809998220957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0.013815856696407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0.00255269524995552</c:v>
                </c:pt>
                <c:pt idx="2" formatCode="0.0%">
                  <c:v>0.00255269524995552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0.00849128624799858</c:v>
                </c:pt>
                <c:pt idx="2" formatCode="0.0%">
                  <c:v>0.0278497875187753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0.0103006582458637</c:v>
                </c:pt>
                <c:pt idx="2" formatCode="0.0%">
                  <c:v>0.0149973626065109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0.00473803593666607</c:v>
                </c:pt>
                <c:pt idx="2" formatCode="0.0%">
                  <c:v>0.00502336681038933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0.0115563401363534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0.257027881916007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0.229107984905931</c:v>
                </c:pt>
                <c:pt idx="2" formatCode="0.0%">
                  <c:v>0.429298822260234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886744"/>
        <c:axId val="-2114883416"/>
      </c:barChart>
      <c:catAx>
        <c:axId val="-211488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88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88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88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0.0166666666666667</c:v>
                </c:pt>
                <c:pt idx="2" formatCode="0.0%">
                  <c:v>0.0166666666666667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0.0276801965753425</c:v>
                </c:pt>
                <c:pt idx="2" formatCode="0.0%">
                  <c:v>0.0276801965753425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0.000332389165628892</c:v>
                </c:pt>
                <c:pt idx="2" formatCode="0.0%">
                  <c:v>0.000332389165628892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0.000883764134495641</c:v>
                </c:pt>
                <c:pt idx="2" formatCode="0.0%">
                  <c:v>0.000883764134495641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0.000742987546699875</c:v>
                </c:pt>
                <c:pt idx="2" formatCode="0.0%">
                  <c:v>0.0100303318804483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0.00103650373599004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0.000938667496886675</c:v>
                </c:pt>
                <c:pt idx="2" formatCode="0.0%">
                  <c:v>0.000938667496886675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0.0768894349315068</c:v>
                </c:pt>
                <c:pt idx="2" formatCode="0.0%">
                  <c:v>0.0768894349315068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0.0125722235166489</c:v>
                </c:pt>
                <c:pt idx="2" formatCode="0.0%">
                  <c:v>0.0773714585486425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942072"/>
        <c:axId val="1777937784"/>
      </c:barChart>
      <c:catAx>
        <c:axId val="177794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93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793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794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0.00191456159402242</c:v>
                </c:pt>
                <c:pt idx="1">
                  <c:v>0.00191456159402242</c:v>
                </c:pt>
                <c:pt idx="2">
                  <c:v>0.00371650191780822</c:v>
                </c:pt>
                <c:pt idx="3">
                  <c:v>0.00371650191780822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0.0157110080969311</c:v>
                </c:pt>
                <c:pt idx="1">
                  <c:v>0.0168508402127491</c:v>
                </c:pt>
                <c:pt idx="2">
                  <c:v>0.000771485023653179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0.148151596442216</c:v>
                </c:pt>
                <c:pt idx="1">
                  <c:v>0.158899980415586</c:v>
                </c:pt>
                <c:pt idx="2">
                  <c:v>0.00727494615115148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0.125033022181445</c:v>
                </c:pt>
                <c:pt idx="1">
                  <c:v>0.134104155831235</c:v>
                </c:pt>
                <c:pt idx="2">
                  <c:v>0.00613971449062664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0.00118773728518057</c:v>
                </c:pt>
                <c:pt idx="3">
                  <c:v>0.000585004931506849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0.00574446687422167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0.00732193416301302</c:v>
                </c:pt>
                <c:pt idx="1">
                  <c:v>0.00732193416301302</c:v>
                </c:pt>
                <c:pt idx="2">
                  <c:v>0.00732193416301302</c:v>
                </c:pt>
                <c:pt idx="3">
                  <c:v>0.00732193416301302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0.027446013037193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0.00510150294945148</c:v>
                </c:pt>
                <c:pt idx="1">
                  <c:v>0.00306159561570278</c:v>
                </c:pt>
                <c:pt idx="2">
                  <c:v>0.00408154928257713</c:v>
                </c:pt>
                <c:pt idx="3">
                  <c:v>0.00510150294945148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0.141292065522289</c:v>
                </c:pt>
                <c:pt idx="1">
                  <c:v>0.141292065522289</c:v>
                </c:pt>
                <c:pt idx="2">
                  <c:v>0.141292065522289</c:v>
                </c:pt>
                <c:pt idx="3">
                  <c:v>0.141292065522289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0.289538928440216</c:v>
                </c:pt>
                <c:pt idx="3">
                  <c:v>1.87458741674691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745064"/>
        <c:axId val="-2103752584"/>
      </c:barChart>
      <c:catAx>
        <c:axId val="-21037450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52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75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45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0.0666666666666667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0.11072078630137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0.000890802963885429</c:v>
                </c:pt>
                <c:pt idx="3">
                  <c:v>0.000438753698630137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0.00353505653798256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0.0100303318804483</c:v>
                </c:pt>
                <c:pt idx="1">
                  <c:v>0.0100303318804483</c:v>
                </c:pt>
                <c:pt idx="2">
                  <c:v>0.0100303318804483</c:v>
                </c:pt>
                <c:pt idx="3">
                  <c:v>0.0100303318804483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-1.786411197676593</c:v>
                </c:pt>
                <c:pt idx="1">
                  <c:v>-1.786411197676593</c:v>
                </c:pt>
                <c:pt idx="2">
                  <c:v>-1.786411197676593</c:v>
                </c:pt>
                <c:pt idx="3">
                  <c:v>-1.786411197676593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94200"/>
        <c:axId val="-2103896648"/>
      </c:barChart>
      <c:catAx>
        <c:axId val="-21038942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966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89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94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0.00743300383561643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0.00281948164214197</c:v>
                </c:pt>
                <c:pt idx="1">
                  <c:v>0.00190565845748443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0.400362838945113</c:v>
                </c:pt>
                <c:pt idx="1">
                  <c:v>0.270601098689408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0.318187377923541</c:v>
                </c:pt>
                <c:pt idx="1">
                  <c:v>0.215059555182682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0.00534481778331258</c:v>
                </c:pt>
                <c:pt idx="3">
                  <c:v>0.00263252219178082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0.0218374983400049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0.0343132023691995</c:v>
                </c:pt>
                <c:pt idx="1">
                  <c:v>0.0343132023691995</c:v>
                </c:pt>
                <c:pt idx="2">
                  <c:v>0.0343132023691995</c:v>
                </c:pt>
                <c:pt idx="3">
                  <c:v>0.0343132023691995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0.0896073619551293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0.00593820346875899</c:v>
                </c:pt>
                <c:pt idx="1">
                  <c:v>0.00356372972538579</c:v>
                </c:pt>
                <c:pt idx="2">
                  <c:v>0.00475096659707239</c:v>
                </c:pt>
                <c:pt idx="3">
                  <c:v>0.00593820346875899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0.237615082812863</c:v>
                </c:pt>
                <c:pt idx="1">
                  <c:v>0.237615082812863</c:v>
                </c:pt>
                <c:pt idx="2">
                  <c:v>0.237615082812863</c:v>
                </c:pt>
                <c:pt idx="3">
                  <c:v>0.237615082812863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0.215139141127813</c:v>
                </c:pt>
                <c:pt idx="2">
                  <c:v>-0.254712694152165</c:v>
                </c:pt>
                <c:pt idx="3">
                  <c:v>-0.278218733927162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888248"/>
        <c:axId val="1777891560"/>
      </c:barChart>
      <c:catAx>
        <c:axId val="17778882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91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789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88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0.0131284223590109</c:v>
                </c:pt>
                <c:pt idx="1">
                  <c:v>0.0131284223590109</c:v>
                </c:pt>
                <c:pt idx="2">
                  <c:v>0.0254845845792564</c:v>
                </c:pt>
                <c:pt idx="3">
                  <c:v>0.0254845845792564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0.0514840092510229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0.0360314834480624</c:v>
                </c:pt>
                <c:pt idx="1">
                  <c:v>0.00977677131087728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0.334813756788454</c:v>
                </c:pt>
                <c:pt idx="1">
                  <c:v>0.0908482587616701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0.258419412331967</c:v>
                </c:pt>
                <c:pt idx="1">
                  <c:v>0.0701194415240432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0.0152709079523216</c:v>
                </c:pt>
                <c:pt idx="3">
                  <c:v>0.00752149197651663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0.055263426785628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0.0102107809998221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0.0278497875187753</c:v>
                </c:pt>
                <c:pt idx="1">
                  <c:v>0.0278497875187753</c:v>
                </c:pt>
                <c:pt idx="2">
                  <c:v>0.0278497875187753</c:v>
                </c:pt>
                <c:pt idx="3">
                  <c:v>0.0278497875187753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0.0599894504260435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0.005909488715742</c:v>
                </c:pt>
                <c:pt idx="1">
                  <c:v>0.00354649696813486</c:v>
                </c:pt>
                <c:pt idx="2">
                  <c:v>0.00472799284193843</c:v>
                </c:pt>
                <c:pt idx="3">
                  <c:v>0.005909488715742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0.257027881916007</c:v>
                </c:pt>
                <c:pt idx="1">
                  <c:v>0.257027881916007</c:v>
                </c:pt>
                <c:pt idx="2">
                  <c:v>0.257027881916007</c:v>
                </c:pt>
                <c:pt idx="3">
                  <c:v>0.257027881916007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0.505935818505306</c:v>
                </c:pt>
                <c:pt idx="2">
                  <c:v>0.658082505055348</c:v>
                </c:pt>
                <c:pt idx="3">
                  <c:v>0.553176965480283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703432"/>
        <c:axId val="1777706744"/>
      </c:barChart>
      <c:catAx>
        <c:axId val="1777703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067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770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70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0.0173810575931654</c:v>
                </c:pt>
                <c:pt idx="2">
                  <c:v>0.0173810575931654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0.00185594343791427</c:v>
                </c:pt>
                <c:pt idx="2">
                  <c:v>0.00120937433190616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0.00439406007259239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0.00412431875092061</c:v>
                </c:pt>
                <c:pt idx="2">
                  <c:v>0.00268749851534703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0.00371188687582854</c:v>
                </c:pt>
                <c:pt idx="2">
                  <c:v>0.00241874866381232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0.000721755781411106</c:v>
                </c:pt>
                <c:pt idx="2">
                  <c:v>0.000470312240185729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0.0334582157899571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0.0204064383686677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0.0170448519664163</c:v>
                </c:pt>
                <c:pt idx="2">
                  <c:v>0.0170448519664163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0.0117719840919134</c:v>
                </c:pt>
                <c:pt idx="2">
                  <c:v>0.0117719840919134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0.0863278833406982</c:v>
                </c:pt>
                <c:pt idx="2">
                  <c:v>0.0863278833406982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0.100114891736633</c:v>
                </c:pt>
                <c:pt idx="2">
                  <c:v>0.100114891736633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0.0809228673239622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0.351444984533805</c:v>
                </c:pt>
                <c:pt idx="2">
                  <c:v>0.351444984533805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161864"/>
        <c:axId val="-2104163160"/>
      </c:barChart>
      <c:catAx>
        <c:axId val="-210416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63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163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6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633.40645641333492</v>
      </c>
      <c r="T7" s="221">
        <f>IF($B$81=0,0,(SUMIF($N$6:$N$28,$U7,M$6:M$28)+SUMIF($N$91:$N$118,$U7,M$91:M$118))*$I$83*Poor!$B$81/$B$81)</f>
        <v>765.56933741342755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318.63999999999993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1.6666666666666666E-2</v>
      </c>
      <c r="J9" s="24">
        <f t="shared" si="3"/>
        <v>1.6666666666666666E-2</v>
      </c>
      <c r="K9" s="22">
        <f t="shared" si="4"/>
        <v>8.3333333333333329E-2</v>
      </c>
      <c r="L9" s="22">
        <f t="shared" si="5"/>
        <v>1.6666666666666666E-2</v>
      </c>
      <c r="M9" s="223">
        <f t="shared" si="6"/>
        <v>1.6666666666666666E-2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6.6666666666666666E-2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6.6666666666666666E-2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1.6666666666666666E-2</v>
      </c>
      <c r="AJ9" s="120">
        <f t="shared" si="14"/>
        <v>3.3333333333333333E-2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0.3</v>
      </c>
      <c r="H10" s="24">
        <f t="shared" si="1"/>
        <v>0.3</v>
      </c>
      <c r="I10" s="22">
        <f t="shared" si="2"/>
        <v>2.7680196575342462E-2</v>
      </c>
      <c r="J10" s="24">
        <f t="shared" si="3"/>
        <v>2.7680196575342462E-2</v>
      </c>
      <c r="K10" s="22">
        <f t="shared" si="4"/>
        <v>9.2267321917808204E-2</v>
      </c>
      <c r="L10" s="22">
        <f t="shared" si="5"/>
        <v>2.7680196575342462E-2</v>
      </c>
      <c r="M10" s="223">
        <f t="shared" si="6"/>
        <v>2.7680196575342462E-2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0.11072078630136985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0.11072078630136985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2.7680196575342462E-2</v>
      </c>
      <c r="AJ10" s="120">
        <f t="shared" si="14"/>
        <v>5.5360393150684924E-2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0.2</v>
      </c>
      <c r="H12" s="24">
        <f t="shared" si="1"/>
        <v>0.2</v>
      </c>
      <c r="I12" s="22">
        <f t="shared" si="2"/>
        <v>3.3238916562889167E-4</v>
      </c>
      <c r="J12" s="24">
        <f t="shared" si="3"/>
        <v>3.3238916562889167E-4</v>
      </c>
      <c r="K12" s="22">
        <f t="shared" si="4"/>
        <v>1.6619458281444583E-3</v>
      </c>
      <c r="L12" s="22">
        <f t="shared" si="5"/>
        <v>3.3238916562889167E-4</v>
      </c>
      <c r="M12" s="223">
        <f t="shared" si="6"/>
        <v>3.3238916562889167E-4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2566.5</v>
      </c>
      <c r="U12" s="222">
        <v>6</v>
      </c>
      <c r="V12" s="56"/>
      <c r="W12" s="117"/>
      <c r="X12" s="118">
        <v>1</v>
      </c>
      <c r="Y12" s="183">
        <f t="shared" si="9"/>
        <v>1.3295566625155667E-3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8.908029638854297E-4</v>
      </c>
      <c r="AF12" s="122">
        <f>1-SUM(Z12,AB12,AD12)</f>
        <v>0.32999999999999996</v>
      </c>
      <c r="AG12" s="121">
        <f>$M12*AF12*4</f>
        <v>4.3875369863013693E-4</v>
      </c>
      <c r="AH12" s="123">
        <f t="shared" si="12"/>
        <v>1</v>
      </c>
      <c r="AI12" s="183">
        <f t="shared" si="13"/>
        <v>3.3238916562889167E-4</v>
      </c>
      <c r="AJ12" s="120">
        <f t="shared" si="14"/>
        <v>0</v>
      </c>
      <c r="AK12" s="119">
        <f t="shared" si="15"/>
        <v>6.6477833125778334E-4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0.2</v>
      </c>
      <c r="H13" s="24">
        <f t="shared" si="1"/>
        <v>0.2</v>
      </c>
      <c r="I13" s="22">
        <f t="shared" si="2"/>
        <v>8.837641344956415E-4</v>
      </c>
      <c r="J13" s="24">
        <f t="shared" si="3"/>
        <v>8.837641344956415E-4</v>
      </c>
      <c r="K13" s="22">
        <f t="shared" si="4"/>
        <v>4.4188206724782072E-3</v>
      </c>
      <c r="L13" s="22">
        <f t="shared" si="5"/>
        <v>8.837641344956415E-4</v>
      </c>
      <c r="M13" s="224">
        <f t="shared" si="6"/>
        <v>8.837641344956415E-4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4947.0160389781404</v>
      </c>
      <c r="T13" s="221">
        <f>IF($B$81=0,0,(SUMIF($N$6:$N$28,$U13,M$6:M$28)+SUMIF($N$91:$N$118,$U13,M$91:M$118))*$I$83*Poor!$B$81/$B$81)</f>
        <v>4947.0160389781404</v>
      </c>
      <c r="U13" s="222">
        <v>7</v>
      </c>
      <c r="V13" s="56"/>
      <c r="W13" s="110"/>
      <c r="X13" s="118"/>
      <c r="Y13" s="183">
        <f t="shared" si="9"/>
        <v>3.535056537982566E-3</v>
      </c>
      <c r="Z13" s="156">
        <f>Poor!Z13</f>
        <v>1</v>
      </c>
      <c r="AA13" s="121">
        <f>$M13*Z13*4</f>
        <v>3.535056537982566E-3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8.837641344956415E-4</v>
      </c>
      <c r="AJ13" s="120">
        <f t="shared" si="14"/>
        <v>1.767528268991283E-3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1.003033188044832E-2</v>
      </c>
      <c r="J15" s="24">
        <f t="shared" ref="J15:J25" si="17">IF(I$32&lt;=1+I131,I15,B15*H15+J$33*(I15-B15*H15))</f>
        <v>1.003033188044832E-2</v>
      </c>
      <c r="K15" s="22">
        <f t="shared" si="4"/>
        <v>3.7149377334993777E-3</v>
      </c>
      <c r="L15" s="22">
        <f t="shared" si="5"/>
        <v>7.4298754669987555E-4</v>
      </c>
      <c r="M15" s="225">
        <f t="shared" si="6"/>
        <v>1.003033188044832E-2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4.012132752179328E-2</v>
      </c>
      <c r="Z15" s="156">
        <f>Poor!Z15</f>
        <v>0.25</v>
      </c>
      <c r="AA15" s="121">
        <f t="shared" si="16"/>
        <v>1.003033188044832E-2</v>
      </c>
      <c r="AB15" s="156">
        <f>Poor!AB15</f>
        <v>0.25</v>
      </c>
      <c r="AC15" s="121">
        <f t="shared" si="7"/>
        <v>1.003033188044832E-2</v>
      </c>
      <c r="AD15" s="156">
        <f>Poor!AD15</f>
        <v>0.25</v>
      </c>
      <c r="AE15" s="121">
        <f t="shared" si="8"/>
        <v>1.003033188044832E-2</v>
      </c>
      <c r="AF15" s="122">
        <f t="shared" si="10"/>
        <v>0.25</v>
      </c>
      <c r="AG15" s="121">
        <f t="shared" si="11"/>
        <v>1.003033188044832E-2</v>
      </c>
      <c r="AH15" s="123">
        <f t="shared" si="12"/>
        <v>1</v>
      </c>
      <c r="AI15" s="183">
        <f t="shared" si="13"/>
        <v>1.003033188044832E-2</v>
      </c>
      <c r="AJ15" s="120">
        <f t="shared" si="14"/>
        <v>1.003033188044832E-2</v>
      </c>
      <c r="AK15" s="119">
        <f t="shared" si="15"/>
        <v>1.003033188044832E-2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1.0365037359900372E-3</v>
      </c>
      <c r="J16" s="24">
        <f t="shared" si="17"/>
        <v>1.0365037359900372E-3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1.0365037359900372E-3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9.3866749688667505E-4</v>
      </c>
      <c r="J17" s="24">
        <f t="shared" si="17"/>
        <v>9.3866749688667505E-4</v>
      </c>
      <c r="K17" s="22">
        <f t="shared" si="21"/>
        <v>4.693337484433375E-3</v>
      </c>
      <c r="L17" s="22">
        <f t="shared" si="22"/>
        <v>9.3866749688667505E-4</v>
      </c>
      <c r="M17" s="225">
        <f t="shared" si="23"/>
        <v>9.3866749688667505E-4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0.5</v>
      </c>
      <c r="F19" s="22"/>
      <c r="H19" s="24">
        <f t="shared" si="19"/>
        <v>0.5</v>
      </c>
      <c r="I19" s="22">
        <f t="shared" si="20"/>
        <v>7.688943493150685E-2</v>
      </c>
      <c r="J19" s="24">
        <f t="shared" si="17"/>
        <v>7.688943493150685E-2</v>
      </c>
      <c r="K19" s="22">
        <f t="shared" si="21"/>
        <v>0.1537788698630137</v>
      </c>
      <c r="L19" s="22">
        <f t="shared" si="22"/>
        <v>7.688943493150685E-2</v>
      </c>
      <c r="M19" s="225">
        <f t="shared" si="23"/>
        <v>7.688943493150685E-2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32706.788441912722</v>
      </c>
      <c r="T23" s="179">
        <f>SUM(T7:T22)</f>
        <v>33357.202987690478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7.7371458548642469E-2</v>
      </c>
      <c r="J30" s="230">
        <f>IF(I$32&lt;=1,I30,1-SUM(J6:J29))</f>
        <v>7.7371458548642469E-2</v>
      </c>
      <c r="K30" s="22">
        <f t="shared" si="4"/>
        <v>0.56623471980074724</v>
      </c>
      <c r="L30" s="22">
        <f>IF(L124=L119,0,IF(K30="",0,(L119-L124)/(B119-B124)*K30))</f>
        <v>1.257222351664887E-2</v>
      </c>
      <c r="M30" s="175">
        <f t="shared" si="6"/>
        <v>7.7371458548642469E-2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6617.4978501400765</v>
      </c>
      <c r="T30" s="233">
        <f t="shared" si="24"/>
        <v>5967.0833043623206</v>
      </c>
      <c r="V30" s="56"/>
      <c r="W30" s="110"/>
      <c r="X30" s="118"/>
      <c r="Y30" s="183">
        <f>M30*4</f>
        <v>0.30948583419456988</v>
      </c>
      <c r="Z30" s="122">
        <f>IF($Y30=0,0,AA30/($Y$30))</f>
        <v>-5.7721905182694044</v>
      </c>
      <c r="AA30" s="187">
        <f>IF(AA79*4/$I$83+SUM(AA6:AA29)&lt;1,AA79*4/$I$83,1-SUM(AA6:AA29))</f>
        <v>-1.7864111976765933</v>
      </c>
      <c r="AB30" s="122">
        <f>IF($Y30=0,0,AC30/($Y$30))</f>
        <v>-5.7721905182694044</v>
      </c>
      <c r="AC30" s="187">
        <f>IF(AC79*4/$I$83+SUM(AC6:AC29)&lt;1,AC79*4/$I$83,1-SUM(AC6:AC29))</f>
        <v>-1.7864111976765933</v>
      </c>
      <c r="AD30" s="122">
        <f>IF($Y30=0,0,AE30/($Y$30))</f>
        <v>-5.7721905182694044</v>
      </c>
      <c r="AE30" s="187">
        <f>IF(AE79*4/$I$83+SUM(AE6:AE29)&lt;1,AE79*4/$I$83,1-SUM(AE6:AE29))</f>
        <v>-1.7864111976765933</v>
      </c>
      <c r="AF30" s="122">
        <f>IF($Y30=0,0,AG30/($Y$30))</f>
        <v>-5.7721905182694044</v>
      </c>
      <c r="AG30" s="187">
        <f>IF(AG79*4/$I$83+SUM(AG6:AG29)&lt;1,AG79*4/$I$83,1-SUM(AG6:AG29))</f>
        <v>-1.7864111976765933</v>
      </c>
      <c r="AH30" s="123">
        <f t="shared" si="12"/>
        <v>-23.088762073077618</v>
      </c>
      <c r="AI30" s="183">
        <f t="shared" si="13"/>
        <v>-1.7864111976765933</v>
      </c>
      <c r="AJ30" s="120">
        <f t="shared" si="14"/>
        <v>-1.7864111976765933</v>
      </c>
      <c r="AK30" s="119">
        <f t="shared" si="15"/>
        <v>-1.7864111976765933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0.46611621196171171</v>
      </c>
      <c r="K31" s="22" t="str">
        <f t="shared" si="4"/>
        <v/>
      </c>
      <c r="L31" s="22">
        <f>(1-SUM(L6:L30))</f>
        <v>0.64096738080494275</v>
      </c>
      <c r="M31" s="240">
        <f t="shared" si="6"/>
        <v>0.46611621196171171</v>
      </c>
      <c r="N31" s="167">
        <f>M31*I83</f>
        <v>5967.0833043623188</v>
      </c>
      <c r="P31" s="22"/>
      <c r="Q31" s="237" t="s">
        <v>142</v>
      </c>
      <c r="R31" s="233">
        <f t="shared" si="24"/>
        <v>10945.076551611397</v>
      </c>
      <c r="S31" s="233">
        <f t="shared" si="24"/>
        <v>26888.324516806744</v>
      </c>
      <c r="T31" s="233">
        <f>IF(T25&gt;T$23,T25-T$23,0)</f>
        <v>26237.909971028988</v>
      </c>
      <c r="V31" s="56"/>
      <c r="W31" s="129" t="s">
        <v>84</v>
      </c>
      <c r="X31" s="130"/>
      <c r="Y31" s="121">
        <f>M31*4</f>
        <v>1.8644648478468469</v>
      </c>
      <c r="Z31" s="131"/>
      <c r="AA31" s="132">
        <f>1-AA32+IF($Y32&lt;0,$Y32/4,0)</f>
        <v>2.2815358680624147</v>
      </c>
      <c r="AB31" s="131"/>
      <c r="AC31" s="133">
        <f>1-AC32+IF($Y32&lt;0,$Y32/4,0)</f>
        <v>2.4535239441935892</v>
      </c>
      <c r="AD31" s="134"/>
      <c r="AE31" s="133">
        <f>1-AE32+IF($Y32&lt;0,$Y32/4,0)</f>
        <v>2.4615675746045484</v>
      </c>
      <c r="AF31" s="134"/>
      <c r="AG31" s="133">
        <f>1-AG32+IF($Y32&lt;0,$Y32/4,0)</f>
        <v>2.4620196238698036</v>
      </c>
      <c r="AH31" s="123"/>
      <c r="AI31" s="182">
        <f>SUM(AA31,AC31,AE31,AG31)/4</f>
        <v>2.4146617526825889</v>
      </c>
      <c r="AJ31" s="135">
        <f t="shared" si="14"/>
        <v>2.3675299061280022</v>
      </c>
      <c r="AK31" s="136">
        <f t="shared" si="15"/>
        <v>2.461793599237176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0.53388378803828829</v>
      </c>
      <c r="J32" s="17"/>
      <c r="L32" s="22">
        <f>SUM(L6:L30)</f>
        <v>0.35903261919505725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59626.24451680675</v>
      </c>
      <c r="T32" s="233">
        <f t="shared" si="24"/>
        <v>58975.829971028994</v>
      </c>
      <c r="V32" s="56"/>
      <c r="W32" s="110"/>
      <c r="X32" s="118"/>
      <c r="Y32" s="115">
        <f>SUM(Y6:Y31)</f>
        <v>3.6609484620174344</v>
      </c>
      <c r="Z32" s="137"/>
      <c r="AA32" s="138">
        <f>SUM(AA6:AA30)</f>
        <v>-1.2815358680624145</v>
      </c>
      <c r="AB32" s="137"/>
      <c r="AC32" s="139">
        <f>SUM(AC6:AC30)</f>
        <v>-1.4535239441935892</v>
      </c>
      <c r="AD32" s="137"/>
      <c r="AE32" s="139">
        <f>SUM(AE6:AE30)</f>
        <v>-1.4615675746045482</v>
      </c>
      <c r="AF32" s="137"/>
      <c r="AG32" s="139">
        <f>SUM(AG6:AG30)</f>
        <v>-1.4620196238698036</v>
      </c>
      <c r="AH32" s="127"/>
      <c r="AI32" s="110"/>
      <c r="AJ32" s="140">
        <f>SUM(AJ6:AJ31)</f>
        <v>1.0000000000000002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4.6015041019138829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20270.826666666664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9.3840069709766067E-3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1.2949929619947716E-3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499.50000000000006</v>
      </c>
      <c r="J49" s="38">
        <f t="shared" si="32"/>
        <v>499.5</v>
      </c>
      <c r="K49" s="40">
        <f t="shared" si="33"/>
        <v>3.0162879549567666E-2</v>
      </c>
      <c r="L49" s="22">
        <f t="shared" si="34"/>
        <v>1.6740398150010057E-2</v>
      </c>
      <c r="M49" s="24">
        <f t="shared" si="35"/>
        <v>1.6740398150010053E-2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124.875</v>
      </c>
      <c r="AB49" s="156">
        <f>Poor!AB49</f>
        <v>0.25</v>
      </c>
      <c r="AC49" s="147">
        <f t="shared" si="41"/>
        <v>124.875</v>
      </c>
      <c r="AD49" s="156">
        <f>Poor!AD49</f>
        <v>0.25</v>
      </c>
      <c r="AE49" s="147">
        <f t="shared" si="42"/>
        <v>124.875</v>
      </c>
      <c r="AF49" s="122">
        <f t="shared" si="29"/>
        <v>0.25</v>
      </c>
      <c r="AG49" s="147">
        <f t="shared" si="36"/>
        <v>124.875</v>
      </c>
      <c r="AH49" s="123">
        <f t="shared" si="37"/>
        <v>1</v>
      </c>
      <c r="AI49" s="112">
        <f t="shared" si="37"/>
        <v>499.5</v>
      </c>
      <c r="AJ49" s="148">
        <f t="shared" si="38"/>
        <v>249.75</v>
      </c>
      <c r="AK49" s="147">
        <f t="shared" si="39"/>
        <v>249.75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799.2</v>
      </c>
      <c r="J50" s="38">
        <f t="shared" si="32"/>
        <v>799.2</v>
      </c>
      <c r="K50" s="40">
        <f t="shared" si="33"/>
        <v>4.8260607279308268E-2</v>
      </c>
      <c r="L50" s="22">
        <f t="shared" si="34"/>
        <v>2.6784637040016091E-2</v>
      </c>
      <c r="M50" s="24">
        <f t="shared" si="35"/>
        <v>2.6784637040016088E-2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199.8</v>
      </c>
      <c r="AB50" s="156">
        <f>Poor!AB55</f>
        <v>0.25</v>
      </c>
      <c r="AC50" s="147">
        <f t="shared" si="41"/>
        <v>199.8</v>
      </c>
      <c r="AD50" s="156">
        <f>Poor!AD55</f>
        <v>0.25</v>
      </c>
      <c r="AE50" s="147">
        <f t="shared" si="42"/>
        <v>199.8</v>
      </c>
      <c r="AF50" s="122">
        <f t="shared" si="29"/>
        <v>0.25</v>
      </c>
      <c r="AG50" s="147">
        <f t="shared" si="36"/>
        <v>199.8</v>
      </c>
      <c r="AH50" s="123">
        <f t="shared" si="37"/>
        <v>1</v>
      </c>
      <c r="AI50" s="112">
        <f t="shared" si="37"/>
        <v>799.2</v>
      </c>
      <c r="AJ50" s="148">
        <f t="shared" si="38"/>
        <v>399.6</v>
      </c>
      <c r="AK50" s="147">
        <f t="shared" si="39"/>
        <v>399.6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2664.0000000000005</v>
      </c>
      <c r="J51" s="38">
        <f t="shared" si="32"/>
        <v>2663.9999999999995</v>
      </c>
      <c r="K51" s="40">
        <f t="shared" si="33"/>
        <v>0.16086869093102754</v>
      </c>
      <c r="L51" s="22">
        <f t="shared" si="34"/>
        <v>8.9282123466720292E-2</v>
      </c>
      <c r="M51" s="24">
        <f t="shared" si="35"/>
        <v>8.9282123466720278E-2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665.99999999999989</v>
      </c>
      <c r="AB51" s="156">
        <f>Poor!AB56</f>
        <v>0.25</v>
      </c>
      <c r="AC51" s="147">
        <f t="shared" si="41"/>
        <v>665.99999999999989</v>
      </c>
      <c r="AD51" s="156">
        <f>Poor!AD56</f>
        <v>0.25</v>
      </c>
      <c r="AE51" s="147">
        <f t="shared" si="42"/>
        <v>665.99999999999989</v>
      </c>
      <c r="AF51" s="122">
        <f t="shared" si="29"/>
        <v>0.25</v>
      </c>
      <c r="AG51" s="147">
        <f t="shared" si="36"/>
        <v>665.99999999999989</v>
      </c>
      <c r="AH51" s="123">
        <f t="shared" si="37"/>
        <v>1</v>
      </c>
      <c r="AI51" s="112">
        <f t="shared" si="37"/>
        <v>2663.9999999999995</v>
      </c>
      <c r="AJ51" s="148">
        <f t="shared" si="38"/>
        <v>1331.9999999999998</v>
      </c>
      <c r="AK51" s="147">
        <f t="shared" si="39"/>
        <v>1331.9999999999998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23859.599999999999</v>
      </c>
      <c r="J56" s="38">
        <f t="shared" si="32"/>
        <v>23859.600000000002</v>
      </c>
      <c r="K56" s="40">
        <f t="shared" si="33"/>
        <v>0.67765936054695353</v>
      </c>
      <c r="L56" s="22">
        <f t="shared" si="34"/>
        <v>0.79963804544540507</v>
      </c>
      <c r="M56" s="24">
        <f t="shared" si="35"/>
        <v>0.79963804544540529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30388.799999999999</v>
      </c>
      <c r="J65" s="39">
        <f>SUM(J37:J64)</f>
        <v>30388.800000000003</v>
      </c>
      <c r="K65" s="40">
        <f>SUM(K37:K64)</f>
        <v>1</v>
      </c>
      <c r="L65" s="22">
        <f>SUM(L37:L64)</f>
        <v>0.99611703197265222</v>
      </c>
      <c r="M65" s="24">
        <f>SUM(M37:M64)</f>
        <v>1.0184596822843355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1632.2999999999997</v>
      </c>
      <c r="AB65" s="137"/>
      <c r="AC65" s="153">
        <f>SUM(AC37:AC64)</f>
        <v>1632.2999999999997</v>
      </c>
      <c r="AD65" s="137"/>
      <c r="AE65" s="153">
        <f>SUM(AE37:AE64)</f>
        <v>1632.2999999999997</v>
      </c>
      <c r="AF65" s="137"/>
      <c r="AG65" s="153">
        <f>SUM(AG37:AG64)</f>
        <v>1632.2999999999997</v>
      </c>
      <c r="AH65" s="137"/>
      <c r="AI65" s="153">
        <f>SUM(AI37:AI64)</f>
        <v>6529.1999999999989</v>
      </c>
      <c r="AJ65" s="153">
        <f>SUM(AJ37:AJ64)</f>
        <v>3264.5999999999995</v>
      </c>
      <c r="AK65" s="153">
        <f>SUM(AK37:AK64)</f>
        <v>3264.5999999999995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44">J124*I$83</f>
        <v>29398.313235772868</v>
      </c>
      <c r="K70" s="40">
        <f>B70/B$76</f>
        <v>0.70376014372307771</v>
      </c>
      <c r="L70" s="22">
        <f t="shared" ref="L70:L74" si="45">(L124*G$37*F$9/F$7)/B$130</f>
        <v>0.98526420121230884</v>
      </c>
      <c r="M70" s="24">
        <f>J70/B$76</f>
        <v>0.98526420121230873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7349.5783089432171</v>
      </c>
      <c r="AB70" s="156">
        <f>Poor!AB70</f>
        <v>0.25</v>
      </c>
      <c r="AC70" s="147">
        <f>$J70*AB70</f>
        <v>7349.5783089432171</v>
      </c>
      <c r="AD70" s="156">
        <f>Poor!AD70</f>
        <v>0.25</v>
      </c>
      <c r="AE70" s="147">
        <f>$J70*AD70</f>
        <v>7349.5783089432171</v>
      </c>
      <c r="AF70" s="156">
        <f>Poor!AF70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990.48676422713606</v>
      </c>
      <c r="J71" s="51">
        <f t="shared" si="44"/>
        <v>990.48676422713606</v>
      </c>
      <c r="K71" s="40">
        <f t="shared" ref="K71:K72" si="47">B71/B$76</f>
        <v>0.57573117054315526</v>
      </c>
      <c r="L71" s="22">
        <f t="shared" si="45"/>
        <v>1.085283076034365E-2</v>
      </c>
      <c r="M71" s="24">
        <f t="shared" ref="M71:M72" si="48">J71/B$76</f>
        <v>3.3195481072026814E-2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990.48676422713606</v>
      </c>
      <c r="J74" s="51">
        <f t="shared" si="44"/>
        <v>990.48676422713606</v>
      </c>
      <c r="K74" s="40">
        <f>B74/B$76</f>
        <v>0.14723488931353881</v>
      </c>
      <c r="L74" s="22">
        <f t="shared" si="45"/>
        <v>5.3939917329829173E-3</v>
      </c>
      <c r="M74" s="24">
        <f>J74/B$76</f>
        <v>3.3195481072026814E-2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-5717.2783089432178</v>
      </c>
      <c r="AB74" s="156"/>
      <c r="AC74" s="147">
        <f>AC30*$I$83/4</f>
        <v>-5717.2783089432178</v>
      </c>
      <c r="AD74" s="156"/>
      <c r="AE74" s="147">
        <f>AE30*$I$83/4</f>
        <v>-5717.2783089432178</v>
      </c>
      <c r="AF74" s="156"/>
      <c r="AG74" s="147">
        <f>AG30*$I$83/4</f>
        <v>-5717.2783089432178</v>
      </c>
      <c r="AH74" s="155"/>
      <c r="AI74" s="147">
        <f>SUM(AA74,AC74,AE74,AG74)</f>
        <v>-22869.113235772871</v>
      </c>
      <c r="AJ74" s="148">
        <f>(AA74+AC74)</f>
        <v>-11434.556617886436</v>
      </c>
      <c r="AK74" s="147">
        <f>(AE74+AG74)</f>
        <v>-11434.556617886436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30388.800000000003</v>
      </c>
      <c r="J76" s="51">
        <f t="shared" si="44"/>
        <v>30388.800000000003</v>
      </c>
      <c r="K76" s="40">
        <f>SUM(K70:K75)</f>
        <v>2.4160351384949807</v>
      </c>
      <c r="L76" s="22">
        <f>SUM(L70:L75)</f>
        <v>1.0015110237056353</v>
      </c>
      <c r="M76" s="24">
        <f>SUM(M70:M75)</f>
        <v>1.0516551633563622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1632.2999999999997</v>
      </c>
      <c r="AB76" s="137"/>
      <c r="AC76" s="153">
        <f>AC65</f>
        <v>1632.2999999999997</v>
      </c>
      <c r="AD76" s="137"/>
      <c r="AE76" s="153">
        <f>AE65</f>
        <v>1632.2999999999997</v>
      </c>
      <c r="AF76" s="137"/>
      <c r="AG76" s="153">
        <f>AG65</f>
        <v>1632.2999999999997</v>
      </c>
      <c r="AH76" s="137"/>
      <c r="AI76" s="153">
        <f>SUM(AA76,AC76,AE76,AG76)</f>
        <v>6529.1999999999989</v>
      </c>
      <c r="AJ76" s="154">
        <f>SUM(AA76,AC76)</f>
        <v>3264.5999999999995</v>
      </c>
      <c r="AK76" s="154">
        <f>SUM(AE76,AG76)</f>
        <v>3264.5999999999995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20270.826666666664</v>
      </c>
      <c r="J77" s="100">
        <f t="shared" si="44"/>
        <v>20270.826666666664</v>
      </c>
      <c r="K77" s="40"/>
      <c r="L77" s="22">
        <f>-(L131*G$37*F$9/F$7)/B$130</f>
        <v>-0.67936278124092309</v>
      </c>
      <c r="M77" s="24">
        <f>-J77/B$76</f>
        <v>-0.67936278124092309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7301.888583386868</v>
      </c>
      <c r="AB77" s="112"/>
      <c r="AC77" s="111">
        <f>AC31*$I$83/4</f>
        <v>7852.323834991048</v>
      </c>
      <c r="AD77" s="112"/>
      <c r="AE77" s="111">
        <f>AE31*$I$83/4</f>
        <v>7878.0668854900287</v>
      </c>
      <c r="AF77" s="112"/>
      <c r="AG77" s="111">
        <f>AG31*$I$83/4</f>
        <v>7879.5136360826009</v>
      </c>
      <c r="AH77" s="110"/>
      <c r="AI77" s="154">
        <f>SUM(AA77,AC77,AE77,AG77)</f>
        <v>30911.792939950545</v>
      </c>
      <c r="AJ77" s="153">
        <f>SUM(AA77,AC77)</f>
        <v>15154.212418377916</v>
      </c>
      <c r="AK77" s="160">
        <f>SUM(AE77,AG77)</f>
        <v>15757.580521572629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-5717.2783089432178</v>
      </c>
      <c r="AB79" s="112"/>
      <c r="AC79" s="112">
        <f>AA79-AA74+AC65-AC70</f>
        <v>-5717.2783089432178</v>
      </c>
      <c r="AD79" s="112"/>
      <c r="AE79" s="112">
        <f>AC79-AC74+AE65-AE70</f>
        <v>-5717.2783089432178</v>
      </c>
      <c r="AF79" s="112"/>
      <c r="AG79" s="112">
        <f>AE79-AE74+AG65-AG70</f>
        <v>-5717.2783089432178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2.1872082672931052E-2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3.018347408864485E-3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0.33636363636363642</v>
      </c>
      <c r="I103" s="22">
        <f t="shared" si="54"/>
        <v>3.9018233196889511E-2</v>
      </c>
      <c r="J103" s="24">
        <f>IF(I$32&lt;=1+I131,I103,L103+J$33*(I103-L103))</f>
        <v>3.9018233196889511E-2</v>
      </c>
      <c r="K103" s="22">
        <f t="shared" si="56"/>
        <v>0.11600015274750934</v>
      </c>
      <c r="L103" s="22">
        <f t="shared" si="57"/>
        <v>3.9018233196889511E-2</v>
      </c>
      <c r="M103" s="227">
        <f t="shared" si="49"/>
        <v>3.9018233196889511E-2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0.33636363636363642</v>
      </c>
      <c r="I104" s="22">
        <f t="shared" si="54"/>
        <v>6.2429173115023218E-2</v>
      </c>
      <c r="J104" s="24">
        <f>IF(I$32&lt;=1+I131,I104,L104+J$33*(I104-L104))</f>
        <v>6.2429173115023218E-2</v>
      </c>
      <c r="K104" s="22">
        <f t="shared" si="56"/>
        <v>0.18560024439601494</v>
      </c>
      <c r="L104" s="22">
        <f t="shared" si="57"/>
        <v>6.2429173115023218E-2</v>
      </c>
      <c r="M104" s="227">
        <f t="shared" si="49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0.33636363636363642</v>
      </c>
      <c r="I105" s="22">
        <f t="shared" si="54"/>
        <v>0.20809724371674404</v>
      </c>
      <c r="J105" s="24">
        <f>IF(I$32&lt;=1+I131,I105,L105+J$33*(I105-L105))</f>
        <v>0.20809724371674404</v>
      </c>
      <c r="K105" s="22">
        <f t="shared" si="56"/>
        <v>0.61866748132004978</v>
      </c>
      <c r="L105" s="22">
        <f t="shared" si="57"/>
        <v>0.20809724371674404</v>
      </c>
      <c r="M105" s="227">
        <f t="shared" si="49"/>
        <v>0.20809724371674404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0.28606060606060607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0.7151515151515152</v>
      </c>
      <c r="I110" s="22">
        <f t="shared" si="61"/>
        <v>1.8637826562252353</v>
      </c>
      <c r="J110" s="24">
        <f t="shared" si="62"/>
        <v>1.8637826562252353</v>
      </c>
      <c r="K110" s="22">
        <f t="shared" si="63"/>
        <v>2.6061367650607101</v>
      </c>
      <c r="L110" s="22">
        <f t="shared" si="64"/>
        <v>1.8637826562252353</v>
      </c>
      <c r="M110" s="227">
        <f t="shared" si="65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2.3738083783255979</v>
      </c>
      <c r="J119" s="24">
        <f>SUM(J91:J118)</f>
        <v>2.3738083783255979</v>
      </c>
      <c r="K119" s="22">
        <f>SUM(K91:K118)</f>
        <v>3.8457917307557601</v>
      </c>
      <c r="L119" s="22">
        <f>SUM(L91:L118)</f>
        <v>2.3217325117729684</v>
      </c>
      <c r="M119" s="57">
        <f t="shared" si="49"/>
        <v>2.3738083783255979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66"/>
        <v>2.2964369197769554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7.7371458548642469E-2</v>
      </c>
      <c r="J125" s="236">
        <f>IF(SUMPRODUCT($B$124:$B125,$H$124:$H125)&lt;J$119,($B125*$H125),IF(SUMPRODUCT($B$124:$B124,$H$124:$H124)&lt;J$119,J$119-SUMPRODUCT($B$124:$B124,$H$124:$H124),0))</f>
        <v>7.7371458548642469E-2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2.5295591996012945E-2</v>
      </c>
      <c r="M125" s="239">
        <f t="shared" si="66"/>
        <v>7.7371458548642469E-2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7.7371458548642469E-2</v>
      </c>
      <c r="J128" s="227">
        <f>(J30)</f>
        <v>7.7371458548642469E-2</v>
      </c>
      <c r="K128" s="29">
        <f>(B128)</f>
        <v>0.56623471980074724</v>
      </c>
      <c r="L128" s="29">
        <f>IF(L124=L119,0,(L119-L124)/(B119-B124)*K128)</f>
        <v>1.257222351664887E-2</v>
      </c>
      <c r="M128" s="239">
        <f t="shared" si="66"/>
        <v>7.7371458548642469E-2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2.3738083783255979</v>
      </c>
      <c r="J130" s="227">
        <f>(J119)</f>
        <v>2.3738083783255979</v>
      </c>
      <c r="K130" s="29">
        <f>(B130)</f>
        <v>3.8457917307557601</v>
      </c>
      <c r="L130" s="29">
        <f>(L119)</f>
        <v>2.3217325117729684</v>
      </c>
      <c r="M130" s="239">
        <f t="shared" si="66"/>
        <v>2.3738083783255979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1.5834471310785312</v>
      </c>
      <c r="J131" s="236">
        <f>IF(SUMPRODUCT($B124:$B125,$H124:$H125)&gt;(J119-J128),SUMPRODUCT($B124:$B125,$H124:$H125)+J128-J119,0)</f>
        <v>1.5834471310785312</v>
      </c>
      <c r="K131" s="29"/>
      <c r="L131" s="29">
        <f>IF(I131&lt;SUM(L126:L127),0,I131-(SUM(L126:L127)))</f>
        <v>1.5834471310785312</v>
      </c>
      <c r="M131" s="236">
        <f>IF(I131&lt;SUM(M126:M127),0,I131-(SUM(M126:M127)))</f>
        <v>1.5834471310785312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2.8155317559153173E-3</v>
      </c>
      <c r="J6" s="24">
        <f t="shared" ref="J6:J13" si="3">IF(I$32&lt;=1+I$131,I6,B6*H6+J$33*(I6-B6*H6))</f>
        <v>2.8155317559153173E-3</v>
      </c>
      <c r="K6" s="22">
        <f t="shared" ref="K6:K31" si="4">B6</f>
        <v>1.4077658779576585E-2</v>
      </c>
      <c r="L6" s="22">
        <f t="shared" ref="L6:L29" si="5">IF(K6="","",K6*H6)</f>
        <v>2.8155317559153173E-3</v>
      </c>
      <c r="M6" s="223">
        <f t="shared" ref="M6:M31" si="6">J6</f>
        <v>2.8155317559153173E-3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1.1262127023661269E-2</v>
      </c>
      <c r="Z6" s="116">
        <v>0.17</v>
      </c>
      <c r="AA6" s="121">
        <f>$M6*Z6*4</f>
        <v>1.9145615940224158E-3</v>
      </c>
      <c r="AB6" s="116">
        <v>0.17</v>
      </c>
      <c r="AC6" s="121">
        <f t="shared" ref="AC6:AC29" si="7">$M6*AB6*4</f>
        <v>1.9145615940224158E-3</v>
      </c>
      <c r="AD6" s="116">
        <v>0.33</v>
      </c>
      <c r="AE6" s="121">
        <f t="shared" ref="AE6:AE29" si="8">$M6*AD6*4</f>
        <v>3.7165019178082193E-3</v>
      </c>
      <c r="AF6" s="122">
        <f>1-SUM(Z6,AB6,AD6)</f>
        <v>0.32999999999999996</v>
      </c>
      <c r="AG6" s="121">
        <f>$M6*AF6*4</f>
        <v>3.7165019178082184E-3</v>
      </c>
      <c r="AH6" s="123">
        <f>SUM(Z6,AB6,AD6,AF6)</f>
        <v>1</v>
      </c>
      <c r="AI6" s="183">
        <f>SUM(AA6,AC6,AE6,AG6)/4</f>
        <v>2.8155317559153173E-3</v>
      </c>
      <c r="AJ6" s="120">
        <f>(AA6+AC6)/2</f>
        <v>1.9145615940224158E-3</v>
      </c>
      <c r="AK6" s="119">
        <f>(AE6+AG6)/2</f>
        <v>3.7165019178082188E-3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1.8770211706102117E-3</v>
      </c>
      <c r="J7" s="24">
        <f t="shared" si="3"/>
        <v>1.8770211706102117E-3</v>
      </c>
      <c r="K7" s="22">
        <f t="shared" si="4"/>
        <v>9.3851058530510581E-3</v>
      </c>
      <c r="L7" s="22">
        <f t="shared" si="5"/>
        <v>1.8770211706102117E-3</v>
      </c>
      <c r="M7" s="223">
        <f t="shared" si="6"/>
        <v>1.8770211706102117E-3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1884.0661865181005</v>
      </c>
      <c r="T7" s="221">
        <f>IF($B$81=0,0,(SUMIF($N$6:$N$28,$U7,M$6:M$28)+SUMIF($N$91:$N$118,$U7,M$91:M$118))*$I$83*Poor!$B$81/$B$81)</f>
        <v>2251.3987882272959</v>
      </c>
      <c r="U7" s="222">
        <v>1</v>
      </c>
      <c r="V7" s="56"/>
      <c r="W7" s="115"/>
      <c r="X7" s="124">
        <v>4</v>
      </c>
      <c r="Y7" s="183">
        <f t="shared" ref="Y7:Y29" si="9">M7*4</f>
        <v>7.5080846824408468E-3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7.5080846824408468E-3</v>
      </c>
      <c r="AH7" s="123">
        <f t="shared" ref="AH7:AH30" si="12">SUM(Z7,AB7,AD7,AF7)</f>
        <v>1</v>
      </c>
      <c r="AI7" s="183">
        <f t="shared" ref="AI7:AI30" si="13">SUM(AA7,AC7,AE7,AG7)/4</f>
        <v>1.8770211706102117E-3</v>
      </c>
      <c r="AJ7" s="120">
        <f t="shared" ref="AJ7:AJ31" si="14">(AA7+AC7)/2</f>
        <v>0</v>
      </c>
      <c r="AK7" s="119">
        <f t="shared" ref="AK7:AK31" si="15">(AE7+AG7)/2</f>
        <v>3.7540423412204234E-3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1164.7999999999997</v>
      </c>
      <c r="T8" s="221">
        <f>IF($B$81=0,0,(SUMIF($N$6:$N$28,$U8,M$6:M$28)+SUMIF($N$91:$N$118,$U8,M$91:M$118))*$I$83*Poor!$B$81/$B$81)</f>
        <v>759.00978070074382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3">
        <f t="shared" si="6"/>
        <v>8.3333333333333332E-3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60.072688964972336</v>
      </c>
      <c r="T9" s="221">
        <f>IF($B$81=0,0,(SUMIF($N$6:$N$28,$U9,M$6:M$28)+SUMIF($N$91:$N$118,$U9,M$91:M$118))*$I$83*Poor!$B$81/$B$81)</f>
        <v>60.072688964972336</v>
      </c>
      <c r="U9" s="222">
        <v>3</v>
      </c>
      <c r="V9" s="56"/>
      <c r="W9" s="115"/>
      <c r="X9" s="124">
        <v>1</v>
      </c>
      <c r="Y9" s="183">
        <f t="shared" si="9"/>
        <v>3.3333333333333333E-2</v>
      </c>
      <c r="Z9" s="125">
        <f>IF($Y9=0,0,AA9/$Y9)</f>
        <v>0.4713302429079318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1.5711008096931059E-2</v>
      </c>
      <c r="AB9" s="125">
        <f>IF($Y9=0,0,AC9/$Y9)</f>
        <v>0.50552520638247289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1.6850840212749095E-2</v>
      </c>
      <c r="AD9" s="125">
        <f>IF($Y9=0,0,AE9/$Y9)</f>
        <v>2.3144550709595368E-2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7.7148502365317895E-4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1.6280924154840077E-2</v>
      </c>
      <c r="AK9" s="119">
        <f t="shared" si="15"/>
        <v>3.8574251182658947E-4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0.3</v>
      </c>
      <c r="H10" s="24">
        <f t="shared" si="1"/>
        <v>0.3</v>
      </c>
      <c r="I10" s="22">
        <f t="shared" si="2"/>
        <v>8.7831392979452041E-2</v>
      </c>
      <c r="J10" s="24">
        <f t="shared" si="3"/>
        <v>7.8581630752238313E-2</v>
      </c>
      <c r="K10" s="22">
        <f t="shared" si="4"/>
        <v>0.24545473458904107</v>
      </c>
      <c r="L10" s="22">
        <f t="shared" si="5"/>
        <v>7.3636420376712322E-2</v>
      </c>
      <c r="M10" s="223">
        <f t="shared" si="6"/>
        <v>7.8581630752238313E-2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0.31432652300895325</v>
      </c>
      <c r="Z10" s="125">
        <f>IF($Y10=0,0,AA10/$Y10)</f>
        <v>0.47133024290793174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0.14815159644221554</v>
      </c>
      <c r="AB10" s="125">
        <f>IF($Y10=0,0,AC10/$Y10)</f>
        <v>0.505525206382473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0.15889998041558623</v>
      </c>
      <c r="AD10" s="125">
        <f>IF($Y10=0,0,AE10/$Y10)</f>
        <v>2.3144550709595275E-2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7.2749461511514846E-3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7.8581630752238313E-2</v>
      </c>
      <c r="AJ10" s="120">
        <f t="shared" si="14"/>
        <v>0.15352578842890088</v>
      </c>
      <c r="AK10" s="119">
        <f t="shared" si="15"/>
        <v>3.6374730755757423E-3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6.6319223125826665E-2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6.6319223125826665E-2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1179.9999999999998</v>
      </c>
      <c r="T11" s="221">
        <f>IF($B$81=0,0,(SUMIF($N$6:$N$28,$U11,M$6:M$28)+SUMIF($N$91:$N$118,$U11,M$91:M$118))*$I$83*Poor!$B$81/$B$81)</f>
        <v>1179.9999999999998</v>
      </c>
      <c r="U11" s="222">
        <v>5</v>
      </c>
      <c r="V11" s="56"/>
      <c r="W11" s="115"/>
      <c r="X11" s="124">
        <v>1</v>
      </c>
      <c r="Y11" s="183">
        <f t="shared" si="9"/>
        <v>0.26527689250330666</v>
      </c>
      <c r="Z11" s="125">
        <f>IF($Y11=0,0,AA11/$Y11)</f>
        <v>0.47133024290793174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0.12503302218144483</v>
      </c>
      <c r="AB11" s="125">
        <f>IF($Y11=0,0,AC11/$Y11)</f>
        <v>0.505525206382473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0.13410415583123519</v>
      </c>
      <c r="AD11" s="125">
        <f>IF($Y11=0,0,AE11/$Y11)</f>
        <v>2.3144550709595296E-2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6.139714490626641E-3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6.6319223125826665E-2</v>
      </c>
      <c r="AJ11" s="120">
        <f t="shared" si="14"/>
        <v>0.12956858900634</v>
      </c>
      <c r="AK11" s="119">
        <f t="shared" si="15"/>
        <v>3.0698572453133205E-3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0.2</v>
      </c>
      <c r="H12" s="24">
        <f t="shared" si="1"/>
        <v>0.2</v>
      </c>
      <c r="I12" s="22">
        <f t="shared" si="2"/>
        <v>4.4318555417185551E-4</v>
      </c>
      <c r="J12" s="24">
        <f t="shared" si="3"/>
        <v>4.4318555417185551E-4</v>
      </c>
      <c r="K12" s="22">
        <f t="shared" si="4"/>
        <v>2.2159277708592774E-3</v>
      </c>
      <c r="L12" s="22">
        <f t="shared" si="5"/>
        <v>4.4318555417185551E-4</v>
      </c>
      <c r="M12" s="223">
        <f t="shared" si="6"/>
        <v>4.4318555417185551E-4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3656.8713708290411</v>
      </c>
      <c r="U12" s="222">
        <v>6</v>
      </c>
      <c r="V12" s="56"/>
      <c r="W12" s="117"/>
      <c r="X12" s="118"/>
      <c r="Y12" s="183">
        <f t="shared" si="9"/>
        <v>1.772742216687422E-3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1.1877372851805729E-3</v>
      </c>
      <c r="AF12" s="122">
        <f>1-SUM(Z12,AB12,AD12)</f>
        <v>0.32999999999999996</v>
      </c>
      <c r="AG12" s="121">
        <f>$M12*AF12*4</f>
        <v>5.8500493150684917E-4</v>
      </c>
      <c r="AH12" s="123">
        <f t="shared" si="12"/>
        <v>1</v>
      </c>
      <c r="AI12" s="183">
        <f t="shared" si="13"/>
        <v>4.4318555417185551E-4</v>
      </c>
      <c r="AJ12" s="120">
        <f t="shared" si="14"/>
        <v>0</v>
      </c>
      <c r="AK12" s="119">
        <f t="shared" si="15"/>
        <v>8.8637110834371101E-4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0.2</v>
      </c>
      <c r="H13" s="24">
        <f t="shared" si="1"/>
        <v>0.2</v>
      </c>
      <c r="I13" s="22">
        <f t="shared" si="2"/>
        <v>1.4361167185554175E-3</v>
      </c>
      <c r="J13" s="24">
        <f t="shared" si="3"/>
        <v>1.4361167185554175E-3</v>
      </c>
      <c r="K13" s="22">
        <f t="shared" si="4"/>
        <v>7.1805835927770869E-3</v>
      </c>
      <c r="L13" s="22">
        <f t="shared" si="5"/>
        <v>1.4361167185554175E-3</v>
      </c>
      <c r="M13" s="224">
        <f t="shared" si="6"/>
        <v>1.4361167185554175E-3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8328.2621740848044</v>
      </c>
      <c r="T13" s="221">
        <f>IF($B$81=0,0,(SUMIF($N$6:$N$28,$U13,M$6:M$28)+SUMIF($N$91:$N$118,$U13,M$91:M$118))*$I$83*Poor!$B$81/$B$81)</f>
        <v>8328.2621740848044</v>
      </c>
      <c r="U13" s="222">
        <v>7</v>
      </c>
      <c r="V13" s="56"/>
      <c r="W13" s="110"/>
      <c r="X13" s="118"/>
      <c r="Y13" s="183">
        <f t="shared" si="9"/>
        <v>5.74446687422167E-3</v>
      </c>
      <c r="Z13" s="116">
        <v>1</v>
      </c>
      <c r="AA13" s="121">
        <f>$M13*Z13*4</f>
        <v>5.74446687422167E-3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1.4361167185554175E-3</v>
      </c>
      <c r="AJ13" s="120">
        <f t="shared" si="14"/>
        <v>2.872233437110835E-3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6796.7999999999993</v>
      </c>
      <c r="T14" s="221">
        <f>IF($B$81=0,0,(SUMIF($N$6:$N$28,$U14,M$6:M$28)+SUMIF($N$91:$N$118,$U14,M$91:M$118))*$I$83*Poor!$B$81/$B$81)</f>
        <v>6796.7999999999993</v>
      </c>
      <c r="U14" s="222">
        <v>8</v>
      </c>
      <c r="V14" s="56"/>
      <c r="W14" s="110"/>
      <c r="X14" s="118"/>
      <c r="Y14" s="183">
        <f>M14*4</f>
        <v>8.934433374844333E-3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8.934433374844333E-3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0.2</v>
      </c>
      <c r="F15" s="22"/>
      <c r="H15" s="24">
        <f t="shared" si="1"/>
        <v>0.2</v>
      </c>
      <c r="I15" s="22">
        <f t="shared" si="2"/>
        <v>1.3373775840597757E-2</v>
      </c>
      <c r="J15" s="24">
        <f>IF(I$32&lt;=1+I131,I15,B15*H15+J$33*(I15-B15*H15))</f>
        <v>7.3219341630130193E-3</v>
      </c>
      <c r="K15" s="22">
        <f t="shared" si="4"/>
        <v>2.0432157534246573E-2</v>
      </c>
      <c r="L15" s="22">
        <f t="shared" si="5"/>
        <v>4.0864315068493149E-3</v>
      </c>
      <c r="M15" s="225">
        <f t="shared" si="6"/>
        <v>7.3219341630130193E-3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2.9287736652052077E-2</v>
      </c>
      <c r="Z15" s="116">
        <v>0.25</v>
      </c>
      <c r="AA15" s="121">
        <f t="shared" si="16"/>
        <v>7.3219341630130193E-3</v>
      </c>
      <c r="AB15" s="116">
        <v>0.25</v>
      </c>
      <c r="AC15" s="121">
        <f t="shared" si="7"/>
        <v>7.3219341630130193E-3</v>
      </c>
      <c r="AD15" s="116">
        <v>0.25</v>
      </c>
      <c r="AE15" s="121">
        <f t="shared" si="8"/>
        <v>7.3219341630130193E-3</v>
      </c>
      <c r="AF15" s="122">
        <f t="shared" si="10"/>
        <v>0.25</v>
      </c>
      <c r="AG15" s="121">
        <f t="shared" si="11"/>
        <v>7.3219341630130193E-3</v>
      </c>
      <c r="AH15" s="123">
        <f t="shared" si="12"/>
        <v>1</v>
      </c>
      <c r="AI15" s="183">
        <f t="shared" si="13"/>
        <v>7.3219341630130193E-3</v>
      </c>
      <c r="AJ15" s="120">
        <f t="shared" si="14"/>
        <v>7.3219341630130193E-3</v>
      </c>
      <c r="AK15" s="119">
        <f t="shared" si="15"/>
        <v>7.3219341630130193E-3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0.2</v>
      </c>
      <c r="F16" s="22"/>
      <c r="H16" s="24">
        <f t="shared" si="1"/>
        <v>0.2</v>
      </c>
      <c r="I16" s="22">
        <f t="shared" si="2"/>
        <v>1.1266344956413449E-2</v>
      </c>
      <c r="J16" s="24">
        <f>IF(I$32&lt;=1+I131,I16,B16*H16+J$33*(I16-B16*H16))</f>
        <v>6.861503259298251E-3</v>
      </c>
      <c r="K16" s="22">
        <f t="shared" si="4"/>
        <v>2.2532689912826899E-2</v>
      </c>
      <c r="L16" s="22">
        <f t="shared" si="5"/>
        <v>4.5065379825653803E-3</v>
      </c>
      <c r="M16" s="223">
        <f t="shared" si="6"/>
        <v>6.861503259298251E-3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5493.8534626237943</v>
      </c>
      <c r="U16" s="222">
        <v>10</v>
      </c>
      <c r="V16" s="56"/>
      <c r="W16" s="110"/>
      <c r="X16" s="118"/>
      <c r="Y16" s="183">
        <f t="shared" si="9"/>
        <v>2.7446013037193004E-2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2.7446013037193004E-2</v>
      </c>
      <c r="AH16" s="123">
        <f t="shared" si="12"/>
        <v>1</v>
      </c>
      <c r="AI16" s="183">
        <f t="shared" si="13"/>
        <v>6.861503259298251E-3</v>
      </c>
      <c r="AJ16" s="120">
        <f t="shared" si="14"/>
        <v>0</v>
      </c>
      <c r="AK16" s="119">
        <f t="shared" si="15"/>
        <v>1.3723006518596502E-2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4.3365376992957191E-3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4.3365376992957191E-3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1.7346150797182876E-2</v>
      </c>
      <c r="Z17" s="116">
        <v>0.29409999999999997</v>
      </c>
      <c r="AA17" s="121">
        <f t="shared" si="16"/>
        <v>5.1015029494514835E-3</v>
      </c>
      <c r="AB17" s="116">
        <v>0.17649999999999999</v>
      </c>
      <c r="AC17" s="121">
        <f t="shared" si="7"/>
        <v>3.0615956157027777E-3</v>
      </c>
      <c r="AD17" s="116">
        <v>0.23530000000000001</v>
      </c>
      <c r="AE17" s="121">
        <f t="shared" si="8"/>
        <v>4.0815492825771313E-3</v>
      </c>
      <c r="AF17" s="122">
        <f t="shared" si="10"/>
        <v>0.29410000000000003</v>
      </c>
      <c r="AG17" s="121">
        <f t="shared" si="11"/>
        <v>5.1015029494514844E-3</v>
      </c>
      <c r="AH17" s="123">
        <f t="shared" si="12"/>
        <v>1</v>
      </c>
      <c r="AI17" s="183">
        <f t="shared" si="13"/>
        <v>4.3365376992957191E-3</v>
      </c>
      <c r="AJ17" s="120">
        <f t="shared" si="14"/>
        <v>4.0815492825771304E-3</v>
      </c>
      <c r="AK17" s="119">
        <f t="shared" si="15"/>
        <v>4.5915261160143078E-3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0.5</v>
      </c>
      <c r="F19" s="22"/>
      <c r="H19" s="24">
        <f t="shared" si="19"/>
        <v>0.5</v>
      </c>
      <c r="I19" s="22">
        <f t="shared" si="20"/>
        <v>3.9923360445205475E-2</v>
      </c>
      <c r="J19" s="24">
        <f t="shared" si="17"/>
        <v>3.9923360445205475E-2</v>
      </c>
      <c r="K19" s="22">
        <f t="shared" si="21"/>
        <v>7.9846720890410949E-2</v>
      </c>
      <c r="L19" s="22">
        <f t="shared" si="22"/>
        <v>3.9923360445205475E-2</v>
      </c>
      <c r="M19" s="224">
        <f t="shared" si="23"/>
        <v>3.9923360445205475E-2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0.1596934417808219</v>
      </c>
      <c r="Z19" s="116">
        <v>2.2940999999999998</v>
      </c>
      <c r="AA19" s="121">
        <f t="shared" si="25"/>
        <v>0.36635272478938347</v>
      </c>
      <c r="AB19" s="116">
        <v>2.1764999999999999</v>
      </c>
      <c r="AC19" s="121">
        <f t="shared" si="26"/>
        <v>0.34757277603595882</v>
      </c>
      <c r="AD19" s="116">
        <v>2.2353000000000001</v>
      </c>
      <c r="AE19" s="121">
        <f t="shared" si="27"/>
        <v>0.35696275041267123</v>
      </c>
      <c r="AF19" s="122">
        <f t="shared" si="28"/>
        <v>-5.7058999999999997</v>
      </c>
      <c r="AG19" s="121">
        <f t="shared" si="29"/>
        <v>-0.91119480945719167</v>
      </c>
      <c r="AH19" s="123">
        <f t="shared" si="30"/>
        <v>1</v>
      </c>
      <c r="AI19" s="183">
        <f t="shared" si="31"/>
        <v>3.9923360445205475E-2</v>
      </c>
      <c r="AJ19" s="120">
        <f t="shared" si="32"/>
        <v>0.35696275041267111</v>
      </c>
      <c r="AK19" s="119">
        <f t="shared" si="33"/>
        <v>-0.27711602952226022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58436.358670957998</v>
      </c>
      <c r="T23" s="179">
        <f>SUM(T7:T22)</f>
        <v>59663.225886820772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1.5710665957483341E-2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1.5710665957483341E-2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6.2842663829933365E-2</v>
      </c>
      <c r="Z27" s="116">
        <v>0.25</v>
      </c>
      <c r="AA27" s="121">
        <f t="shared" si="16"/>
        <v>1.5710665957483341E-2</v>
      </c>
      <c r="AB27" s="116">
        <v>0.25</v>
      </c>
      <c r="AC27" s="121">
        <f t="shared" si="7"/>
        <v>1.5710665957483341E-2</v>
      </c>
      <c r="AD27" s="116">
        <v>0.25</v>
      </c>
      <c r="AE27" s="121">
        <f t="shared" si="8"/>
        <v>1.5710665957483341E-2</v>
      </c>
      <c r="AF27" s="122">
        <f t="shared" si="10"/>
        <v>0.25</v>
      </c>
      <c r="AG27" s="121">
        <f t="shared" si="11"/>
        <v>1.5710665957483341E-2</v>
      </c>
      <c r="AH27" s="123">
        <f t="shared" si="12"/>
        <v>1</v>
      </c>
      <c r="AI27" s="183">
        <f t="shared" si="13"/>
        <v>1.5710665957483341E-2</v>
      </c>
      <c r="AJ27" s="120">
        <f t="shared" si="14"/>
        <v>1.5710665957483341E-2</v>
      </c>
      <c r="AK27" s="119">
        <f t="shared" si="15"/>
        <v>1.5710665957483341E-2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0.14129206552228923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0.14129206552228923</v>
      </c>
      <c r="N29" s="228"/>
      <c r="P29" s="22"/>
      <c r="V29" s="56"/>
      <c r="W29" s="110"/>
      <c r="X29" s="118"/>
      <c r="Y29" s="183">
        <f t="shared" si="9"/>
        <v>0.56516826208915694</v>
      </c>
      <c r="Z29" s="116">
        <v>0.25</v>
      </c>
      <c r="AA29" s="121">
        <f t="shared" si="16"/>
        <v>0.14129206552228923</v>
      </c>
      <c r="AB29" s="116">
        <v>0.25</v>
      </c>
      <c r="AC29" s="121">
        <f t="shared" si="7"/>
        <v>0.14129206552228923</v>
      </c>
      <c r="AD29" s="116">
        <v>0.25</v>
      </c>
      <c r="AE29" s="121">
        <f t="shared" si="8"/>
        <v>0.14129206552228923</v>
      </c>
      <c r="AF29" s="122">
        <f t="shared" si="10"/>
        <v>0.25</v>
      </c>
      <c r="AG29" s="121">
        <f t="shared" si="11"/>
        <v>0.14129206552228923</v>
      </c>
      <c r="AH29" s="123">
        <f t="shared" si="12"/>
        <v>1</v>
      </c>
      <c r="AI29" s="183">
        <f t="shared" si="13"/>
        <v>0.14129206552228923</v>
      </c>
      <c r="AJ29" s="120">
        <f t="shared" si="14"/>
        <v>0.14129206552228923</v>
      </c>
      <c r="AK29" s="119">
        <f t="shared" si="15"/>
        <v>0.14129206552228923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2.1877513014427437</v>
      </c>
      <c r="J30" s="230">
        <f>IF(I$32&lt;=1,I30,1-SUM(J6:J29))</f>
        <v>0.54103158629678161</v>
      </c>
      <c r="K30" s="22">
        <f t="shared" si="4"/>
        <v>0.59392078206724785</v>
      </c>
      <c r="L30" s="22">
        <f>IF(L124=L119,0,IF(K30="",0,(L119-L124)/(B119-B124)*K30))</f>
        <v>0.19605097554818326</v>
      </c>
      <c r="M30" s="175">
        <f t="shared" si="6"/>
        <v>0.54103158629678161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2.1641263451871264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0.13379021473682973</v>
      </c>
      <c r="AE30" s="187">
        <f>IF(AE79*4/$I$83+SUM(AE6:AE29)&lt;1,AE79*4/$I$83,1-SUM(AE6:AE29))</f>
        <v>0.28953892844021611</v>
      </c>
      <c r="AF30" s="122">
        <f>IF($Y30=0,0,AG30/($Y$30))</f>
        <v>0.86620978526317005</v>
      </c>
      <c r="AG30" s="187">
        <f>IF(AG79*4/$I$83+SUM(AG6:AG29)&lt;1,AG79*4/$I$83,1-SUM(AG6:AG29))</f>
        <v>1.8745874167469099</v>
      </c>
      <c r="AH30" s="123">
        <f t="shared" si="12"/>
        <v>0.99999999999999978</v>
      </c>
      <c r="AI30" s="183">
        <f t="shared" si="13"/>
        <v>0.5410315862967815</v>
      </c>
      <c r="AJ30" s="120">
        <f t="shared" si="14"/>
        <v>0</v>
      </c>
      <c r="AK30" s="119">
        <f t="shared" si="15"/>
        <v>1.082063172593563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0.4098339042215049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1158.7542877614687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1.1102230246251565E-16</v>
      </c>
      <c r="AH31" s="123"/>
      <c r="AI31" s="182">
        <f>SUM(AA31,AC31,AE31,AG31)/4</f>
        <v>2.7755575615628914E-17</v>
      </c>
      <c r="AJ31" s="135">
        <f t="shared" si="14"/>
        <v>0</v>
      </c>
      <c r="AK31" s="136">
        <f t="shared" si="15"/>
        <v>5.5511151231257827E-17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2.7680244724207812</v>
      </c>
      <c r="J32" s="17"/>
      <c r="L32" s="22">
        <f>SUM(L6:L30)</f>
        <v>0.5901660957784951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33896.674287761474</v>
      </c>
      <c r="T32" s="233">
        <f t="shared" si="50"/>
        <v>32669.8070718987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0.99999999999999989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0.34837759211817998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797.7182857162918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1180</v>
      </c>
      <c r="J37" s="38">
        <f t="shared" ref="J37:J49" si="53">J91*I$83</f>
        <v>1179.9999999999998</v>
      </c>
      <c r="K37" s="40">
        <f t="shared" ref="K37:K49" si="54">(B37/B$65)</f>
        <v>2.9459419649432907E-2</v>
      </c>
      <c r="L37" s="22">
        <f t="shared" ref="L37:L49" si="55">(K37*H37)</f>
        <v>1.7381057593165414E-2</v>
      </c>
      <c r="M37" s="24">
        <f t="shared" ref="M37:M49" si="56">J37/B$65</f>
        <v>1.7381057593165411E-2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1179.9999999999998</v>
      </c>
      <c r="AH37" s="123">
        <f>SUM(Z37,AB37,AD37,AF37)</f>
        <v>1</v>
      </c>
      <c r="AI37" s="112">
        <f>SUM(AA37,AC37,AE37,AG37)</f>
        <v>1179.9999999999998</v>
      </c>
      <c r="AJ37" s="148">
        <f>(AA37+AC37)</f>
        <v>0</v>
      </c>
      <c r="AK37" s="147">
        <f>(AE37+AG37)</f>
        <v>1179.9999999999998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82.1044233931093</v>
      </c>
      <c r="K40" s="40">
        <f t="shared" si="54"/>
        <v>4.4189129474149361E-3</v>
      </c>
      <c r="L40" s="22">
        <f t="shared" si="55"/>
        <v>1.8559434379142731E-3</v>
      </c>
      <c r="M40" s="24">
        <f t="shared" si="56"/>
        <v>1.2093743319061614E-3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0.4713302429079318</v>
      </c>
      <c r="AA40" s="147">
        <f t="shared" si="64"/>
        <v>38.698297821689884</v>
      </c>
      <c r="AB40" s="122">
        <f>AB9</f>
        <v>0.50552520638247289</v>
      </c>
      <c r="AC40" s="147">
        <f t="shared" si="65"/>
        <v>41.505855580715512</v>
      </c>
      <c r="AD40" s="122">
        <f>AD9</f>
        <v>2.3144550709595368E-2</v>
      </c>
      <c r="AE40" s="147">
        <f t="shared" si="66"/>
        <v>1.9002699907039065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82.1044233931093</v>
      </c>
      <c r="AJ40" s="148">
        <f t="shared" si="62"/>
        <v>80.204153402405396</v>
      </c>
      <c r="AK40" s="147">
        <f t="shared" si="63"/>
        <v>1.9002699907039065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298.3127383282972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4.3940600725923878E-3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0.47133024290793174</v>
      </c>
      <c r="AA41" s="147">
        <f t="shared" si="64"/>
        <v>140.60381541880659</v>
      </c>
      <c r="AB41" s="122">
        <f>AB11</f>
        <v>0.505525206382473</v>
      </c>
      <c r="AC41" s="147">
        <f t="shared" si="65"/>
        <v>150.8046086099331</v>
      </c>
      <c r="AD41" s="122">
        <f>AD11</f>
        <v>2.3144550709595296E-2</v>
      </c>
      <c r="AE41" s="147">
        <f t="shared" si="66"/>
        <v>6.9043142995575071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298.31273832829714</v>
      </c>
      <c r="AJ41" s="148">
        <f t="shared" si="62"/>
        <v>291.40842402873966</v>
      </c>
      <c r="AK41" s="147">
        <f t="shared" si="63"/>
        <v>6.9043142995575071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182.45427420690959</v>
      </c>
      <c r="K43" s="40">
        <f t="shared" si="54"/>
        <v>1.4729709824716454E-2</v>
      </c>
      <c r="L43" s="22">
        <f t="shared" si="55"/>
        <v>4.124318750920607E-3</v>
      </c>
      <c r="M43" s="24">
        <f t="shared" si="56"/>
        <v>2.6874985153470259E-3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45.613568551727397</v>
      </c>
      <c r="AB43" s="116">
        <v>0.25</v>
      </c>
      <c r="AC43" s="147">
        <f t="shared" si="65"/>
        <v>45.613568551727397</v>
      </c>
      <c r="AD43" s="116">
        <v>0.25</v>
      </c>
      <c r="AE43" s="147">
        <f t="shared" si="66"/>
        <v>45.613568551727397</v>
      </c>
      <c r="AF43" s="122">
        <f t="shared" si="57"/>
        <v>0.25</v>
      </c>
      <c r="AG43" s="147">
        <f t="shared" si="60"/>
        <v>45.613568551727397</v>
      </c>
      <c r="AH43" s="123">
        <f t="shared" si="61"/>
        <v>1</v>
      </c>
      <c r="AI43" s="112">
        <f t="shared" si="61"/>
        <v>182.45427420690959</v>
      </c>
      <c r="AJ43" s="148">
        <f t="shared" si="62"/>
        <v>91.227137103454794</v>
      </c>
      <c r="AK43" s="147">
        <f t="shared" si="63"/>
        <v>91.227137103454794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164.2088467862186</v>
      </c>
      <c r="K44" s="40">
        <f t="shared" si="54"/>
        <v>1.3256738842244807E-2</v>
      </c>
      <c r="L44" s="22">
        <f t="shared" si="55"/>
        <v>3.7118868758285457E-3</v>
      </c>
      <c r="M44" s="24">
        <f t="shared" si="56"/>
        <v>2.4187486638123229E-3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41.05221169655465</v>
      </c>
      <c r="AB44" s="116">
        <v>0.25</v>
      </c>
      <c r="AC44" s="147">
        <f t="shared" si="65"/>
        <v>41.05221169655465</v>
      </c>
      <c r="AD44" s="116">
        <v>0.25</v>
      </c>
      <c r="AE44" s="147">
        <f t="shared" si="66"/>
        <v>41.05221169655465</v>
      </c>
      <c r="AF44" s="122">
        <f t="shared" si="57"/>
        <v>0.25</v>
      </c>
      <c r="AG44" s="147">
        <f t="shared" si="60"/>
        <v>41.05221169655465</v>
      </c>
      <c r="AH44" s="123">
        <f t="shared" si="61"/>
        <v>1</v>
      </c>
      <c r="AI44" s="112">
        <f t="shared" si="61"/>
        <v>164.2088467862186</v>
      </c>
      <c r="AJ44" s="148">
        <f t="shared" si="62"/>
        <v>82.1044233931093</v>
      </c>
      <c r="AK44" s="147">
        <f t="shared" si="63"/>
        <v>82.1044233931093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31.929497986209174</v>
      </c>
      <c r="K45" s="40">
        <f t="shared" si="54"/>
        <v>2.5776992193253792E-3</v>
      </c>
      <c r="L45" s="22">
        <f t="shared" si="55"/>
        <v>7.217557814111061E-4</v>
      </c>
      <c r="M45" s="24">
        <f t="shared" si="56"/>
        <v>4.7031224018572945E-4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7.9823744965522936</v>
      </c>
      <c r="AB45" s="116">
        <v>0.25</v>
      </c>
      <c r="AC45" s="147">
        <f t="shared" si="65"/>
        <v>7.9823744965522936</v>
      </c>
      <c r="AD45" s="116">
        <v>0.25</v>
      </c>
      <c r="AE45" s="147">
        <f t="shared" si="66"/>
        <v>7.9823744965522936</v>
      </c>
      <c r="AF45" s="122">
        <f t="shared" si="57"/>
        <v>0.25</v>
      </c>
      <c r="AG45" s="147">
        <f t="shared" si="60"/>
        <v>7.9823744965522936</v>
      </c>
      <c r="AH45" s="123">
        <f t="shared" si="61"/>
        <v>1</v>
      </c>
      <c r="AI45" s="112">
        <f t="shared" si="61"/>
        <v>31.929497986209174</v>
      </c>
      <c r="AJ45" s="148">
        <f t="shared" si="62"/>
        <v>15.964748993104587</v>
      </c>
      <c r="AK45" s="147">
        <f t="shared" si="63"/>
        <v>15.964748993104587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2271.478269980189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3.345821578995712E-2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567.86956749504725</v>
      </c>
      <c r="AB47" s="116">
        <v>0.25</v>
      </c>
      <c r="AC47" s="147">
        <f t="shared" si="65"/>
        <v>567.86956749504725</v>
      </c>
      <c r="AD47" s="116">
        <v>0.25</v>
      </c>
      <c r="AE47" s="147">
        <f t="shared" si="66"/>
        <v>567.86956749504725</v>
      </c>
      <c r="AF47" s="122">
        <f t="shared" si="57"/>
        <v>0.25</v>
      </c>
      <c r="AG47" s="147">
        <f t="shared" si="60"/>
        <v>567.86956749504725</v>
      </c>
      <c r="AH47" s="123">
        <f t="shared" si="61"/>
        <v>1</v>
      </c>
      <c r="AI47" s="112">
        <f t="shared" si="61"/>
        <v>2271.478269980189</v>
      </c>
      <c r="AJ47" s="148">
        <f t="shared" si="62"/>
        <v>1135.7391349900945</v>
      </c>
      <c r="AK47" s="147">
        <f t="shared" si="63"/>
        <v>1135.7391349900945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1385.3931008488521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2.0406438368667727E-2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346.34827521221303</v>
      </c>
      <c r="AB48" s="116">
        <v>0.25</v>
      </c>
      <c r="AC48" s="147">
        <f t="shared" si="65"/>
        <v>346.34827521221303</v>
      </c>
      <c r="AD48" s="116">
        <v>0.25</v>
      </c>
      <c r="AE48" s="147">
        <f t="shared" si="66"/>
        <v>346.34827521221303</v>
      </c>
      <c r="AF48" s="122">
        <f t="shared" si="57"/>
        <v>0.25</v>
      </c>
      <c r="AG48" s="147">
        <f t="shared" si="60"/>
        <v>346.34827521221303</v>
      </c>
      <c r="AH48" s="123">
        <f t="shared" si="61"/>
        <v>1</v>
      </c>
      <c r="AI48" s="112">
        <f t="shared" si="61"/>
        <v>1385.3931008488521</v>
      </c>
      <c r="AJ48" s="148">
        <f t="shared" si="62"/>
        <v>692.69655042442605</v>
      </c>
      <c r="AK48" s="147">
        <f t="shared" si="63"/>
        <v>692.69655042442605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1157.1750000000002</v>
      </c>
      <c r="J49" s="38">
        <f t="shared" si="53"/>
        <v>1157.175</v>
      </c>
      <c r="K49" s="40">
        <f t="shared" si="54"/>
        <v>3.0711444984533806E-2</v>
      </c>
      <c r="L49" s="22">
        <f t="shared" si="55"/>
        <v>1.7044851966416263E-2</v>
      </c>
      <c r="M49" s="24">
        <f t="shared" si="56"/>
        <v>1.7044851966416259E-2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289.29374999999999</v>
      </c>
      <c r="AB49" s="116">
        <v>0.25</v>
      </c>
      <c r="AC49" s="147">
        <f t="shared" si="65"/>
        <v>289.29374999999999</v>
      </c>
      <c r="AD49" s="116">
        <v>0.25</v>
      </c>
      <c r="AE49" s="147">
        <f t="shared" si="66"/>
        <v>289.29374999999999</v>
      </c>
      <c r="AF49" s="122">
        <f t="shared" si="57"/>
        <v>0.25</v>
      </c>
      <c r="AG49" s="147">
        <f t="shared" si="60"/>
        <v>289.29374999999999</v>
      </c>
      <c r="AH49" s="123">
        <f t="shared" si="61"/>
        <v>1</v>
      </c>
      <c r="AI49" s="112">
        <f t="shared" si="61"/>
        <v>1157.175</v>
      </c>
      <c r="AJ49" s="148">
        <f t="shared" si="62"/>
        <v>578.58749999999998</v>
      </c>
      <c r="AK49" s="147">
        <f t="shared" si="63"/>
        <v>578.58749999999998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799.2</v>
      </c>
      <c r="J50" s="38">
        <f t="shared" ref="J50:J64" si="70">J104*I$83</f>
        <v>799.2</v>
      </c>
      <c r="K50" s="40">
        <f t="shared" ref="K50:K64" si="71">(B50/B$65)</f>
        <v>2.1210782147591693E-2</v>
      </c>
      <c r="L50" s="22">
        <f t="shared" ref="L50:L64" si="72">(K50*H50)</f>
        <v>1.1771984091913391E-2</v>
      </c>
      <c r="M50" s="24">
        <f t="shared" ref="M50:M64" si="73">J50/B$65</f>
        <v>1.1771984091913389E-2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5860.8</v>
      </c>
      <c r="J51" s="38">
        <f t="shared" si="70"/>
        <v>5860.8</v>
      </c>
      <c r="K51" s="40">
        <f t="shared" si="71"/>
        <v>0.15554573574900574</v>
      </c>
      <c r="L51" s="22">
        <f t="shared" si="72"/>
        <v>8.6327883340698186E-2</v>
      </c>
      <c r="M51" s="24">
        <f t="shared" si="73"/>
        <v>8.6327883340698186E-2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0.4</v>
      </c>
      <c r="F52" s="26">
        <v>1.18</v>
      </c>
      <c r="G52" s="22">
        <f t="shared" si="59"/>
        <v>1.65</v>
      </c>
      <c r="H52" s="24">
        <f t="shared" si="68"/>
        <v>0.47199999999999998</v>
      </c>
      <c r="I52" s="39">
        <f t="shared" si="69"/>
        <v>6796.7999999999993</v>
      </c>
      <c r="J52" s="38">
        <f t="shared" si="70"/>
        <v>6796.7999999999993</v>
      </c>
      <c r="K52" s="40">
        <f t="shared" si="71"/>
        <v>0.21210782147591692</v>
      </c>
      <c r="L52" s="22">
        <f t="shared" si="72"/>
        <v>0.10011489173663278</v>
      </c>
      <c r="M52" s="24">
        <f t="shared" si="73"/>
        <v>0.10011489173663278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5493.8534626237943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8.0922867323962214E-2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23859.599999999999</v>
      </c>
      <c r="J56" s="38">
        <f t="shared" si="70"/>
        <v>23859.600000000002</v>
      </c>
      <c r="K56" s="40">
        <f t="shared" si="71"/>
        <v>0.29783473265576665</v>
      </c>
      <c r="L56" s="22">
        <f t="shared" si="72"/>
        <v>0.35144498453380463</v>
      </c>
      <c r="M56" s="24">
        <f t="shared" si="73"/>
        <v>0.35144498453380474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5964.9000000000005</v>
      </c>
      <c r="AB56" s="116">
        <v>0.25</v>
      </c>
      <c r="AC56" s="147">
        <f t="shared" si="65"/>
        <v>5964.9000000000005</v>
      </c>
      <c r="AD56" s="116">
        <v>0.25</v>
      </c>
      <c r="AE56" s="147">
        <f t="shared" si="66"/>
        <v>5964.9000000000005</v>
      </c>
      <c r="AF56" s="122">
        <f t="shared" si="57"/>
        <v>0.25</v>
      </c>
      <c r="AG56" s="147">
        <f t="shared" si="60"/>
        <v>5964.9000000000005</v>
      </c>
      <c r="AH56" s="123">
        <f t="shared" si="61"/>
        <v>1</v>
      </c>
      <c r="AI56" s="112">
        <f t="shared" si="61"/>
        <v>23859.600000000002</v>
      </c>
      <c r="AJ56" s="148">
        <f t="shared" si="62"/>
        <v>11929.800000000001</v>
      </c>
      <c r="AK56" s="147">
        <f t="shared" si="63"/>
        <v>11929.800000000001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57405.264999999999</v>
      </c>
      <c r="J65" s="39">
        <f>SUM(J37:J64)</f>
        <v>55797.549614153584</v>
      </c>
      <c r="K65" s="40">
        <f>SUM(K37:K64)</f>
        <v>1</v>
      </c>
      <c r="L65" s="22">
        <f>SUM(L37:L64)</f>
        <v>0.80922101929591983</v>
      </c>
      <c r="M65" s="24">
        <f>SUM(M37:M64)</f>
        <v>0.82188171474670169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9000.9218606925915</v>
      </c>
      <c r="AB65" s="137"/>
      <c r="AC65" s="153">
        <f>SUM(AC37:AC64)</f>
        <v>9013.9302116427425</v>
      </c>
      <c r="AD65" s="137"/>
      <c r="AE65" s="153">
        <f>SUM(AE37:AE64)</f>
        <v>8830.424331742357</v>
      </c>
      <c r="AF65" s="137"/>
      <c r="AG65" s="153">
        <f>SUM(AG37:AG64)</f>
        <v>10001.619747452094</v>
      </c>
      <c r="AH65" s="137"/>
      <c r="AI65" s="153">
        <f>SUM(AI37:AI64)</f>
        <v>36846.896151529785</v>
      </c>
      <c r="AJ65" s="153">
        <f>SUM(AJ37:AJ64)</f>
        <v>18014.852072335336</v>
      </c>
      <c r="AK65" s="153">
        <f>SUM(AK37:AK64)</f>
        <v>18832.044079194453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20270.826666666664</v>
      </c>
      <c r="J71" s="51">
        <f t="shared" si="75"/>
        <v>20270.826666666664</v>
      </c>
      <c r="K71" s="40">
        <f t="shared" ref="K71:K72" si="78">B71/B$76</f>
        <v>0.25303677517552908</v>
      </c>
      <c r="L71" s="22">
        <f t="shared" si="76"/>
        <v>0.29858339470712431</v>
      </c>
      <c r="M71" s="24">
        <f t="shared" ref="M71:M72" si="79">J71/B$76</f>
        <v>0.29858339470712425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0.40866106937693325</v>
      </c>
      <c r="L72" s="22">
        <f t="shared" si="76"/>
        <v>4.064056409604111E-2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28006.951764227135</v>
      </c>
      <c r="J74" s="51">
        <f t="shared" si="75"/>
        <v>6926.1279974303416</v>
      </c>
      <c r="K74" s="40">
        <f>B74/B$76</f>
        <v>6.7874502872293421E-2</v>
      </c>
      <c r="L74" s="22">
        <f t="shared" si="76"/>
        <v>3.6968437193699265E-2</v>
      </c>
      <c r="M74" s="24">
        <f>J74/B$76</f>
        <v>0.1020198556109934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926.64815207097377</v>
      </c>
      <c r="AF74" s="156"/>
      <c r="AG74" s="147">
        <f>AG30*$I$83/4</f>
        <v>5999.4798453593658</v>
      </c>
      <c r="AH74" s="155"/>
      <c r="AI74" s="147">
        <f>SUM(AA74,AC74,AE74,AG74)</f>
        <v>6926.1279974303397</v>
      </c>
      <c r="AJ74" s="148">
        <f>(AA74+AC74)</f>
        <v>0</v>
      </c>
      <c r="AK74" s="147">
        <f>(AE74+AG74)</f>
        <v>6926.1279974303397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1651.3435517493745</v>
      </c>
      <c r="AB75" s="158"/>
      <c r="AC75" s="149">
        <f>AA75+AC65-SUM(AC70,AC74)</f>
        <v>3315.6954544488999</v>
      </c>
      <c r="AD75" s="158"/>
      <c r="AE75" s="149">
        <f>AC75+AE65-SUM(AE70,AE74)</f>
        <v>3869.8933251770668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522.45491832657717</v>
      </c>
      <c r="AJ75" s="151">
        <f>AJ76-SUM(AJ70,AJ74)</f>
        <v>3315.6954544489017</v>
      </c>
      <c r="AK75" s="149">
        <f>AJ75+AK76-SUM(AK70,AK74)</f>
        <v>522.45491832657717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57405.265000000007</v>
      </c>
      <c r="J76" s="51">
        <f t="shared" si="75"/>
        <v>55797.549614153577</v>
      </c>
      <c r="K76" s="40">
        <f>SUM(K70:K75)</f>
        <v>1.0946304586106326</v>
      </c>
      <c r="L76" s="22">
        <f>SUM(L70:L75)</f>
        <v>0.80922101929592016</v>
      </c>
      <c r="M76" s="24">
        <f>SUM(M70:M75)</f>
        <v>0.83363187361717295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9000.9218606925915</v>
      </c>
      <c r="AB76" s="137"/>
      <c r="AC76" s="153">
        <f>AC65</f>
        <v>9013.9302116427425</v>
      </c>
      <c r="AD76" s="137"/>
      <c r="AE76" s="153">
        <f>AE65</f>
        <v>8830.424331742357</v>
      </c>
      <c r="AF76" s="137"/>
      <c r="AG76" s="153">
        <f>AG65</f>
        <v>10001.619747452094</v>
      </c>
      <c r="AH76" s="137"/>
      <c r="AI76" s="153">
        <f>SUM(AA76,AC76,AE76,AG76)</f>
        <v>36846.896151529785</v>
      </c>
      <c r="AJ76" s="154">
        <f>SUM(AA76,AC76)</f>
        <v>18014.852072335336</v>
      </c>
      <c r="AK76" s="154">
        <f>SUM(AE76,AG76)</f>
        <v>18832.044079194449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75"/>
        <v>797.7182857162918</v>
      </c>
      <c r="K77" s="40"/>
      <c r="L77" s="22">
        <f>-(L131*G$37*F$9/F$7)/B$130</f>
        <v>-0.25794283061108325</v>
      </c>
      <c r="M77" s="24">
        <f>-J77/B$76</f>
        <v>-1.175015887047123E-2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3.5531875444098421E-13</v>
      </c>
      <c r="AH77" s="110"/>
      <c r="AI77" s="154">
        <f>SUM(AA77,AC77,AE77,AG77)</f>
        <v>3.5531875444098421E-13</v>
      </c>
      <c r="AJ77" s="153">
        <f>SUM(AA77,AC77)</f>
        <v>0</v>
      </c>
      <c r="AK77" s="160">
        <f>SUM(AE77,AG77)</f>
        <v>3.5531875444098421E-13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1651.3435517493745</v>
      </c>
      <c r="AD78" s="112"/>
      <c r="AE78" s="112">
        <f>AC75</f>
        <v>3315.6954544488999</v>
      </c>
      <c r="AF78" s="112"/>
      <c r="AG78" s="112">
        <f>AE75</f>
        <v>3869.8933251770668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1651.3435517493745</v>
      </c>
      <c r="AB79" s="112"/>
      <c r="AC79" s="112">
        <f>AA79-AA74+AC65-AC70</f>
        <v>3315.6954544488999</v>
      </c>
      <c r="AD79" s="112"/>
      <c r="AE79" s="112">
        <f>AC79-AC74+AE65-AE70</f>
        <v>4796.5414772480399</v>
      </c>
      <c r="AF79" s="112"/>
      <c r="AG79" s="112">
        <f>AE79-AE74+AG65-AG70</f>
        <v>6521.9347636859438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0.3575757575757576</v>
      </c>
      <c r="I91" s="22">
        <f t="shared" ref="I91" si="82">(D91*H91)</f>
        <v>9.2175205550209444E-2</v>
      </c>
      <c r="J91" s="24">
        <f>IF(I$32&lt;=1+I$131,I91,L91+J$33*(I91-L91))</f>
        <v>9.2175205550209444E-2</v>
      </c>
      <c r="K91" s="22">
        <f t="shared" ref="K91" si="83">IF(B91="",0,B91)</f>
        <v>0.25777811721668742</v>
      </c>
      <c r="L91" s="22">
        <f t="shared" ref="L91" si="84">(K91*H91)</f>
        <v>9.2175205550209444E-2</v>
      </c>
      <c r="M91" s="226">
        <f t="shared" si="80"/>
        <v>9.2175205550209444E-2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6.413552629526505E-3</v>
      </c>
      <c r="K94" s="22">
        <f t="shared" si="90"/>
        <v>3.8666717582503111E-2</v>
      </c>
      <c r="L94" s="22">
        <f t="shared" si="91"/>
        <v>9.8424372028189742E-3</v>
      </c>
      <c r="M94" s="226">
        <f t="shared" si="92"/>
        <v>6.413552629526505E-3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2.3302574553946305E-2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2.3302574553946305E-2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1.4252339176725567E-2</v>
      </c>
      <c r="K97" s="22">
        <f t="shared" si="90"/>
        <v>0.12888905860834371</v>
      </c>
      <c r="L97" s="22">
        <f t="shared" si="91"/>
        <v>2.1872082672931052E-2</v>
      </c>
      <c r="M97" s="226">
        <f t="shared" si="92"/>
        <v>1.4252339176725567E-2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1.282710525905301E-2</v>
      </c>
      <c r="K98" s="22">
        <f t="shared" si="90"/>
        <v>0.11600015274750934</v>
      </c>
      <c r="L98" s="22">
        <f t="shared" si="91"/>
        <v>1.9684874405637948E-2</v>
      </c>
      <c r="M98" s="226">
        <f t="shared" si="92"/>
        <v>1.282710525905301E-2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2.4941593559269742E-3</v>
      </c>
      <c r="K99" s="22">
        <f t="shared" si="90"/>
        <v>2.2555585256460151E-2</v>
      </c>
      <c r="L99" s="22">
        <f t="shared" si="91"/>
        <v>3.8276144677629343E-3</v>
      </c>
      <c r="M99" s="226">
        <f t="shared" si="92"/>
        <v>2.4941593559269742E-3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0.17743557325276108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0.17743557325276108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0.10821940155812287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0.10821940155812287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0.33636363636363642</v>
      </c>
      <c r="I103" s="22">
        <f t="shared" si="88"/>
        <v>9.03922402394607E-2</v>
      </c>
      <c r="J103" s="24">
        <f t="shared" si="89"/>
        <v>9.03922402394607E-2</v>
      </c>
      <c r="K103" s="22">
        <f t="shared" si="90"/>
        <v>0.26873368719839663</v>
      </c>
      <c r="L103" s="22">
        <f t="shared" si="91"/>
        <v>9.03922402394607E-2</v>
      </c>
      <c r="M103" s="226">
        <f t="shared" si="92"/>
        <v>9.03922402394607E-2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0.33636363636363642</v>
      </c>
      <c r="I104" s="22">
        <f t="shared" si="88"/>
        <v>6.2429173115023218E-2</v>
      </c>
      <c r="J104" s="24">
        <f t="shared" si="89"/>
        <v>6.2429173115023218E-2</v>
      </c>
      <c r="K104" s="22">
        <f t="shared" si="90"/>
        <v>0.18560024439601494</v>
      </c>
      <c r="L104" s="22">
        <f t="shared" si="91"/>
        <v>6.2429173115023218E-2</v>
      </c>
      <c r="M104" s="226">
        <f t="shared" si="92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0.33636363636363642</v>
      </c>
      <c r="I105" s="22">
        <f t="shared" si="88"/>
        <v>0.45781393617683691</v>
      </c>
      <c r="J105" s="24">
        <f t="shared" si="89"/>
        <v>0.45781393617683691</v>
      </c>
      <c r="K105" s="22">
        <f t="shared" si="90"/>
        <v>1.3610684589041095</v>
      </c>
      <c r="L105" s="22">
        <f t="shared" si="91"/>
        <v>0.45781393617683691</v>
      </c>
      <c r="M105" s="226">
        <f t="shared" si="92"/>
        <v>0.45781393617683691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0.28606060606060607</v>
      </c>
      <c r="I106" s="22">
        <f t="shared" si="88"/>
        <v>0.53092918396920641</v>
      </c>
      <c r="J106" s="24">
        <f t="shared" si="89"/>
        <v>0.53092918396920641</v>
      </c>
      <c r="K106" s="22">
        <f t="shared" si="90"/>
        <v>1.8560024439601495</v>
      </c>
      <c r="L106" s="22">
        <f t="shared" si="91"/>
        <v>0.53092918396920641</v>
      </c>
      <c r="M106" s="226">
        <f t="shared" si="92"/>
        <v>0.53092918396920641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0.42915006116955778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0.42915006116955778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0.7151515151515152</v>
      </c>
      <c r="I110" s="22">
        <f t="shared" si="88"/>
        <v>1.8637826562252353</v>
      </c>
      <c r="J110" s="24">
        <f t="shared" si="89"/>
        <v>1.8637826562252353</v>
      </c>
      <c r="K110" s="22">
        <f t="shared" si="90"/>
        <v>2.6061367650607101</v>
      </c>
      <c r="L110" s="22">
        <f t="shared" si="91"/>
        <v>1.8637826562252353</v>
      </c>
      <c r="M110" s="226">
        <f t="shared" si="92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4.4841882212196991</v>
      </c>
      <c r="J119" s="24">
        <f>SUM(J91:J118)</f>
        <v>4.3586022075276407</v>
      </c>
      <c r="K119" s="22">
        <f>SUM(K91:K118)</f>
        <v>8.7502781889204542</v>
      </c>
      <c r="L119" s="22">
        <f>SUM(L91:L118)</f>
        <v>4.2914600213097378</v>
      </c>
      <c r="M119" s="57">
        <f t="shared" si="80"/>
        <v>4.3586022075276407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239">
        <f t="shared" si="93"/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0.21552499490606802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2.1877513014427437</v>
      </c>
      <c r="J128" s="227">
        <f>(J30)</f>
        <v>0.54103158629678161</v>
      </c>
      <c r="K128" s="29">
        <f>(B128)</f>
        <v>0.59392078206724785</v>
      </c>
      <c r="L128" s="29">
        <f>IF(L124=L119,0,(L119-L124)/(B119-B124)*K128)</f>
        <v>0.19605097554818326</v>
      </c>
      <c r="M128" s="239">
        <f t="shared" si="93"/>
        <v>0.54103158629678161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4.4841882212196991</v>
      </c>
      <c r="J130" s="227">
        <f>(J119)</f>
        <v>4.3586022075276407</v>
      </c>
      <c r="K130" s="29">
        <f>(B130)</f>
        <v>8.7502781889204542</v>
      </c>
      <c r="L130" s="29">
        <f>(L119)</f>
        <v>4.2914600213097378</v>
      </c>
      <c r="M130" s="239">
        <f t="shared" si="93"/>
        <v>4.3586022075276407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6.2313429624627048E-2</v>
      </c>
      <c r="K131" s="29"/>
      <c r="L131" s="29">
        <f>IF(I131&lt;SUM(L126:L127),0,I131-(SUM(L126:L127)))</f>
        <v>1.3679221361724636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5.6310635118306338E-3</v>
      </c>
      <c r="J6" s="24">
        <f t="shared" ref="J6:J13" si="3">IF(I$32&lt;=1+I$131,I6,B6*H6+J$33*(I6-B6*H6))</f>
        <v>5.6310635118306338E-3</v>
      </c>
      <c r="K6" s="22">
        <f t="shared" ref="K6:K31" si="4">B6</f>
        <v>2.8155317559153167E-2</v>
      </c>
      <c r="L6" s="22">
        <f t="shared" ref="L6:L29" si="5">IF(K6="","",K6*H6)</f>
        <v>5.6310635118306338E-3</v>
      </c>
      <c r="M6" s="223">
        <f t="shared" ref="M6:M31" si="6">J6</f>
        <v>5.6310635118306338E-3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2.2524254047322535E-2</v>
      </c>
      <c r="Z6" s="156">
        <f>Poor!Z6</f>
        <v>0.17</v>
      </c>
      <c r="AA6" s="121">
        <f>$M6*Z6*4</f>
        <v>3.8291231880448313E-3</v>
      </c>
      <c r="AB6" s="156">
        <f>Poor!AB6</f>
        <v>0.17</v>
      </c>
      <c r="AC6" s="121">
        <f t="shared" ref="AC6:AC29" si="7">$M6*AB6*4</f>
        <v>3.8291231880448313E-3</v>
      </c>
      <c r="AD6" s="156">
        <f>Poor!AD6</f>
        <v>0.33</v>
      </c>
      <c r="AE6" s="121">
        <f t="shared" ref="AE6:AE29" si="8">$M6*AD6*4</f>
        <v>7.4330038356164368E-3</v>
      </c>
      <c r="AF6" s="122">
        <f>1-SUM(Z6,AB6,AD6)</f>
        <v>0.32999999999999996</v>
      </c>
      <c r="AG6" s="121">
        <f>$M6*AF6*4</f>
        <v>7.4330038356164359E-3</v>
      </c>
      <c r="AH6" s="123">
        <f>SUM(Z6,AB6,AD6,AF6)</f>
        <v>1</v>
      </c>
      <c r="AI6" s="183">
        <f>SUM(AA6,AC6,AE6,AG6)/4</f>
        <v>5.6310635118306338E-3</v>
      </c>
      <c r="AJ6" s="120">
        <f>(AA6+AC6)/2</f>
        <v>3.8291231880448313E-3</v>
      </c>
      <c r="AK6" s="119">
        <f>(AE6+AG6)/2</f>
        <v>7.4330038356164359E-3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3.7540423412204234E-3</v>
      </c>
      <c r="J7" s="24">
        <f t="shared" si="3"/>
        <v>3.7540423412204234E-3</v>
      </c>
      <c r="K7" s="22">
        <f t="shared" si="4"/>
        <v>1.8770211706102116E-2</v>
      </c>
      <c r="L7" s="22">
        <f t="shared" si="5"/>
        <v>3.7540423412204234E-3</v>
      </c>
      <c r="M7" s="223">
        <f t="shared" si="6"/>
        <v>3.7540423412204234E-3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2167.2915277957363</v>
      </c>
      <c r="T7" s="221">
        <f>IF($B$81=0,0,(SUMIF($N$6:$N$28,$U7,M$6:M$28)+SUMIF($N$91:$N$118,$U7,M$91:M$118))*$I$83*Poor!$B$81/$B$81)</f>
        <v>4768.6725017578765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1.5016169364881694E-2</v>
      </c>
      <c r="AH7" s="123">
        <f t="shared" ref="AH7:AH30" si="12">SUM(Z7,AB7,AD7,AF7)</f>
        <v>1</v>
      </c>
      <c r="AI7" s="183">
        <f t="shared" ref="AI7:AI30" si="13">SUM(AA7,AC7,AE7,AG7)/4</f>
        <v>3.7540423412204234E-3</v>
      </c>
      <c r="AJ7" s="120">
        <f t="shared" ref="AJ7:AJ31" si="14">(AA7+AC7)/2</f>
        <v>0</v>
      </c>
      <c r="AK7" s="119">
        <f t="shared" ref="AK7:AK31" si="15">(AE7+AG7)/2</f>
        <v>7.5080846824408468E-3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3">
        <f t="shared" si="6"/>
        <v>1.1812850249066002E-3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2004.7999999999997</v>
      </c>
      <c r="T8" s="221">
        <f>IF($B$81=0,0,(SUMIF($N$6:$N$28,$U8,M$6:M$28)+SUMIF($N$91:$N$118,$U8,M$91:M$118))*$I$83*Poor!$B$81/$B$81)</f>
        <v>-928.72909643129526</v>
      </c>
      <c r="U8" s="222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0.59669799893655973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2.8194816421419698E-3</v>
      </c>
      <c r="AB8" s="125">
        <f>IF($Y8=0,0,AC8/$Y8)</f>
        <v>0.40330200106344027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1.9056584574844312E-3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135.26784303397417</v>
      </c>
      <c r="T9" s="221">
        <f>IF($B$81=0,0,(SUMIF($N$6:$N$28,$U9,M$6:M$28)+SUMIF($N$91:$N$118,$U9,M$91:M$118))*$I$83*Poor!$B$81/$B$81)</f>
        <v>135.26784303397417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0.3</v>
      </c>
      <c r="H10" s="24">
        <f t="shared" si="1"/>
        <v>0.3</v>
      </c>
      <c r="I10" s="22">
        <f t="shared" si="2"/>
        <v>0.14017535445205478</v>
      </c>
      <c r="J10" s="24">
        <f t="shared" si="3"/>
        <v>0.16774098440863017</v>
      </c>
      <c r="K10" s="22">
        <f t="shared" si="4"/>
        <v>0.32530145547945205</v>
      </c>
      <c r="L10" s="22">
        <f t="shared" si="5"/>
        <v>9.7590436643835612E-2</v>
      </c>
      <c r="M10" s="223">
        <f t="shared" si="6"/>
        <v>0.16774098440863017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0.67096393763452067</v>
      </c>
      <c r="Z10" s="125">
        <f>IF($Y10=0,0,AA10/$Y10)</f>
        <v>0.59669799893655961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0.4003628389451131</v>
      </c>
      <c r="AB10" s="125">
        <f>IF($Y10=0,0,AC10/$Y10)</f>
        <v>0.40330200106344033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0.27060109868940757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0.16774098440863017</v>
      </c>
      <c r="AJ10" s="120">
        <f t="shared" si="14"/>
        <v>0.33548196881726033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0.13331173327655566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0.13331173327655566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5192</v>
      </c>
      <c r="T11" s="221">
        <f>IF($B$81=0,0,(SUMIF($N$6:$N$28,$U11,M$6:M$28)+SUMIF($N$91:$N$118,$U11,M$91:M$118))*$I$83*Poor!$B$81/$B$81)</f>
        <v>7378.8036138322923</v>
      </c>
      <c r="U11" s="222">
        <v>5</v>
      </c>
      <c r="V11" s="56"/>
      <c r="W11" s="115"/>
      <c r="X11" s="118">
        <f>Poor!X11</f>
        <v>1</v>
      </c>
      <c r="Y11" s="183">
        <f t="shared" si="9"/>
        <v>0.53324693310622262</v>
      </c>
      <c r="Z11" s="125">
        <f>IF($Y11=0,0,AA11/$Y11)</f>
        <v>0.59669799893655973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0.31818737792354057</v>
      </c>
      <c r="AB11" s="125">
        <f>IF($Y11=0,0,AC11/$Y11)</f>
        <v>0.40330200106344027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0.21505955518268205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0.13331173327655566</v>
      </c>
      <c r="AJ11" s="120">
        <f t="shared" si="14"/>
        <v>0.26662346655311131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0.2</v>
      </c>
      <c r="H12" s="24">
        <f t="shared" si="1"/>
        <v>0.2</v>
      </c>
      <c r="I12" s="22">
        <f t="shared" si="2"/>
        <v>1.99433499377335E-3</v>
      </c>
      <c r="J12" s="24">
        <f t="shared" si="3"/>
        <v>1.99433499377335E-3</v>
      </c>
      <c r="K12" s="22">
        <f t="shared" si="4"/>
        <v>9.9716749688667488E-3</v>
      </c>
      <c r="L12" s="22">
        <f t="shared" si="5"/>
        <v>1.99433499377335E-3</v>
      </c>
      <c r="M12" s="223">
        <f t="shared" si="6"/>
        <v>1.99433499377335E-3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7.9773399750934001E-3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5.344817783312578E-3</v>
      </c>
      <c r="AF12" s="122">
        <f>1-SUM(Z12,AB12,AD12)</f>
        <v>0.32999999999999996</v>
      </c>
      <c r="AG12" s="121">
        <f>$M12*AF12*4</f>
        <v>2.6325221917808217E-3</v>
      </c>
      <c r="AH12" s="123">
        <f t="shared" si="12"/>
        <v>1</v>
      </c>
      <c r="AI12" s="183">
        <f t="shared" si="13"/>
        <v>1.99433499377335E-3</v>
      </c>
      <c r="AJ12" s="120">
        <f t="shared" si="14"/>
        <v>0</v>
      </c>
      <c r="AK12" s="119">
        <f t="shared" si="15"/>
        <v>3.9886699875467E-3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0.2</v>
      </c>
      <c r="H13" s="24">
        <f t="shared" si="1"/>
        <v>0.2</v>
      </c>
      <c r="I13" s="22">
        <f t="shared" si="2"/>
        <v>3.314115504358655E-3</v>
      </c>
      <c r="J13" s="24">
        <f t="shared" si="3"/>
        <v>5.459374585001231E-3</v>
      </c>
      <c r="K13" s="22">
        <f t="shared" si="4"/>
        <v>0</v>
      </c>
      <c r="L13" s="22">
        <f t="shared" si="5"/>
        <v>0</v>
      </c>
      <c r="M13" s="224">
        <f t="shared" si="6"/>
        <v>5.459374585001231E-3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2.1837498340004924E-2</v>
      </c>
      <c r="Z13" s="156">
        <f>Poor!Z13</f>
        <v>1</v>
      </c>
      <c r="AA13" s="121">
        <f>$M13*Z13*4</f>
        <v>2.1837498340004924E-2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5.459374585001231E-3</v>
      </c>
      <c r="AJ13" s="120">
        <f t="shared" si="14"/>
        <v>1.0918749170002462E-2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45311.999999999993</v>
      </c>
      <c r="T14" s="221">
        <f>IF($B$81=0,0,(SUMIF($N$6:$N$28,$U14,M$6:M$28)+SUMIF($N$91:$N$118,$U14,M$91:M$118))*$I$83*Poor!$B$81/$B$81)</f>
        <v>45311.999999999993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0.2</v>
      </c>
      <c r="F15" s="22"/>
      <c r="H15" s="24">
        <f t="shared" si="1"/>
        <v>0.2</v>
      </c>
      <c r="I15" s="22">
        <f t="shared" si="2"/>
        <v>2.2289626400996271E-2</v>
      </c>
      <c r="J15" s="24">
        <f>IF(I$32&lt;=1+I131,I15,B15*H15+J$33*(I15-B15*H15))</f>
        <v>3.4313202369199505E-2</v>
      </c>
      <c r="K15" s="22">
        <f t="shared" si="4"/>
        <v>1.8574688667496887E-2</v>
      </c>
      <c r="L15" s="22">
        <f t="shared" si="5"/>
        <v>3.7149377334993773E-3</v>
      </c>
      <c r="M15" s="225">
        <f t="shared" si="6"/>
        <v>3.4313202369199505E-2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0.13725280947679802</v>
      </c>
      <c r="Z15" s="156">
        <f>Poor!Z15</f>
        <v>0.25</v>
      </c>
      <c r="AA15" s="121">
        <f t="shared" si="16"/>
        <v>3.4313202369199505E-2</v>
      </c>
      <c r="AB15" s="156">
        <f>Poor!AB15</f>
        <v>0.25</v>
      </c>
      <c r="AC15" s="121">
        <f t="shared" si="7"/>
        <v>3.4313202369199505E-2</v>
      </c>
      <c r="AD15" s="156">
        <f>Poor!AD15</f>
        <v>0.25</v>
      </c>
      <c r="AE15" s="121">
        <f t="shared" si="8"/>
        <v>3.4313202369199505E-2</v>
      </c>
      <c r="AF15" s="122">
        <f t="shared" si="10"/>
        <v>0.25</v>
      </c>
      <c r="AG15" s="121">
        <f t="shared" si="11"/>
        <v>3.4313202369199505E-2</v>
      </c>
      <c r="AH15" s="123">
        <f t="shared" si="12"/>
        <v>1</v>
      </c>
      <c r="AI15" s="183">
        <f t="shared" si="13"/>
        <v>3.4313202369199505E-2</v>
      </c>
      <c r="AJ15" s="120">
        <f t="shared" si="14"/>
        <v>3.4313202369199505E-2</v>
      </c>
      <c r="AK15" s="119">
        <f t="shared" si="15"/>
        <v>3.4313202369199505E-2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0.2</v>
      </c>
      <c r="F16" s="22"/>
      <c r="H16" s="24">
        <f t="shared" si="1"/>
        <v>0.2</v>
      </c>
      <c r="I16" s="22">
        <f t="shared" si="2"/>
        <v>1.8026151930261521E-2</v>
      </c>
      <c r="J16" s="24">
        <f>IF(I$32&lt;=1+I131,I16,B16*H16+J$33*(I16-B16*H16))</f>
        <v>2.2401840488782333E-2</v>
      </c>
      <c r="K16" s="22">
        <f t="shared" si="4"/>
        <v>5.6331724782067244E-2</v>
      </c>
      <c r="L16" s="22">
        <f t="shared" si="5"/>
        <v>1.1266344956413449E-2</v>
      </c>
      <c r="M16" s="223">
        <f t="shared" si="6"/>
        <v>2.2401840488782333E-2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1276.2834605316762</v>
      </c>
      <c r="U16" s="222">
        <v>10</v>
      </c>
      <c r="V16" s="56"/>
      <c r="W16" s="110"/>
      <c r="X16" s="118"/>
      <c r="Y16" s="183">
        <f t="shared" si="9"/>
        <v>8.9607361955129333E-2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8.9607361955129333E-2</v>
      </c>
      <c r="AH16" s="123">
        <f t="shared" si="12"/>
        <v>1</v>
      </c>
      <c r="AI16" s="183">
        <f t="shared" si="13"/>
        <v>2.2401840488782333E-2</v>
      </c>
      <c r="AJ16" s="120">
        <f t="shared" si="14"/>
        <v>0</v>
      </c>
      <c r="AK16" s="119">
        <f t="shared" si="15"/>
        <v>4.4803680977564667E-2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5.0477758149940419E-3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5.0477758149940419E-3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2.0191103259976168E-2</v>
      </c>
      <c r="Z17" s="156">
        <f>Poor!Z17</f>
        <v>0.29409999999999997</v>
      </c>
      <c r="AA17" s="121">
        <f t="shared" si="16"/>
        <v>5.9382034687589904E-3</v>
      </c>
      <c r="AB17" s="156">
        <f>Poor!AB17</f>
        <v>0.17649999999999999</v>
      </c>
      <c r="AC17" s="121">
        <f t="shared" si="7"/>
        <v>3.5637297253857934E-3</v>
      </c>
      <c r="AD17" s="156">
        <f>Poor!AD17</f>
        <v>0.23530000000000001</v>
      </c>
      <c r="AE17" s="121">
        <f t="shared" si="8"/>
        <v>4.7509665970723921E-3</v>
      </c>
      <c r="AF17" s="122">
        <f t="shared" si="10"/>
        <v>0.29410000000000003</v>
      </c>
      <c r="AG17" s="121">
        <f t="shared" si="11"/>
        <v>5.9382034687589912E-3</v>
      </c>
      <c r="AH17" s="123">
        <f t="shared" si="12"/>
        <v>1</v>
      </c>
      <c r="AI17" s="183">
        <f t="shared" si="13"/>
        <v>5.0477758149940419E-3</v>
      </c>
      <c r="AJ17" s="120">
        <f t="shared" si="14"/>
        <v>4.7509665970723921E-3</v>
      </c>
      <c r="AK17" s="119">
        <f t="shared" si="15"/>
        <v>5.3445850329156917E-3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64883.772223081476</v>
      </c>
      <c r="T23" s="179">
        <f>SUM(T7:T22)</f>
        <v>67054.711174976299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-2.4902808689667419E-2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-2.4902808689667419E-2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-9.9611234758669676E-2</v>
      </c>
      <c r="Z27" s="156">
        <f>Poor!Z27</f>
        <v>0.25</v>
      </c>
      <c r="AA27" s="121">
        <f t="shared" si="16"/>
        <v>-2.4902808689667419E-2</v>
      </c>
      <c r="AB27" s="156">
        <f>Poor!AB27</f>
        <v>0.25</v>
      </c>
      <c r="AC27" s="121">
        <f t="shared" si="7"/>
        <v>-2.4902808689667419E-2</v>
      </c>
      <c r="AD27" s="156">
        <f>Poor!AD27</f>
        <v>0.25</v>
      </c>
      <c r="AE27" s="121">
        <f t="shared" si="8"/>
        <v>-2.4902808689667419E-2</v>
      </c>
      <c r="AF27" s="122">
        <f t="shared" si="10"/>
        <v>0.25</v>
      </c>
      <c r="AG27" s="121">
        <f t="shared" si="11"/>
        <v>-2.4902808689667419E-2</v>
      </c>
      <c r="AH27" s="123">
        <f t="shared" si="12"/>
        <v>1</v>
      </c>
      <c r="AI27" s="183">
        <f t="shared" si="13"/>
        <v>-2.4902808689667419E-2</v>
      </c>
      <c r="AJ27" s="120">
        <f t="shared" si="14"/>
        <v>-2.4902808689667419E-2</v>
      </c>
      <c r="AK27" s="119">
        <f t="shared" si="15"/>
        <v>-2.4902808689667419E-2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0.2376150828128635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0.2376150828128635</v>
      </c>
      <c r="N29" s="228"/>
      <c r="P29" s="22"/>
      <c r="V29" s="56"/>
      <c r="W29" s="110"/>
      <c r="X29" s="118"/>
      <c r="Y29" s="183">
        <f t="shared" si="9"/>
        <v>0.95046033125145402</v>
      </c>
      <c r="Z29" s="156">
        <f>Poor!Z29</f>
        <v>0.25</v>
      </c>
      <c r="AA29" s="121">
        <f t="shared" si="16"/>
        <v>0.2376150828128635</v>
      </c>
      <c r="AB29" s="156">
        <f>Poor!AB29</f>
        <v>0.25</v>
      </c>
      <c r="AC29" s="121">
        <f t="shared" si="7"/>
        <v>0.2376150828128635</v>
      </c>
      <c r="AD29" s="156">
        <f>Poor!AD29</f>
        <v>0.25</v>
      </c>
      <c r="AE29" s="121">
        <f t="shared" si="8"/>
        <v>0.2376150828128635</v>
      </c>
      <c r="AF29" s="122">
        <f t="shared" si="10"/>
        <v>0.25</v>
      </c>
      <c r="AG29" s="121">
        <f t="shared" si="11"/>
        <v>0.2376150828128635</v>
      </c>
      <c r="AH29" s="123">
        <f t="shared" si="12"/>
        <v>1</v>
      </c>
      <c r="AI29" s="183">
        <f t="shared" si="13"/>
        <v>0.2376150828128635</v>
      </c>
      <c r="AJ29" s="120">
        <f t="shared" si="14"/>
        <v>0.2376150828128635</v>
      </c>
      <c r="AK29" s="119">
        <f t="shared" si="15"/>
        <v>0.2376150828128635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2.5622197137298519</v>
      </c>
      <c r="J30" s="230">
        <f>IF(I$32&lt;=1,I30,1-SUM(J6:J29))</f>
        <v>0.39478123538818655</v>
      </c>
      <c r="K30" s="22">
        <f t="shared" si="4"/>
        <v>0.63544987546699883</v>
      </c>
      <c r="L30" s="22">
        <f>IF(L124=L119,0,IF(K30="",0,(L119-L124)/(B119-B124)*K30))</f>
        <v>0.15916890634193642</v>
      </c>
      <c r="M30" s="175">
        <f t="shared" si="6"/>
        <v>0.39478123538818655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1.5791249415527462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0.13623946748397747</v>
      </c>
      <c r="AC30" s="187">
        <f>IF(AC79*4/$I$84+SUM(AC6:AC29)&lt;1,AC79*4/$I$84,1-SUM(AC6:AC29))</f>
        <v>0.21513914112781321</v>
      </c>
      <c r="AD30" s="122">
        <f>IF($Y30=0,0,AE30/($Y$30))</f>
        <v>-0.16129989936179936</v>
      </c>
      <c r="AE30" s="187">
        <f>IF(AE79*4/$I$84+SUM(AE6:AE29)&lt;1,AE79*4/$I$84,1-SUM(AE6:AE29))</f>
        <v>-0.25471269415216524</v>
      </c>
      <c r="AF30" s="122">
        <f>IF($Y30=0,0,AG30/($Y$30))</f>
        <v>-0.17618538381997212</v>
      </c>
      <c r="AG30" s="187">
        <f>IF(AG79*4/$I$84+SUM(AG6:AG29)&lt;1,AG79*4/$I$84,1-SUM(AG6:AG29))</f>
        <v>-0.27821873392716162</v>
      </c>
      <c r="AH30" s="123">
        <f t="shared" si="12"/>
        <v>-0.20124581569779401</v>
      </c>
      <c r="AI30" s="183">
        <f t="shared" si="13"/>
        <v>-7.9448071737878406E-2</v>
      </c>
      <c r="AJ30" s="120">
        <f t="shared" si="14"/>
        <v>0.10756957056390661</v>
      </c>
      <c r="AK30" s="119">
        <f t="shared" si="15"/>
        <v>-0.26646571403966346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0.40847198364094028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3.3941783761942235E-2</v>
      </c>
      <c r="AD31" s="134"/>
      <c r="AE31" s="133">
        <f>1-AE32+IF($Y32&lt;0,$Y32/4,0)</f>
        <v>0.9901584294437682</v>
      </c>
      <c r="AF31" s="134"/>
      <c r="AG31" s="133">
        <f>1-AG32+IF($Y32&lt;0,$Y32/4,0)</f>
        <v>0.91056599661859883</v>
      </c>
      <c r="AH31" s="123"/>
      <c r="AI31" s="182">
        <f>SUM(AA31,AC31,AE31,AG31)/4</f>
        <v>0.48366655245607731</v>
      </c>
      <c r="AJ31" s="135">
        <f t="shared" si="14"/>
        <v>1.6970891880971117E-2</v>
      </c>
      <c r="AK31" s="136">
        <f t="shared" si="15"/>
        <v>0.95036221303118351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3.0995133455407782</v>
      </c>
      <c r="J32" s="17"/>
      <c r="L32" s="22">
        <f>SUM(L6:L30)</f>
        <v>0.59152801635905972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27449.260735637996</v>
      </c>
      <c r="T32" s="233">
        <f t="shared" si="24"/>
        <v>25278.321783743173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0.96605821623805777</v>
      </c>
      <c r="AD32" s="137"/>
      <c r="AE32" s="139">
        <f>SUM(AE6:AE30)</f>
        <v>9.841570556231749E-3</v>
      </c>
      <c r="AF32" s="137"/>
      <c r="AG32" s="139">
        <f>SUM(AG6:AG30)</f>
        <v>8.9434003381401228E-2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1.6473096902691462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1652</v>
      </c>
      <c r="J37" s="38">
        <f>J91*I$83</f>
        <v>1651.9999999999998</v>
      </c>
      <c r="K37" s="40">
        <f>(B37/B$65)</f>
        <v>2.7724144759641568E-2</v>
      </c>
      <c r="L37" s="22">
        <f t="shared" ref="L37" si="28">(K37*H37)</f>
        <v>1.6357245408188524E-2</v>
      </c>
      <c r="M37" s="24">
        <f>J37/B$65</f>
        <v>1.6357245408188521E-2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0.34987753968226654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577.9976955551042</v>
      </c>
      <c r="AB37" s="122">
        <f>IF($J37=0,0,AC37/($J37))</f>
        <v>0.65012246031773346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1074.0023044448956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1651.9999999999998</v>
      </c>
      <c r="AJ37" s="148">
        <f>(AA37+AC37)</f>
        <v>1651.9999999999998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4425</v>
      </c>
      <c r="J38" s="38">
        <f t="shared" ref="J38:J64" si="32">J92*I$83</f>
        <v>5379.7817931469908</v>
      </c>
      <c r="K38" s="40">
        <f t="shared" ref="K38:K64" si="33">(B38/B$65)</f>
        <v>4.9507401356502799E-2</v>
      </c>
      <c r="L38" s="22">
        <f t="shared" ref="L38:L64" si="34">(K38*H38)</f>
        <v>2.9209366800336648E-2</v>
      </c>
      <c r="M38" s="24">
        <f t="shared" ref="M38:M64" si="35">J38/B$65</f>
        <v>5.3267803288746876E-2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0.34987753968226648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1882.264817813721</v>
      </c>
      <c r="AB38" s="122">
        <f>IF($J38=0,0,AC38/($J38))</f>
        <v>0.65012246031773346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3497.5169753332698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5379.7817931469908</v>
      </c>
      <c r="AJ38" s="148">
        <f t="shared" ref="AJ38:AJ64" si="38">(AA38+AC38)</f>
        <v>5379.7817931469908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442.5</v>
      </c>
      <c r="J39" s="38">
        <f t="shared" si="32"/>
        <v>347.02182068530095</v>
      </c>
      <c r="K39" s="40">
        <f t="shared" si="33"/>
        <v>9.9014802713005591E-3</v>
      </c>
      <c r="L39" s="22">
        <f t="shared" si="34"/>
        <v>5.8418733600673293E-3</v>
      </c>
      <c r="M39" s="24">
        <f t="shared" si="35"/>
        <v>3.4360297112263076E-3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0.59669799893655973</v>
      </c>
      <c r="AA39" s="147">
        <f t="shared" ref="AA39:AA64" si="40">$J39*Z39</f>
        <v>207.06722599024073</v>
      </c>
      <c r="AB39" s="122">
        <f>AB8</f>
        <v>0.40330200106344027</v>
      </c>
      <c r="AC39" s="147">
        <f t="shared" ref="AC39:AC64" si="41">$J39*AB39</f>
        <v>139.95459469506022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347.02182068530095</v>
      </c>
      <c r="AJ39" s="148">
        <f t="shared" si="38"/>
        <v>347.02182068530095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-244.68306292173725</v>
      </c>
      <c r="K40" s="40">
        <f t="shared" si="33"/>
        <v>8.9113322441705042E-3</v>
      </c>
      <c r="L40" s="22">
        <f t="shared" si="34"/>
        <v>3.7427595425516117E-3</v>
      </c>
      <c r="M40" s="24">
        <f t="shared" si="35"/>
        <v>-2.4227245202409747E-3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-244.68306292173725</v>
      </c>
      <c r="AH40" s="123">
        <f t="shared" si="37"/>
        <v>1</v>
      </c>
      <c r="AI40" s="112">
        <f t="shared" si="37"/>
        <v>-244.68306292173725</v>
      </c>
      <c r="AJ40" s="148">
        <f t="shared" si="38"/>
        <v>0</v>
      </c>
      <c r="AK40" s="147">
        <f t="shared" si="39"/>
        <v>-244.68306292173725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-296.33837620521507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-2.9341885856251802E-3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0.59669799893655973</v>
      </c>
      <c r="AA41" s="147">
        <f t="shared" si="40"/>
        <v>-176.82451608976126</v>
      </c>
      <c r="AB41" s="122">
        <f>AB11</f>
        <v>0.40330200106344027</v>
      </c>
      <c r="AC41" s="147">
        <f t="shared" si="41"/>
        <v>-119.51386011545381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-296.33837620521507</v>
      </c>
      <c r="AJ41" s="148">
        <f t="shared" si="38"/>
        <v>-296.33837620521507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-54.374013982608261</v>
      </c>
      <c r="K42" s="40">
        <f t="shared" si="33"/>
        <v>2.9704440813901676E-3</v>
      </c>
      <c r="L42" s="22">
        <f t="shared" si="34"/>
        <v>8.3172434278924691E-4</v>
      </c>
      <c r="M42" s="24">
        <f t="shared" si="35"/>
        <v>-5.3838322672021641E-4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-13.593503495652065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-27.187006991304131</v>
      </c>
      <c r="AF42" s="122">
        <f t="shared" si="29"/>
        <v>0.25</v>
      </c>
      <c r="AG42" s="147">
        <f t="shared" si="36"/>
        <v>-13.593503495652065</v>
      </c>
      <c r="AH42" s="123">
        <f t="shared" si="37"/>
        <v>1</v>
      </c>
      <c r="AI42" s="112">
        <f t="shared" si="37"/>
        <v>-54.374013982608261</v>
      </c>
      <c r="AJ42" s="148">
        <f t="shared" si="38"/>
        <v>-13.593503495652065</v>
      </c>
      <c r="AK42" s="147">
        <f t="shared" si="39"/>
        <v>-40.780510486956196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-362.49342655072172</v>
      </c>
      <c r="K43" s="40">
        <f t="shared" si="33"/>
        <v>1.9802960542601118E-2</v>
      </c>
      <c r="L43" s="22">
        <f t="shared" si="34"/>
        <v>5.5448289519283121E-3</v>
      </c>
      <c r="M43" s="24">
        <f t="shared" si="35"/>
        <v>-3.5892215114681097E-3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-90.62335663768043</v>
      </c>
      <c r="AB43" s="156">
        <f>Poor!AB43</f>
        <v>0.25</v>
      </c>
      <c r="AC43" s="147">
        <f t="shared" si="41"/>
        <v>-90.62335663768043</v>
      </c>
      <c r="AD43" s="156">
        <f>Poor!AD43</f>
        <v>0.25</v>
      </c>
      <c r="AE43" s="147">
        <f t="shared" si="42"/>
        <v>-90.62335663768043</v>
      </c>
      <c r="AF43" s="122">
        <f t="shared" si="29"/>
        <v>0.25</v>
      </c>
      <c r="AG43" s="147">
        <f t="shared" si="36"/>
        <v>-90.62335663768043</v>
      </c>
      <c r="AH43" s="123">
        <f t="shared" si="37"/>
        <v>1</v>
      </c>
      <c r="AI43" s="112">
        <f t="shared" si="37"/>
        <v>-362.49342655072172</v>
      </c>
      <c r="AJ43" s="148">
        <f t="shared" si="38"/>
        <v>-181.24671327536086</v>
      </c>
      <c r="AK43" s="147">
        <f t="shared" si="39"/>
        <v>-181.24671327536086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-163.12204194782478</v>
      </c>
      <c r="K44" s="40">
        <f t="shared" si="33"/>
        <v>8.9113322441705042E-3</v>
      </c>
      <c r="L44" s="22">
        <f t="shared" si="34"/>
        <v>2.4951730283677407E-3</v>
      </c>
      <c r="M44" s="24">
        <f t="shared" si="35"/>
        <v>-1.6151496801606493E-3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-40.780510486956196</v>
      </c>
      <c r="AB44" s="156">
        <f>Poor!AB44</f>
        <v>0.25</v>
      </c>
      <c r="AC44" s="147">
        <f t="shared" si="41"/>
        <v>-40.780510486956196</v>
      </c>
      <c r="AD44" s="156">
        <f>Poor!AD44</f>
        <v>0.25</v>
      </c>
      <c r="AE44" s="147">
        <f t="shared" si="42"/>
        <v>-40.780510486956196</v>
      </c>
      <c r="AF44" s="122">
        <f t="shared" si="29"/>
        <v>0.25</v>
      </c>
      <c r="AG44" s="147">
        <f t="shared" si="36"/>
        <v>-40.780510486956196</v>
      </c>
      <c r="AH44" s="123">
        <f t="shared" si="37"/>
        <v>1</v>
      </c>
      <c r="AI44" s="112">
        <f t="shared" si="37"/>
        <v>-163.12204194782478</v>
      </c>
      <c r="AJ44" s="148">
        <f t="shared" si="38"/>
        <v>-81.561020973912392</v>
      </c>
      <c r="AK44" s="147">
        <f t="shared" si="39"/>
        <v>-81.561020973912392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-31.718174823188157</v>
      </c>
      <c r="K45" s="40">
        <f t="shared" si="33"/>
        <v>1.732759047477598E-3</v>
      </c>
      <c r="L45" s="22">
        <f t="shared" si="34"/>
        <v>4.851725332937274E-4</v>
      </c>
      <c r="M45" s="24">
        <f t="shared" si="35"/>
        <v>-3.1405688225345964E-4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-7.9295437057970393</v>
      </c>
      <c r="AB45" s="156">
        <f>Poor!AB45</f>
        <v>0.25</v>
      </c>
      <c r="AC45" s="147">
        <f t="shared" si="41"/>
        <v>-7.9295437057970393</v>
      </c>
      <c r="AD45" s="156">
        <f>Poor!AD45</f>
        <v>0.25</v>
      </c>
      <c r="AE45" s="147">
        <f t="shared" si="42"/>
        <v>-7.9295437057970393</v>
      </c>
      <c r="AF45" s="122">
        <f t="shared" si="29"/>
        <v>0.25</v>
      </c>
      <c r="AG45" s="147">
        <f t="shared" si="36"/>
        <v>-7.9295437057970393</v>
      </c>
      <c r="AH45" s="123">
        <f t="shared" si="37"/>
        <v>1</v>
      </c>
      <c r="AI45" s="112">
        <f t="shared" si="37"/>
        <v>-31.718174823188157</v>
      </c>
      <c r="AJ45" s="148">
        <f t="shared" si="38"/>
        <v>-15.859087411594079</v>
      </c>
      <c r="AK45" s="147">
        <f t="shared" si="39"/>
        <v>-15.859087411594079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223.99999999999997</v>
      </c>
      <c r="J46" s="38">
        <f t="shared" si="32"/>
        <v>223.99999999999994</v>
      </c>
      <c r="K46" s="40">
        <f t="shared" si="33"/>
        <v>7.9211842170404476E-3</v>
      </c>
      <c r="L46" s="22">
        <f t="shared" si="34"/>
        <v>2.2179315807713249E-3</v>
      </c>
      <c r="M46" s="24">
        <f t="shared" si="35"/>
        <v>2.2179315807713249E-3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55.999999999999986</v>
      </c>
      <c r="AB46" s="156">
        <f>Poor!AB46</f>
        <v>0.25</v>
      </c>
      <c r="AC46" s="147">
        <f t="shared" si="41"/>
        <v>55.999999999999986</v>
      </c>
      <c r="AD46" s="156">
        <f>Poor!AD46</f>
        <v>0.25</v>
      </c>
      <c r="AE46" s="147">
        <f t="shared" si="42"/>
        <v>55.999999999999986</v>
      </c>
      <c r="AF46" s="122">
        <f t="shared" si="29"/>
        <v>0.25</v>
      </c>
      <c r="AG46" s="147">
        <f t="shared" si="36"/>
        <v>55.999999999999986</v>
      </c>
      <c r="AH46" s="123">
        <f t="shared" si="37"/>
        <v>1</v>
      </c>
      <c r="AI46" s="112">
        <f t="shared" si="37"/>
        <v>223.99999999999994</v>
      </c>
      <c r="AJ46" s="148">
        <f t="shared" si="38"/>
        <v>111.99999999999997</v>
      </c>
      <c r="AK46" s="147">
        <f t="shared" si="39"/>
        <v>111.99999999999997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19824</v>
      </c>
      <c r="J52" s="38">
        <f t="shared" si="32"/>
        <v>19824</v>
      </c>
      <c r="K52" s="40">
        <f t="shared" si="33"/>
        <v>0.4158621713946235</v>
      </c>
      <c r="L52" s="22">
        <f t="shared" si="34"/>
        <v>0.19628694489826229</v>
      </c>
      <c r="M52" s="24">
        <f t="shared" si="35"/>
        <v>0.19628694489826229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4956</v>
      </c>
      <c r="AB52" s="156">
        <f>Poor!AB57</f>
        <v>0.25</v>
      </c>
      <c r="AC52" s="147">
        <f t="shared" si="41"/>
        <v>4956</v>
      </c>
      <c r="AD52" s="156">
        <f>Poor!AD57</f>
        <v>0.25</v>
      </c>
      <c r="AE52" s="147">
        <f t="shared" si="42"/>
        <v>4956</v>
      </c>
      <c r="AF52" s="122">
        <f t="shared" si="29"/>
        <v>0.25</v>
      </c>
      <c r="AG52" s="147">
        <f t="shared" si="36"/>
        <v>4956</v>
      </c>
      <c r="AH52" s="123">
        <f t="shared" si="37"/>
        <v>1</v>
      </c>
      <c r="AI52" s="112">
        <f t="shared" si="37"/>
        <v>19824</v>
      </c>
      <c r="AJ52" s="148">
        <f t="shared" si="38"/>
        <v>9912</v>
      </c>
      <c r="AK52" s="147">
        <f t="shared" si="39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25487.999999999996</v>
      </c>
      <c r="K53" s="40">
        <f t="shared" si="33"/>
        <v>0.35645328976682011</v>
      </c>
      <c r="L53" s="22">
        <f t="shared" si="34"/>
        <v>0.25236892915490861</v>
      </c>
      <c r="M53" s="24">
        <f t="shared" si="35"/>
        <v>0.25236892915490861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1276.2834605316762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1.2637095505041598E-2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8991.6</v>
      </c>
      <c r="J56" s="38">
        <f t="shared" si="32"/>
        <v>8991.6</v>
      </c>
      <c r="K56" s="40">
        <f t="shared" si="33"/>
        <v>7.5449279667310257E-2</v>
      </c>
      <c r="L56" s="22">
        <f t="shared" si="34"/>
        <v>8.9030150007426104E-2</v>
      </c>
      <c r="M56" s="24">
        <f t="shared" si="35"/>
        <v>8.9030150007426118E-2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62199.1</v>
      </c>
      <c r="J65" s="39">
        <f>SUM(J37:J64)</f>
        <v>62029.957977932667</v>
      </c>
      <c r="K65" s="40">
        <f>SUM(K37:K64)</f>
        <v>1</v>
      </c>
      <c r="L65" s="22">
        <f>SUM(L37:L64)</f>
        <v>0.61845041833754133</v>
      </c>
      <c r="M65" s="24">
        <f>SUM(M37:M64)</f>
        <v>0.61418840514810302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7349.5783089432189</v>
      </c>
      <c r="AB65" s="137"/>
      <c r="AC65" s="153">
        <f>SUM(AC37:AC64)</f>
        <v>9464.6266035273384</v>
      </c>
      <c r="AD65" s="137"/>
      <c r="AE65" s="153">
        <f>SUM(AE37:AE64)</f>
        <v>4845.4795821782618</v>
      </c>
      <c r="AF65" s="137"/>
      <c r="AG65" s="153">
        <f>SUM(AG37:AG64)</f>
        <v>4614.3900227521772</v>
      </c>
      <c r="AH65" s="137"/>
      <c r="AI65" s="153">
        <f>SUM(AI37:AI64)</f>
        <v>26274.074517400993</v>
      </c>
      <c r="AJ65" s="153">
        <f>SUM(AJ37:AJ64)</f>
        <v>16814.204912470555</v>
      </c>
      <c r="AK65" s="153">
        <f>SUM(AK37:AK64)</f>
        <v>9459.8696049304399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7306.9442601067576</v>
      </c>
      <c r="K72" s="40">
        <f t="shared" si="47"/>
        <v>0.27470666864696275</v>
      </c>
      <c r="L72" s="22">
        <f t="shared" si="45"/>
        <v>0.10647681915310896</v>
      </c>
      <c r="M72" s="24">
        <f t="shared" si="48"/>
        <v>7.2349564434939923E-2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0.39992078815782961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32800.78676422713</v>
      </c>
      <c r="J74" s="51">
        <f t="shared" si="44"/>
        <v>5053.8738153863715</v>
      </c>
      <c r="K74" s="40">
        <f>B74/B$76</f>
        <v>4.8816357829535556E-2</v>
      </c>
      <c r="L74" s="22">
        <f t="shared" si="45"/>
        <v>2.0175590347959849E-2</v>
      </c>
      <c r="M74" s="24">
        <f>J74/B$76</f>
        <v>5.0040831876690645E-2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2115.0482945841195</v>
      </c>
      <c r="AD74" s="156"/>
      <c r="AE74" s="147">
        <f>AE30*$I$84/4</f>
        <v>-2504.0987267649571</v>
      </c>
      <c r="AF74" s="156"/>
      <c r="AG74" s="147">
        <f>AG30*$I$84/4</f>
        <v>-2735.1882861910417</v>
      </c>
      <c r="AH74" s="155"/>
      <c r="AI74" s="147">
        <f>SUM(AA74,AC74,AE74,AG74)</f>
        <v>-3124.2387183718793</v>
      </c>
      <c r="AJ74" s="148">
        <f>(AA74+AC74)</f>
        <v>2115.0482945841195</v>
      </c>
      <c r="AK74" s="147">
        <f>(AE74+AG74)</f>
        <v>-5239.2870129559988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62199.100000000006</v>
      </c>
      <c r="J76" s="51">
        <f t="shared" si="44"/>
        <v>62029.957977932667</v>
      </c>
      <c r="K76" s="40">
        <f>SUM(K70:K75)</f>
        <v>1.1014571998026617</v>
      </c>
      <c r="L76" s="22">
        <f>SUM(L70:L75)</f>
        <v>0.61845041833754144</v>
      </c>
      <c r="M76" s="24">
        <f>SUM(M70:M75)</f>
        <v>0.61418840514810302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7349.5783089432189</v>
      </c>
      <c r="AB76" s="137"/>
      <c r="AC76" s="153">
        <f>AC65</f>
        <v>9464.6266035273384</v>
      </c>
      <c r="AD76" s="137"/>
      <c r="AE76" s="153">
        <f>AE65</f>
        <v>4845.4795821782618</v>
      </c>
      <c r="AF76" s="137"/>
      <c r="AG76" s="153">
        <f>AG65</f>
        <v>4614.3900227521772</v>
      </c>
      <c r="AH76" s="137"/>
      <c r="AI76" s="153">
        <f>SUM(AA76,AC76,AE76,AG76)</f>
        <v>26274.074517400997</v>
      </c>
      <c r="AJ76" s="154">
        <f>SUM(AA76,AC76)</f>
        <v>16814.204912470559</v>
      </c>
      <c r="AK76" s="154">
        <f>SUM(AE76,AG76)</f>
        <v>9459.8696049304381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44"/>
        <v>0</v>
      </c>
      <c r="K77" s="40"/>
      <c r="L77" s="22">
        <f>-(L131*G$37*F$9/F$7)/B$130</f>
        <v>-9.4234371169844344E-2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333.68410547939135</v>
      </c>
      <c r="AD77" s="112"/>
      <c r="AE77" s="111">
        <f>AE31*$I$84/4</f>
        <v>9734.3183884840255</v>
      </c>
      <c r="AF77" s="112"/>
      <c r="AG77" s="111">
        <f>AG31*$I$84/4</f>
        <v>8951.8394847095406</v>
      </c>
      <c r="AH77" s="110"/>
      <c r="AI77" s="154">
        <f>SUM(AA77,AC77,AE77,AG77)</f>
        <v>19019.841978672957</v>
      </c>
      <c r="AJ77" s="153">
        <f>SUM(AA77,AC77)</f>
        <v>333.68410547939135</v>
      </c>
      <c r="AK77" s="160">
        <f>SUM(AE77,AG77)</f>
        <v>18686.157873193566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2115.0482945841195</v>
      </c>
      <c r="AD79" s="112"/>
      <c r="AE79" s="112">
        <f>AC79-AC74+AE65-AE70</f>
        <v>-2504.0987267649571</v>
      </c>
      <c r="AF79" s="112"/>
      <c r="AG79" s="112">
        <f>AE79-AE74+AG65-AG70</f>
        <v>-2735.1882861910417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0.3575757575757576</v>
      </c>
      <c r="I91" s="22">
        <f t="shared" ref="I91" si="52">(D91*H91)</f>
        <v>0.12904528777029323</v>
      </c>
      <c r="J91" s="24">
        <f>IF(I$32&lt;=1+I$131,I91,L91+J$33*(I91-L91))</f>
        <v>0.12904528777029323</v>
      </c>
      <c r="K91" s="22">
        <f t="shared" ref="K91" si="53">(B91)</f>
        <v>0.36088936410336242</v>
      </c>
      <c r="L91" s="22">
        <f t="shared" ref="L91" si="54">(K91*H91)</f>
        <v>0.12904528777029323</v>
      </c>
      <c r="M91" s="226">
        <f t="shared" si="49"/>
        <v>0.12904528777029323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0.3575757575757576</v>
      </c>
      <c r="I92" s="22">
        <f t="shared" ref="I92:I118" si="58">(D92*H92)</f>
        <v>0.34565702081328548</v>
      </c>
      <c r="J92" s="24">
        <f t="shared" ref="J92:J118" si="59">IF(I$32&lt;=1+I$131,I92,L92+J$33*(I92-L92))</f>
        <v>0.4202394005072867</v>
      </c>
      <c r="K92" s="22">
        <f t="shared" ref="K92:K118" si="60">(B92)</f>
        <v>0.6444452930417186</v>
      </c>
      <c r="L92" s="22">
        <f t="shared" ref="L92:L118" si="61">(K92*H92)</f>
        <v>0.23043801387552365</v>
      </c>
      <c r="M92" s="226">
        <f t="shared" ref="M92:M118" si="62">(J92)</f>
        <v>0.4202394005072867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0.3575757575757576</v>
      </c>
      <c r="I93" s="22">
        <f t="shared" si="58"/>
        <v>3.4565702081328545E-2</v>
      </c>
      <c r="J93" s="24">
        <f t="shared" si="59"/>
        <v>2.7107464111928426E-2</v>
      </c>
      <c r="K93" s="22">
        <f t="shared" si="60"/>
        <v>0.12888905860834371</v>
      </c>
      <c r="L93" s="22">
        <f t="shared" si="61"/>
        <v>4.6087602775104722E-2</v>
      </c>
      <c r="M93" s="226">
        <f t="shared" si="62"/>
        <v>2.7107464111928426E-2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-1.9113314931750818E-2</v>
      </c>
      <c r="K94" s="22">
        <f t="shared" si="60"/>
        <v>0.11600015274750934</v>
      </c>
      <c r="L94" s="22">
        <f t="shared" si="61"/>
        <v>2.9527311608456928E-2</v>
      </c>
      <c r="M94" s="226">
        <f t="shared" si="62"/>
        <v>-1.9113314931750818E-2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-2.3148348084009319E-2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-2.3148348084009319E-2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-4.2474033181668473E-3</v>
      </c>
      <c r="K96" s="22">
        <f t="shared" si="60"/>
        <v>3.8666717582503111E-2</v>
      </c>
      <c r="L96" s="22">
        <f t="shared" si="61"/>
        <v>6.561624801879315E-3</v>
      </c>
      <c r="M96" s="226">
        <f t="shared" si="62"/>
        <v>-4.2474033181668473E-3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-2.8316022121112311E-2</v>
      </c>
      <c r="K97" s="22">
        <f t="shared" si="60"/>
        <v>0.25777811721668742</v>
      </c>
      <c r="L97" s="22">
        <f t="shared" si="61"/>
        <v>4.3744165345862104E-2</v>
      </c>
      <c r="M97" s="226">
        <f t="shared" si="62"/>
        <v>-2.8316022121112311E-2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-1.2742209954500542E-2</v>
      </c>
      <c r="K98" s="22">
        <f t="shared" si="60"/>
        <v>0.11600015274750934</v>
      </c>
      <c r="L98" s="22">
        <f t="shared" si="61"/>
        <v>1.9684874405637948E-2</v>
      </c>
      <c r="M98" s="226">
        <f t="shared" si="62"/>
        <v>-1.2742209954500542E-2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-2.4776519355973279E-3</v>
      </c>
      <c r="K99" s="22">
        <f t="shared" si="60"/>
        <v>2.2555585256460151E-2</v>
      </c>
      <c r="L99" s="22">
        <f t="shared" si="61"/>
        <v>3.8276144677629343E-3</v>
      </c>
      <c r="M99" s="226">
        <f t="shared" si="62"/>
        <v>-2.4776519355973279E-3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0.16969696969696968</v>
      </c>
      <c r="I100" s="22">
        <f t="shared" si="58"/>
        <v>1.7497666138344841E-2</v>
      </c>
      <c r="J100" s="24">
        <f t="shared" si="59"/>
        <v>1.7497666138344841E-2</v>
      </c>
      <c r="K100" s="22">
        <f t="shared" si="60"/>
        <v>0.10311124688667497</v>
      </c>
      <c r="L100" s="22">
        <f t="shared" si="61"/>
        <v>1.7497666138344841E-2</v>
      </c>
      <c r="M100" s="226">
        <f t="shared" si="62"/>
        <v>1.7497666138344841E-2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0.33636363636363642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0.33636363636363642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0.28606060606060607</v>
      </c>
      <c r="I106" s="22">
        <f t="shared" si="58"/>
        <v>1.5485434532435187</v>
      </c>
      <c r="J106" s="24">
        <f t="shared" si="59"/>
        <v>1.5485434532435187</v>
      </c>
      <c r="K106" s="22">
        <f t="shared" si="60"/>
        <v>5.4133404615504359</v>
      </c>
      <c r="L106" s="22">
        <f t="shared" si="61"/>
        <v>1.5485434532435187</v>
      </c>
      <c r="M106" s="226">
        <f t="shared" si="62"/>
        <v>1.5485434532435187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0.42909090909090908</v>
      </c>
      <c r="I107" s="22">
        <f t="shared" si="58"/>
        <v>1.990984439884524</v>
      </c>
      <c r="J107" s="24">
        <f t="shared" si="59"/>
        <v>1.990984439884524</v>
      </c>
      <c r="K107" s="22">
        <f t="shared" si="60"/>
        <v>4.6400061099003738</v>
      </c>
      <c r="L107" s="22">
        <f t="shared" si="61"/>
        <v>1.990984439884524</v>
      </c>
      <c r="M107" s="226">
        <f t="shared" si="62"/>
        <v>1.990984439884524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9.9696347724440582E-2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9.9696347724440582E-2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0.7151515151515152</v>
      </c>
      <c r="I110" s="22">
        <f t="shared" si="58"/>
        <v>0.70237506629259605</v>
      </c>
      <c r="J110" s="24">
        <f t="shared" si="59"/>
        <v>0.70237506629259605</v>
      </c>
      <c r="K110" s="22">
        <f t="shared" si="60"/>
        <v>0.98213462659557915</v>
      </c>
      <c r="L110" s="22">
        <f t="shared" si="61"/>
        <v>0.70237506629259605</v>
      </c>
      <c r="M110" s="226">
        <f t="shared" si="62"/>
        <v>0.70237506629259605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4.8586566335068078</v>
      </c>
      <c r="J119" s="24">
        <f>SUM(J91:J118)</f>
        <v>4.8454441753277955</v>
      </c>
      <c r="K119" s="22">
        <f>SUM(K91:K118)</f>
        <v>13.017150474149673</v>
      </c>
      <c r="L119" s="22">
        <f>SUM(L91:L118)</f>
        <v>4.87906797351551</v>
      </c>
      <c r="M119" s="57">
        <f t="shared" si="49"/>
        <v>4.8454441753277955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0.57077888908412167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0.84001501631808573</v>
      </c>
      <c r="M126" s="57">
        <f t="shared" si="65"/>
        <v>0.57077888908412167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2.5622197137298519</v>
      </c>
      <c r="J128" s="227">
        <f>(J30)</f>
        <v>0.39478123538818655</v>
      </c>
      <c r="K128" s="22">
        <f>(B128)</f>
        <v>0.63544987546699883</v>
      </c>
      <c r="L128" s="22">
        <f>IF(L124=L119,0,(L119-L124)/(B119-B124)*K128)</f>
        <v>0.15916890634193642</v>
      </c>
      <c r="M128" s="57">
        <f t="shared" si="63"/>
        <v>0.39478123538818655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4.8586566335068078</v>
      </c>
      <c r="J130" s="227">
        <f>(J119)</f>
        <v>4.8454441753277955</v>
      </c>
      <c r="K130" s="22">
        <f>(B130)</f>
        <v>13.017150474149673</v>
      </c>
      <c r="L130" s="22">
        <f>(L119)</f>
        <v>4.87906797351551</v>
      </c>
      <c r="M130" s="57">
        <f t="shared" si="63"/>
        <v>4.8454441753277955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0.74343211476044591</v>
      </c>
      <c r="M131" s="236">
        <f>IF(I131&lt;SUM(M126:M127),0,I131-(SUM(M126:M127)))</f>
        <v>1.01266824199441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1.930650346913361E-2</v>
      </c>
      <c r="J6" s="24">
        <f t="shared" ref="J6:J13" si="3">IF(I$32&lt;=1+I$131,I6,B6*H6+J$33*(I6-B6*H6))</f>
        <v>1.930650346913361E-2</v>
      </c>
      <c r="K6" s="22">
        <f t="shared" ref="K6:K31" si="4">B6</f>
        <v>9.6532517345668034E-2</v>
      </c>
      <c r="L6" s="22">
        <f t="shared" ref="L6:L29" si="5">IF(K6="","",K6*H6)</f>
        <v>1.930650346913361E-2</v>
      </c>
      <c r="M6" s="177">
        <f t="shared" ref="M6:M31" si="6">J6</f>
        <v>1.930650346913361E-2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7.7226013876534438E-2</v>
      </c>
      <c r="Z6" s="156">
        <f>Poor!Z6</f>
        <v>0.17</v>
      </c>
      <c r="AA6" s="121">
        <f>$M6*Z6*4</f>
        <v>1.3128422359010855E-2</v>
      </c>
      <c r="AB6" s="156">
        <f>Poor!AB6</f>
        <v>0.17</v>
      </c>
      <c r="AC6" s="121">
        <f t="shared" ref="AC6:AC29" si="7">$M6*AB6*4</f>
        <v>1.3128422359010855E-2</v>
      </c>
      <c r="AD6" s="156">
        <f>Poor!AD6</f>
        <v>0.33</v>
      </c>
      <c r="AE6" s="121">
        <f t="shared" ref="AE6:AE29" si="8">$M6*AD6*4</f>
        <v>2.5484584579256366E-2</v>
      </c>
      <c r="AF6" s="122">
        <f>1-SUM(Z6,AB6,AD6)</f>
        <v>0.32999999999999996</v>
      </c>
      <c r="AG6" s="121">
        <f>$M6*AF6*4</f>
        <v>2.5484584579256363E-2</v>
      </c>
      <c r="AH6" s="123">
        <f>SUM(Z6,AB6,AD6,AF6)</f>
        <v>1</v>
      </c>
      <c r="AI6" s="183">
        <f>SUM(AA6,AC6,AE6,AG6)/4</f>
        <v>1.930650346913361E-2</v>
      </c>
      <c r="AJ6" s="120">
        <f>(AA6+AC6)/2</f>
        <v>1.3128422359010855E-2</v>
      </c>
      <c r="AK6" s="119">
        <f>(AE6+AG6)/2</f>
        <v>2.5484584579256363E-2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1.2871002312755734E-2</v>
      </c>
      <c r="J7" s="24">
        <f t="shared" si="3"/>
        <v>1.2871002312755734E-2</v>
      </c>
      <c r="K7" s="22">
        <f t="shared" si="4"/>
        <v>6.4355011563778666E-2</v>
      </c>
      <c r="L7" s="22">
        <f t="shared" si="5"/>
        <v>1.2871002312755734E-2</v>
      </c>
      <c r="M7" s="177">
        <f t="shared" si="6"/>
        <v>1.2871002312755734E-2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1529.6174712113277</v>
      </c>
      <c r="T7" s="221">
        <f>IF($B$81=0,0,(SUMIF($N$6:$N$28,$U7,M$6:M$28)+SUMIF($N$91:$N$118,$U7,M$91:M$118))*$I$83*Poor!$B$81/$B$81)</f>
        <v>3309.0798541097352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5.1484009251022936E-2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5.1484009251022936E-2</v>
      </c>
      <c r="AH7" s="123">
        <f t="shared" ref="AH7:AH30" si="12">SUM(Z7,AB7,AD7,AF7)</f>
        <v>1</v>
      </c>
      <c r="AI7" s="183">
        <f t="shared" ref="AI7:AI30" si="13">SUM(AA7,AC7,AE7,AG7)/4</f>
        <v>1.2871002312755734E-2</v>
      </c>
      <c r="AJ7" s="120">
        <f t="shared" ref="AJ7:AJ31" si="14">(AA7+AC7)/2</f>
        <v>0</v>
      </c>
      <c r="AK7" s="119">
        <f t="shared" ref="AK7:AK31" si="15">(AE7+AG7)/2</f>
        <v>2.5742004625511468E-2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1.1452063689734922E-2</v>
      </c>
      <c r="J8" s="24">
        <f t="shared" si="3"/>
        <v>1.1452063689734922E-2</v>
      </c>
      <c r="K8" s="22">
        <f t="shared" si="4"/>
        <v>5.7260318448674609E-2</v>
      </c>
      <c r="L8" s="22">
        <f t="shared" si="5"/>
        <v>1.1452063689734922E-2</v>
      </c>
      <c r="M8" s="223">
        <f t="shared" si="6"/>
        <v>1.1452063689734922E-2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4707.2</v>
      </c>
      <c r="T8" s="221">
        <f>IF($B$81=0,0,(SUMIF($N$6:$N$28,$U8,M$6:M$28)+SUMIF($N$91:$N$118,$U8,M$91:M$118))*$I$83*Poor!$B$81/$B$81)</f>
        <v>2677.623835922579</v>
      </c>
      <c r="U8" s="222">
        <v>2</v>
      </c>
      <c r="V8" s="56"/>
      <c r="W8" s="115"/>
      <c r="X8" s="118">
        <f>Poor!X8</f>
        <v>1</v>
      </c>
      <c r="Y8" s="183">
        <f t="shared" si="9"/>
        <v>4.5808254758939689E-2</v>
      </c>
      <c r="Z8" s="125">
        <f>IF($Y8=0,0,AA8/$Y8)</f>
        <v>0.78657184469641239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3.6031483448062403E-2</v>
      </c>
      <c r="AB8" s="125">
        <f>IF($Y8=0,0,AC8/$Y8)</f>
        <v>0.21342815530358761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9.7767713108772858E-3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1.1452063689734922E-2</v>
      </c>
      <c r="AJ8" s="120">
        <f t="shared" si="14"/>
        <v>2.2904127379469844E-2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558.53297716242139</v>
      </c>
      <c r="T9" s="221">
        <f>IF($B$81=0,0,(SUMIF($N$6:$N$28,$U9,M$6:M$28)+SUMIF($N$91:$N$118,$U9,M$91:M$118))*$I$83*Poor!$B$81/$B$81)</f>
        <v>558.53297716242139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0.3</v>
      </c>
      <c r="H10" s="24">
        <f t="shared" si="1"/>
        <v>0.3</v>
      </c>
      <c r="I10" s="22">
        <f t="shared" si="2"/>
        <v>0.19467390998043049</v>
      </c>
      <c r="J10" s="24">
        <f t="shared" si="3"/>
        <v>0.10641550388753104</v>
      </c>
      <c r="K10" s="22">
        <f t="shared" si="4"/>
        <v>0.10815217221135029</v>
      </c>
      <c r="L10" s="22">
        <f t="shared" si="5"/>
        <v>3.2445651663405087E-2</v>
      </c>
      <c r="M10" s="223">
        <f t="shared" si="6"/>
        <v>0.10641550388753104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0.42566201555012417</v>
      </c>
      <c r="Z10" s="125">
        <f>IF($Y10=0,0,AA10/$Y10)</f>
        <v>0.78657184469641228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0.3348137567884541</v>
      </c>
      <c r="AB10" s="125">
        <f>IF($Y10=0,0,AC10/$Y10)</f>
        <v>0.21342815530358772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9.0848258761670075E-2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0.10641550388753104</v>
      </c>
      <c r="AJ10" s="120">
        <f t="shared" si="14"/>
        <v>0.21283100777506209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8.2134713464002557E-2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8.2134713464002557E-2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16958.285714285717</v>
      </c>
      <c r="T11" s="221">
        <f>IF($B$81=0,0,(SUMIF($N$6:$N$28,$U11,M$6:M$28)+SUMIF($N$91:$N$118,$U11,M$91:M$118))*$I$83*Poor!$B$81/$B$81)</f>
        <v>16727.69943190812</v>
      </c>
      <c r="U11" s="222">
        <v>5</v>
      </c>
      <c r="V11" s="56"/>
      <c r="W11" s="115"/>
      <c r="X11" s="118">
        <f>Poor!X11</f>
        <v>1</v>
      </c>
      <c r="Y11" s="183">
        <f t="shared" si="9"/>
        <v>0.32853885385601023</v>
      </c>
      <c r="Z11" s="125">
        <f>IF($Y11=0,0,AA11/$Y11)</f>
        <v>0.7865718446964125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0.25841941233196702</v>
      </c>
      <c r="AB11" s="125">
        <f>IF($Y11=0,0,AC11/$Y11)</f>
        <v>0.21342815530358755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7.0119441524043202E-2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8.2134713464002557E-2</v>
      </c>
      <c r="AJ11" s="120">
        <f t="shared" si="14"/>
        <v>0.16426942692800511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0.2</v>
      </c>
      <c r="H12" s="24">
        <f t="shared" si="1"/>
        <v>0.2</v>
      </c>
      <c r="I12" s="22">
        <f t="shared" si="2"/>
        <v>5.6980999822095714E-3</v>
      </c>
      <c r="J12" s="24">
        <f t="shared" si="3"/>
        <v>5.6980999822095714E-3</v>
      </c>
      <c r="K12" s="22">
        <f t="shared" si="4"/>
        <v>2.8490499911047854E-2</v>
      </c>
      <c r="L12" s="22">
        <f t="shared" si="5"/>
        <v>5.6980999822095714E-3</v>
      </c>
      <c r="M12" s="223">
        <f t="shared" si="6"/>
        <v>5.6980999822095714E-3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2.2792399928838285E-2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1.5270907952321652E-2</v>
      </c>
      <c r="AF12" s="122">
        <f>1-SUM(Z12,AB12,AD12)</f>
        <v>0.32999999999999996</v>
      </c>
      <c r="AG12" s="121">
        <f>$M12*AF12*4</f>
        <v>7.5214919765166331E-3</v>
      </c>
      <c r="AH12" s="123">
        <f t="shared" si="12"/>
        <v>1</v>
      </c>
      <c r="AI12" s="183">
        <f t="shared" si="13"/>
        <v>5.6980999822095714E-3</v>
      </c>
      <c r="AJ12" s="120">
        <f t="shared" si="14"/>
        <v>0</v>
      </c>
      <c r="AK12" s="119">
        <f t="shared" si="15"/>
        <v>1.1396199964419143E-2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0.2</v>
      </c>
      <c r="H13" s="24">
        <f t="shared" si="1"/>
        <v>0.2</v>
      </c>
      <c r="I13" s="22">
        <f t="shared" si="2"/>
        <v>3.0300484611279134E-2</v>
      </c>
      <c r="J13" s="24">
        <f t="shared" si="3"/>
        <v>1.3815856696406999E-2</v>
      </c>
      <c r="K13" s="22">
        <f t="shared" si="4"/>
        <v>0</v>
      </c>
      <c r="L13" s="22">
        <f t="shared" si="5"/>
        <v>0</v>
      </c>
      <c r="M13" s="224">
        <f t="shared" si="6"/>
        <v>1.3815856696406999E-2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5.5263426785627998E-2</v>
      </c>
      <c r="Z13" s="156">
        <f>Poor!Z13</f>
        <v>1</v>
      </c>
      <c r="AA13" s="121">
        <f>$M13*Z13*4</f>
        <v>5.5263426785627998E-2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1.3815856696406999E-2</v>
      </c>
      <c r="AJ13" s="120">
        <f t="shared" si="14"/>
        <v>2.7631713392813999E-2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2.5526952499555244E-3</v>
      </c>
      <c r="J14" s="24">
        <f>IF(I$32&lt;=1+I131,I14,B14*H14+J$33*(I14-B14*H14))</f>
        <v>2.5526952499555244E-3</v>
      </c>
      <c r="K14" s="22">
        <f t="shared" si="4"/>
        <v>1.2763476249777621E-2</v>
      </c>
      <c r="L14" s="22">
        <f t="shared" si="5"/>
        <v>2.5526952499555244E-3</v>
      </c>
      <c r="M14" s="224">
        <f t="shared" si="6"/>
        <v>2.5526952499555244E-3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139172.57142857142</v>
      </c>
      <c r="T14" s="221">
        <f>IF($B$81=0,0,(SUMIF($N$6:$N$28,$U14,M$6:M$28)+SUMIF($N$91:$N$118,$U14,M$91:M$118))*$I$83*Poor!$B$81/$B$81)</f>
        <v>139172.57142857142</v>
      </c>
      <c r="U14" s="222">
        <v>8</v>
      </c>
      <c r="V14" s="56"/>
      <c r="W14" s="110"/>
      <c r="X14" s="118"/>
      <c r="Y14" s="183">
        <f>M14*4</f>
        <v>1.0210780999822098E-2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1.0210780999822098E-2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2.5526952499555244E-3</v>
      </c>
      <c r="AJ14" s="120">
        <f t="shared" si="14"/>
        <v>5.1053904999110488E-3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0.2</v>
      </c>
      <c r="F15" s="22"/>
      <c r="H15" s="24">
        <f t="shared" si="1"/>
        <v>0.2</v>
      </c>
      <c r="I15" s="22">
        <f t="shared" si="2"/>
        <v>5.0947717487991463E-2</v>
      </c>
      <c r="J15" s="24">
        <f>IF(I$32&lt;=1+I131,I15,B15*H15+J$33*(I15-B15*H15))</f>
        <v>2.7849787518775343E-2</v>
      </c>
      <c r="K15" s="22">
        <f t="shared" si="4"/>
        <v>4.2456431239992889E-2</v>
      </c>
      <c r="L15" s="22">
        <f t="shared" si="5"/>
        <v>8.4912862479985789E-3</v>
      </c>
      <c r="M15" s="225">
        <f t="shared" si="6"/>
        <v>2.7849787518775343E-2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0.11139915007510137</v>
      </c>
      <c r="Z15" s="156">
        <f>Poor!Z15</f>
        <v>0.25</v>
      </c>
      <c r="AA15" s="121">
        <f t="shared" si="16"/>
        <v>2.7849787518775343E-2</v>
      </c>
      <c r="AB15" s="156">
        <f>Poor!AB15</f>
        <v>0.25</v>
      </c>
      <c r="AC15" s="121">
        <f t="shared" si="7"/>
        <v>2.7849787518775343E-2</v>
      </c>
      <c r="AD15" s="156">
        <f>Poor!AD15</f>
        <v>0.25</v>
      </c>
      <c r="AE15" s="121">
        <f t="shared" si="8"/>
        <v>2.7849787518775343E-2</v>
      </c>
      <c r="AF15" s="122">
        <f t="shared" si="10"/>
        <v>0.25</v>
      </c>
      <c r="AG15" s="121">
        <f t="shared" si="11"/>
        <v>2.7849787518775343E-2</v>
      </c>
      <c r="AH15" s="123">
        <f t="shared" si="12"/>
        <v>1</v>
      </c>
      <c r="AI15" s="183">
        <f t="shared" si="13"/>
        <v>2.7849787518775343E-2</v>
      </c>
      <c r="AJ15" s="120">
        <f t="shared" si="14"/>
        <v>2.7849787518775343E-2</v>
      </c>
      <c r="AK15" s="119">
        <f t="shared" si="15"/>
        <v>2.7849787518775343E-2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0.2</v>
      </c>
      <c r="F16" s="22"/>
      <c r="H16" s="24">
        <f t="shared" si="1"/>
        <v>0.2</v>
      </c>
      <c r="I16" s="22">
        <f t="shared" si="2"/>
        <v>2.0601316491727448E-2</v>
      </c>
      <c r="J16" s="24">
        <f>IF(I$32&lt;=1+I131,I16,B16*H16+J$33*(I16-B16*H16))</f>
        <v>1.4997362606510866E-2</v>
      </c>
      <c r="K16" s="22">
        <f t="shared" si="4"/>
        <v>5.1503291229318619E-2</v>
      </c>
      <c r="L16" s="22">
        <f t="shared" si="5"/>
        <v>1.0300658245863724E-2</v>
      </c>
      <c r="M16" s="223">
        <f t="shared" si="6"/>
        <v>1.4997362606510866E-2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5.9989450426043464E-2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5.9989450426043464E-2</v>
      </c>
      <c r="AH16" s="123">
        <f t="shared" si="12"/>
        <v>1</v>
      </c>
      <c r="AI16" s="183">
        <f t="shared" si="13"/>
        <v>1.4997362606510866E-2</v>
      </c>
      <c r="AJ16" s="120">
        <f t="shared" si="14"/>
        <v>0</v>
      </c>
      <c r="AK16" s="119">
        <f t="shared" si="15"/>
        <v>2.9994725213021732E-2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5.3638142679238573E-3</v>
      </c>
      <c r="J17" s="24">
        <f t="shared" ref="J17:J25" si="17">IF(I$32&lt;=1+I131,I17,B17*H17+J$33*(I17-B17*H17))</f>
        <v>5.0233668103893264E-3</v>
      </c>
      <c r="K17" s="22">
        <f t="shared" si="4"/>
        <v>2.369017968333037E-2</v>
      </c>
      <c r="L17" s="22">
        <f t="shared" si="5"/>
        <v>4.7380359366660744E-3</v>
      </c>
      <c r="M17" s="224">
        <f t="shared" si="6"/>
        <v>5.0233668103893264E-3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2.0093467241557306E-2</v>
      </c>
      <c r="Z17" s="156">
        <f>Poor!Z17</f>
        <v>0.29409999999999997</v>
      </c>
      <c r="AA17" s="121">
        <f t="shared" si="16"/>
        <v>5.9094887157420031E-3</v>
      </c>
      <c r="AB17" s="156">
        <f>Poor!AB17</f>
        <v>0.17649999999999999</v>
      </c>
      <c r="AC17" s="121">
        <f t="shared" si="7"/>
        <v>3.5464969681348641E-3</v>
      </c>
      <c r="AD17" s="156">
        <f>Poor!AD17</f>
        <v>0.23530000000000001</v>
      </c>
      <c r="AE17" s="121">
        <f t="shared" si="8"/>
        <v>4.7279928419384342E-3</v>
      </c>
      <c r="AF17" s="122">
        <f t="shared" si="10"/>
        <v>0.29410000000000003</v>
      </c>
      <c r="AG17" s="121">
        <f t="shared" si="11"/>
        <v>5.9094887157420039E-3</v>
      </c>
      <c r="AH17" s="123">
        <f t="shared" si="12"/>
        <v>1</v>
      </c>
      <c r="AI17" s="183">
        <f t="shared" si="13"/>
        <v>5.0233668103893264E-3</v>
      </c>
      <c r="AJ17" s="120">
        <f t="shared" si="14"/>
        <v>4.7279928419384333E-3</v>
      </c>
      <c r="AK17" s="119">
        <f t="shared" si="15"/>
        <v>5.3187407788402186E-3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10276.114285714286</v>
      </c>
      <c r="T20" s="221">
        <f>IF($B$81=0,0,(SUMIF($N$6:$N$28,$U20,M$6:M$28)+SUMIF($N$91:$N$118,$U20,M$91:M$118))*$I$83*Poor!$B$81/$B$81)</f>
        <v>10276.114285714286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173202.32187694518</v>
      </c>
      <c r="T23" s="179">
        <f>SUM(T7:T22)</f>
        <v>172721.62181338857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1.155634013635337E-2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1.155634013635337E-2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4.6225360545413478E-2</v>
      </c>
      <c r="Z27" s="156">
        <f>Poor!Z27</f>
        <v>0.25</v>
      </c>
      <c r="AA27" s="121">
        <f t="shared" si="16"/>
        <v>1.155634013635337E-2</v>
      </c>
      <c r="AB27" s="156">
        <f>Poor!AB27</f>
        <v>0.25</v>
      </c>
      <c r="AC27" s="121">
        <f t="shared" si="7"/>
        <v>1.155634013635337E-2</v>
      </c>
      <c r="AD27" s="156">
        <f>Poor!AD27</f>
        <v>0.25</v>
      </c>
      <c r="AE27" s="121">
        <f t="shared" si="8"/>
        <v>1.155634013635337E-2</v>
      </c>
      <c r="AF27" s="122">
        <f t="shared" si="10"/>
        <v>0.25</v>
      </c>
      <c r="AG27" s="121">
        <f t="shared" si="11"/>
        <v>1.155634013635337E-2</v>
      </c>
      <c r="AH27" s="123">
        <f t="shared" si="12"/>
        <v>1</v>
      </c>
      <c r="AI27" s="183">
        <f t="shared" si="13"/>
        <v>1.155634013635337E-2</v>
      </c>
      <c r="AJ27" s="120">
        <f t="shared" si="14"/>
        <v>1.155634013635337E-2</v>
      </c>
      <c r="AK27" s="119">
        <f t="shared" si="15"/>
        <v>1.155634013635337E-2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0.2570278819160069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0.2570278819160069</v>
      </c>
      <c r="N29" s="228"/>
      <c r="P29" s="22"/>
      <c r="V29" s="56"/>
      <c r="W29" s="110"/>
      <c r="X29" s="118"/>
      <c r="Y29" s="183">
        <f t="shared" si="9"/>
        <v>1.0281115276640276</v>
      </c>
      <c r="Z29" s="156">
        <f>Poor!Z29</f>
        <v>0.25</v>
      </c>
      <c r="AA29" s="121">
        <f t="shared" si="16"/>
        <v>0.2570278819160069</v>
      </c>
      <c r="AB29" s="156">
        <f>Poor!AB29</f>
        <v>0.25</v>
      </c>
      <c r="AC29" s="121">
        <f t="shared" si="7"/>
        <v>0.2570278819160069</v>
      </c>
      <c r="AD29" s="156">
        <f>Poor!AD29</f>
        <v>0.25</v>
      </c>
      <c r="AE29" s="121">
        <f t="shared" si="8"/>
        <v>0.2570278819160069</v>
      </c>
      <c r="AF29" s="122">
        <f t="shared" si="10"/>
        <v>0.25</v>
      </c>
      <c r="AG29" s="121">
        <f t="shared" si="11"/>
        <v>0.2570278819160069</v>
      </c>
      <c r="AH29" s="123">
        <f t="shared" si="12"/>
        <v>1</v>
      </c>
      <c r="AI29" s="183">
        <f t="shared" si="13"/>
        <v>0.2570278819160069</v>
      </c>
      <c r="AJ29" s="120">
        <f t="shared" si="14"/>
        <v>0.2570278819160069</v>
      </c>
      <c r="AK29" s="119">
        <f t="shared" si="15"/>
        <v>0.2570278819160069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10.682867597851743</v>
      </c>
      <c r="J30" s="230">
        <f>IF(I$32&lt;=1,I30,1-SUM(J6:J29))</f>
        <v>0.42929882226023419</v>
      </c>
      <c r="K30" s="22">
        <f t="shared" si="4"/>
        <v>0.64712539405799685</v>
      </c>
      <c r="L30" s="22">
        <f>IF(L124=L119,0,IF(K30="",0,(L119-L124)/(B119-B124)*K30))</f>
        <v>0.22910798490593057</v>
      </c>
      <c r="M30" s="175">
        <f t="shared" si="6"/>
        <v>0.42929882226023419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1.7171952890409368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0.294629167535088</v>
      </c>
      <c r="AC30" s="187">
        <f>IF(AC79*4/$I$83+SUM(AC6:AC29)&lt;1,AC79*4/$I$83,1-SUM(AC6:AC29))</f>
        <v>0.505935818505306</v>
      </c>
      <c r="AD30" s="122">
        <f>IF($Y30=0,0,AE30/($Y$30))</f>
        <v>0.38323102168705037</v>
      </c>
      <c r="AE30" s="187">
        <f>IF(AE79*4/$I$83+SUM(AE6:AE29)&lt;1,AE79*4/$I$83,1-SUM(AE6:AE29))</f>
        <v>0.65808250505534793</v>
      </c>
      <c r="AF30" s="122">
        <f>IF($Y30=0,0,AG30/($Y$30))</f>
        <v>0.32213981077786175</v>
      </c>
      <c r="AG30" s="187">
        <f>IF(AG79*4/$I$83+SUM(AG6:AG29)&lt;1,AG79*4/$I$83,1-SUM(AG6:AG29))</f>
        <v>0.55317696548028295</v>
      </c>
      <c r="AH30" s="123">
        <f t="shared" si="12"/>
        <v>1</v>
      </c>
      <c r="AI30" s="183">
        <f t="shared" si="13"/>
        <v>0.42929882226023419</v>
      </c>
      <c r="AJ30" s="120">
        <f t="shared" si="14"/>
        <v>0.252967909252653</v>
      </c>
      <c r="AK30" s="119">
        <f t="shared" si="15"/>
        <v>0.60562973526781549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0.30236019944738735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11.375473913681304</v>
      </c>
      <c r="J32" s="17"/>
      <c r="L32" s="22">
        <f>SUM(L6:L30)</f>
        <v>0.69763980055261265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0.45596157532292891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2891</v>
      </c>
      <c r="J37" s="38">
        <f>J91*I$83</f>
        <v>2891</v>
      </c>
      <c r="K37" s="40">
        <f t="shared" ref="K37:K52" si="28">(B37/B$65)</f>
        <v>2.1244770101237834E-2</v>
      </c>
      <c r="L37" s="22">
        <f t="shared" ref="L37:L52" si="29">(K37*H37)</f>
        <v>1.2534414359730321E-2</v>
      </c>
      <c r="M37" s="24">
        <f t="shared" ref="M37:M52" si="30">J37/B$65</f>
        <v>1.2534414359730321E-2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3.0649745385784998E-3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8.8608413910304424</v>
      </c>
      <c r="AB37" s="122">
        <f>IF($J37=0,0,AC37/($J37))</f>
        <v>0.1730127487598962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500.17985666485993</v>
      </c>
      <c r="AD37" s="122">
        <f>IF($J37=0,0,AE37/($J37))</f>
        <v>0.21273528525239102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615.01770966466245</v>
      </c>
      <c r="AF37" s="122">
        <f t="shared" ref="AF37:AF64" si="31">1-SUM(Z37,AB37,AD37)</f>
        <v>0.61118699144913424</v>
      </c>
      <c r="AG37" s="147">
        <f>$J37*AF37</f>
        <v>1766.9415922794471</v>
      </c>
      <c r="AH37" s="123">
        <f>SUM(Z37,AB37,AD37,AF37)</f>
        <v>1</v>
      </c>
      <c r="AI37" s="112">
        <f>SUM(AA37,AC37,AE37,AG37)</f>
        <v>2891</v>
      </c>
      <c r="AJ37" s="148">
        <f>(AA37+AC37)</f>
        <v>509.04069805589035</v>
      </c>
      <c r="AK37" s="147">
        <f>(AE37+AG37)</f>
        <v>2381.9593019441095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10620</v>
      </c>
      <c r="J38" s="38">
        <f t="shared" ref="J38:J64" si="33">J92*I$83</f>
        <v>10620.000000000002</v>
      </c>
      <c r="K38" s="40">
        <f t="shared" si="28"/>
        <v>7.8042012616792042E-2</v>
      </c>
      <c r="L38" s="22">
        <f t="shared" si="29"/>
        <v>4.6044787443907303E-2</v>
      </c>
      <c r="M38" s="24">
        <f t="shared" si="30"/>
        <v>4.604478744390731E-2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3.0649745385784993E-3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32.55002959970367</v>
      </c>
      <c r="AB38" s="122">
        <f>IF($J38=0,0,AC38/($J38))</f>
        <v>0.17301274875989622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1837.3953918300981</v>
      </c>
      <c r="AD38" s="122">
        <f>IF($J38=0,0,AE38/($J38))</f>
        <v>0.21273528525239102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2259.2487293803929</v>
      </c>
      <c r="AF38" s="122">
        <f t="shared" si="31"/>
        <v>0.61118699144913424</v>
      </c>
      <c r="AG38" s="147">
        <f t="shared" ref="AG38:AG64" si="34">$J38*AF38</f>
        <v>6490.8058491898064</v>
      </c>
      <c r="AH38" s="123">
        <f t="shared" ref="AH38:AI58" si="35">SUM(Z38,AB38,AD38,AF38)</f>
        <v>1</v>
      </c>
      <c r="AI38" s="112">
        <f t="shared" si="35"/>
        <v>10620</v>
      </c>
      <c r="AJ38" s="148">
        <f t="shared" ref="AJ38:AJ64" si="36">(AA38+AC38)</f>
        <v>1869.9454214298019</v>
      </c>
      <c r="AK38" s="147">
        <f t="shared" ref="AK38:AK64" si="37">(AE38+AG38)</f>
        <v>8750.0545785701997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885</v>
      </c>
      <c r="J39" s="38">
        <f t="shared" si="33"/>
        <v>1125.737002919604</v>
      </c>
      <c r="K39" s="40">
        <f t="shared" si="28"/>
        <v>9.7552515770990052E-3</v>
      </c>
      <c r="L39" s="22">
        <f t="shared" si="29"/>
        <v>5.7555984304884129E-3</v>
      </c>
      <c r="M39" s="24">
        <f t="shared" si="30"/>
        <v>4.8808211880578553E-3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0.78657184469641239</v>
      </c>
      <c r="AA39" s="147">
        <f>$J39*Z39</f>
        <v>885.47303102948354</v>
      </c>
      <c r="AB39" s="122">
        <f>AB8</f>
        <v>0.21342815530358761</v>
      </c>
      <c r="AC39" s="147">
        <f>$J39*AB39</f>
        <v>240.2639718901205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1125.737002919604</v>
      </c>
      <c r="AJ39" s="148">
        <f t="shared" si="36"/>
        <v>1125.737002919604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685.48841509310967</v>
      </c>
      <c r="K40" s="40">
        <f t="shared" si="28"/>
        <v>1.3007002102798672E-2</v>
      </c>
      <c r="L40" s="22">
        <f t="shared" si="29"/>
        <v>5.462940883175442E-3</v>
      </c>
      <c r="M40" s="24">
        <f t="shared" si="30"/>
        <v>2.9720497521867357E-3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685.48841509310967</v>
      </c>
      <c r="AH40" s="123">
        <f t="shared" si="35"/>
        <v>1</v>
      </c>
      <c r="AI40" s="112">
        <f t="shared" si="35"/>
        <v>685.48841509310967</v>
      </c>
      <c r="AJ40" s="148">
        <f t="shared" si="36"/>
        <v>0</v>
      </c>
      <c r="AK40" s="147">
        <f t="shared" si="37"/>
        <v>685.48841509310967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249.06079081716314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1.0798447432945138E-3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0.7865718446964125</v>
      </c>
      <c r="AA41" s="147">
        <f>$J41*Z41</f>
        <v>195.90420567460333</v>
      </c>
      <c r="AB41" s="122">
        <f>AB11</f>
        <v>0.21342815530358755</v>
      </c>
      <c r="AC41" s="147">
        <f>$J41*AB41</f>
        <v>53.156585142559827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249.06079081716317</v>
      </c>
      <c r="AJ41" s="148">
        <f t="shared" si="36"/>
        <v>249.06079081716317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365.59382138299173</v>
      </c>
      <c r="K42" s="40">
        <f t="shared" si="28"/>
        <v>1.0405601682238939E-2</v>
      </c>
      <c r="L42" s="22">
        <f t="shared" si="29"/>
        <v>2.9135684710269029E-3</v>
      </c>
      <c r="M42" s="24">
        <f t="shared" si="30"/>
        <v>1.5850932011662587E-3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91.398455345747934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182.79691069149587</v>
      </c>
      <c r="AF42" s="122">
        <f t="shared" si="31"/>
        <v>0.25</v>
      </c>
      <c r="AG42" s="147">
        <f t="shared" si="34"/>
        <v>91.398455345747934</v>
      </c>
      <c r="AH42" s="123">
        <f t="shared" si="35"/>
        <v>1</v>
      </c>
      <c r="AI42" s="112">
        <f t="shared" si="35"/>
        <v>365.59382138299173</v>
      </c>
      <c r="AJ42" s="148">
        <f t="shared" si="36"/>
        <v>91.398455345747934</v>
      </c>
      <c r="AK42" s="147">
        <f t="shared" si="37"/>
        <v>274.19536603724379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609.32303563831954</v>
      </c>
      <c r="K43" s="40">
        <f t="shared" si="28"/>
        <v>1.7342669470398232E-2</v>
      </c>
      <c r="L43" s="22">
        <f t="shared" si="29"/>
        <v>4.8559474517115044E-3</v>
      </c>
      <c r="M43" s="24">
        <f t="shared" si="30"/>
        <v>2.6418220019437644E-3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152.33075890957988</v>
      </c>
      <c r="AB43" s="156">
        <f>Poor!AB43</f>
        <v>0.25</v>
      </c>
      <c r="AC43" s="147">
        <f t="shared" si="39"/>
        <v>152.33075890957988</v>
      </c>
      <c r="AD43" s="156">
        <f>Poor!AD43</f>
        <v>0.25</v>
      </c>
      <c r="AE43" s="147">
        <f t="shared" si="40"/>
        <v>152.33075890957988</v>
      </c>
      <c r="AF43" s="122">
        <f t="shared" si="31"/>
        <v>0.25</v>
      </c>
      <c r="AG43" s="147">
        <f t="shared" si="34"/>
        <v>152.33075890957988</v>
      </c>
      <c r="AH43" s="123">
        <f t="shared" si="35"/>
        <v>1</v>
      </c>
      <c r="AI43" s="112">
        <f t="shared" si="35"/>
        <v>609.32303563831954</v>
      </c>
      <c r="AJ43" s="148">
        <f t="shared" si="36"/>
        <v>304.66151781915977</v>
      </c>
      <c r="AK43" s="147">
        <f t="shared" si="37"/>
        <v>304.66151781915977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182.79691069149587</v>
      </c>
      <c r="K44" s="40">
        <f t="shared" si="28"/>
        <v>5.2028008411194697E-3</v>
      </c>
      <c r="L44" s="22">
        <f t="shared" si="29"/>
        <v>1.4567842355134514E-3</v>
      </c>
      <c r="M44" s="24">
        <f t="shared" si="30"/>
        <v>7.9254660058312933E-4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45.699227672873967</v>
      </c>
      <c r="AB44" s="156">
        <f>Poor!AB44</f>
        <v>0.25</v>
      </c>
      <c r="AC44" s="147">
        <f t="shared" si="39"/>
        <v>45.699227672873967</v>
      </c>
      <c r="AD44" s="156">
        <f>Poor!AD44</f>
        <v>0.25</v>
      </c>
      <c r="AE44" s="147">
        <f t="shared" si="40"/>
        <v>45.699227672873967</v>
      </c>
      <c r="AF44" s="122">
        <f t="shared" si="31"/>
        <v>0.25</v>
      </c>
      <c r="AG44" s="147">
        <f t="shared" si="34"/>
        <v>45.699227672873967</v>
      </c>
      <c r="AH44" s="123">
        <f t="shared" si="35"/>
        <v>1</v>
      </c>
      <c r="AI44" s="112">
        <f t="shared" si="35"/>
        <v>182.79691069149587</v>
      </c>
      <c r="AJ44" s="148">
        <f t="shared" si="36"/>
        <v>91.398455345747934</v>
      </c>
      <c r="AK44" s="147">
        <f t="shared" si="37"/>
        <v>91.398455345747934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26.657882809176478</v>
      </c>
      <c r="K45" s="40">
        <f t="shared" si="28"/>
        <v>7.5874178932992256E-4</v>
      </c>
      <c r="L45" s="22">
        <f t="shared" si="29"/>
        <v>2.1244770101237829E-4</v>
      </c>
      <c r="M45" s="24">
        <f t="shared" si="30"/>
        <v>1.1557971258503968E-4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6.6644707022941194</v>
      </c>
      <c r="AB45" s="156">
        <f>Poor!AB45</f>
        <v>0.25</v>
      </c>
      <c r="AC45" s="147">
        <f t="shared" si="39"/>
        <v>6.6644707022941194</v>
      </c>
      <c r="AD45" s="156">
        <f>Poor!AD45</f>
        <v>0.25</v>
      </c>
      <c r="AE45" s="147">
        <f t="shared" si="40"/>
        <v>6.6644707022941194</v>
      </c>
      <c r="AF45" s="122">
        <f t="shared" si="31"/>
        <v>0.25</v>
      </c>
      <c r="AG45" s="147">
        <f t="shared" si="34"/>
        <v>6.6644707022941194</v>
      </c>
      <c r="AH45" s="123">
        <f t="shared" si="35"/>
        <v>1</v>
      </c>
      <c r="AI45" s="112">
        <f t="shared" si="35"/>
        <v>26.657882809176478</v>
      </c>
      <c r="AJ45" s="148">
        <f t="shared" si="36"/>
        <v>13.328941404588239</v>
      </c>
      <c r="AK45" s="147">
        <f t="shared" si="37"/>
        <v>13.328941404588239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223.99999999999997</v>
      </c>
      <c r="K46" s="40">
        <f t="shared" si="28"/>
        <v>3.468533894079646E-3</v>
      </c>
      <c r="L46" s="22">
        <f t="shared" si="29"/>
        <v>9.7118949034230074E-4</v>
      </c>
      <c r="M46" s="24">
        <f t="shared" si="30"/>
        <v>9.7118949034230085E-4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55.999999999999993</v>
      </c>
      <c r="AB46" s="156">
        <f>Poor!AB46</f>
        <v>0.25</v>
      </c>
      <c r="AC46" s="147">
        <f t="shared" si="39"/>
        <v>55.999999999999993</v>
      </c>
      <c r="AD46" s="156">
        <f>Poor!AD46</f>
        <v>0.25</v>
      </c>
      <c r="AE46" s="147">
        <f t="shared" si="40"/>
        <v>55.999999999999993</v>
      </c>
      <c r="AF46" s="122">
        <f t="shared" si="31"/>
        <v>0.25</v>
      </c>
      <c r="AG46" s="147">
        <f t="shared" si="34"/>
        <v>55.999999999999993</v>
      </c>
      <c r="AH46" s="123">
        <f t="shared" si="35"/>
        <v>1</v>
      </c>
      <c r="AI46" s="112">
        <f t="shared" si="35"/>
        <v>223.99999999999997</v>
      </c>
      <c r="AJ46" s="148">
        <f t="shared" si="36"/>
        <v>111.99999999999999</v>
      </c>
      <c r="AK46" s="147">
        <f t="shared" si="37"/>
        <v>111.99999999999999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0.4</v>
      </c>
      <c r="F52" s="75">
        <f>Middle!F52</f>
        <v>1.18</v>
      </c>
      <c r="G52" s="22">
        <f t="shared" si="32"/>
        <v>1.65</v>
      </c>
      <c r="H52" s="24">
        <f t="shared" si="26"/>
        <v>0.47199999999999998</v>
      </c>
      <c r="I52" s="39">
        <f t="shared" si="27"/>
        <v>19824</v>
      </c>
      <c r="J52" s="38">
        <f t="shared" si="33"/>
        <v>19824</v>
      </c>
      <c r="K52" s="40">
        <f t="shared" si="28"/>
        <v>0.18209802943918144</v>
      </c>
      <c r="L52" s="22">
        <f t="shared" si="29"/>
        <v>8.5950269895293627E-2</v>
      </c>
      <c r="M52" s="24">
        <f t="shared" si="30"/>
        <v>8.5950269895293627E-2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4956</v>
      </c>
      <c r="AB52" s="156">
        <f>Poor!AB57</f>
        <v>0.25</v>
      </c>
      <c r="AC52" s="147">
        <f t="shared" si="39"/>
        <v>4956</v>
      </c>
      <c r="AD52" s="156">
        <f>Poor!AD57</f>
        <v>0.25</v>
      </c>
      <c r="AE52" s="147">
        <f t="shared" si="40"/>
        <v>4956</v>
      </c>
      <c r="AF52" s="122">
        <f t="shared" si="31"/>
        <v>0.25</v>
      </c>
      <c r="AG52" s="147">
        <f t="shared" si="34"/>
        <v>4956</v>
      </c>
      <c r="AH52" s="123">
        <f t="shared" si="35"/>
        <v>1</v>
      </c>
      <c r="AI52" s="112">
        <f t="shared" si="35"/>
        <v>19824</v>
      </c>
      <c r="AJ52" s="148">
        <f t="shared" si="36"/>
        <v>9912</v>
      </c>
      <c r="AK52" s="147">
        <f t="shared" si="37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101952</v>
      </c>
      <c r="J53" s="38">
        <f t="shared" si="33"/>
        <v>101952</v>
      </c>
      <c r="K53" s="40">
        <f t="shared" ref="K53:K64" si="43">(B53/B$65)</f>
        <v>0.62433610093433634</v>
      </c>
      <c r="L53" s="22">
        <f t="shared" ref="L53:L64" si="44">(K53*H53)</f>
        <v>0.44202995946151008</v>
      </c>
      <c r="M53" s="24">
        <f t="shared" ref="M53:M64" si="45">J53/B$65</f>
        <v>0.44202995946151014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8991.6</v>
      </c>
      <c r="J56" s="38">
        <f t="shared" si="33"/>
        <v>8991.6</v>
      </c>
      <c r="K56" s="40">
        <f t="shared" si="43"/>
        <v>3.3037785341108628E-2</v>
      </c>
      <c r="L56" s="22">
        <f t="shared" si="44"/>
        <v>3.8984586702508178E-2</v>
      </c>
      <c r="M56" s="24">
        <f t="shared" si="45"/>
        <v>3.8984586702508185E-2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145387.6</v>
      </c>
      <c r="J65" s="39">
        <f>SUM(J37:J64)</f>
        <v>147747.25785935187</v>
      </c>
      <c r="K65" s="40">
        <f>SUM(K37:K64)</f>
        <v>1</v>
      </c>
      <c r="L65" s="22">
        <f>SUM(L37:L64)</f>
        <v>0.64915736304710692</v>
      </c>
      <c r="M65" s="24">
        <f>SUM(M37:M64)</f>
        <v>0.64058296455310915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6430.881020325317</v>
      </c>
      <c r="AB65" s="137"/>
      <c r="AC65" s="153">
        <f>SUM(AC37:AC64)</f>
        <v>7847.6902628123862</v>
      </c>
      <c r="AD65" s="137"/>
      <c r="AE65" s="153">
        <f>SUM(AE37:AE64)</f>
        <v>8273.7578070212985</v>
      </c>
      <c r="AF65" s="137"/>
      <c r="AG65" s="153">
        <f>SUM(AG37:AG64)</f>
        <v>14251.32876919286</v>
      </c>
      <c r="AH65" s="137"/>
      <c r="AI65" s="153">
        <f>SUM(AI37:AI64)</f>
        <v>36803.657859351864</v>
      </c>
      <c r="AJ65" s="153">
        <f>SUM(AJ37:AJ64)</f>
        <v>14278.571283137702</v>
      </c>
      <c r="AK65" s="153">
        <f>SUM(AK37:AK64)</f>
        <v>22525.086576214162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70832.292318476029</v>
      </c>
      <c r="K73" s="40">
        <f>B73/B$76</f>
        <v>0.33796527130438553</v>
      </c>
      <c r="L73" s="22">
        <f>(L127*G$37*F$9/F$7)/B$130</f>
        <v>0.32540211535787089</v>
      </c>
      <c r="M73" s="24">
        <f>J73/B$76</f>
        <v>0.30710525837748937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119664.07591869874</v>
      </c>
      <c r="J74" s="51">
        <f>J128*I$83</f>
        <v>4808.7881262412293</v>
      </c>
      <c r="K74" s="40">
        <f>B74/B$76</f>
        <v>1.9047430585260341E-2</v>
      </c>
      <c r="L74" s="22">
        <f>(L128*G$37*F$9/F$7)/B$130</f>
        <v>1.1126847270260648E-2</v>
      </c>
      <c r="M74" s="24">
        <f>J74/B$76</f>
        <v>2.0849305756644322E-2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1416.809242487069</v>
      </c>
      <c r="AD74" s="156"/>
      <c r="AE74" s="147">
        <f>AE30*$I$83/4</f>
        <v>1842.8767866959827</v>
      </c>
      <c r="AF74" s="156"/>
      <c r="AG74" s="147">
        <f>AG30*$I$83/4</f>
        <v>1549.1020970581778</v>
      </c>
      <c r="AH74" s="155"/>
      <c r="AI74" s="147">
        <f>SUM(AA74,AC74,AE74,AG74)</f>
        <v>4808.7881262412293</v>
      </c>
      <c r="AJ74" s="148">
        <f>(AA74+AC74)</f>
        <v>1416.809242487069</v>
      </c>
      <c r="AK74" s="147">
        <f>(AE74+AG74)</f>
        <v>3391.9788837541605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0.39290045857040584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6271.3456518093653</v>
      </c>
      <c r="AB75" s="158"/>
      <c r="AC75" s="149">
        <f>AA75+AC65-SUM(AC70,AC74)</f>
        <v>6271.3456518093662</v>
      </c>
      <c r="AD75" s="158"/>
      <c r="AE75" s="149">
        <f>AC75+AE65-SUM(AE70,AE74)</f>
        <v>6271.3456518093644</v>
      </c>
      <c r="AF75" s="158"/>
      <c r="AG75" s="149">
        <f>IF(SUM(AG6:AG29)+((AG65-AG70-$J$75)*4/I$83)&lt;1,0,AG65-AG70-$J$75-(1-SUM(AG6:AG29))*I$83/4)</f>
        <v>6271.3456518093653</v>
      </c>
      <c r="AH75" s="134"/>
      <c r="AI75" s="149">
        <f>AI76-SUM(AI70,AI74)</f>
        <v>6271.3456518093662</v>
      </c>
      <c r="AJ75" s="151">
        <f>AJ76-SUM(AJ70,AJ74)</f>
        <v>0</v>
      </c>
      <c r="AK75" s="149">
        <f>AJ75+AK76-SUM(AK70,AK74)</f>
        <v>6271.3456518093644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145387.6</v>
      </c>
      <c r="J76" s="51">
        <f>J130*I$83</f>
        <v>147747.25785935187</v>
      </c>
      <c r="K76" s="40">
        <f>SUM(K70:K75)</f>
        <v>0.8295764775593083</v>
      </c>
      <c r="L76" s="22">
        <f>SUM(L70:L75)</f>
        <v>0.44805760656709087</v>
      </c>
      <c r="M76" s="24">
        <f>SUM(M70:M75)</f>
        <v>0.43948320807309299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6430.881020325317</v>
      </c>
      <c r="AB76" s="137"/>
      <c r="AC76" s="153">
        <f>AC65</f>
        <v>7847.6902628123862</v>
      </c>
      <c r="AD76" s="137"/>
      <c r="AE76" s="153">
        <f>AE65</f>
        <v>8273.7578070212985</v>
      </c>
      <c r="AF76" s="137"/>
      <c r="AG76" s="153">
        <f>AG65</f>
        <v>14251.32876919286</v>
      </c>
      <c r="AH76" s="137"/>
      <c r="AI76" s="153">
        <f>SUM(AA76,AC76,AE76,AG76)</f>
        <v>36803.657859351864</v>
      </c>
      <c r="AJ76" s="154">
        <f>SUM(AA76,AC76)</f>
        <v>14278.571283137702</v>
      </c>
      <c r="AK76" s="154">
        <f>SUM(AE76,AG76)</f>
        <v>22525.086576214158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6271.3456518093653</v>
      </c>
      <c r="AB78" s="112"/>
      <c r="AC78" s="112">
        <f>IF(AA75&lt;0,0,AA75)</f>
        <v>6271.3456518093653</v>
      </c>
      <c r="AD78" s="112"/>
      <c r="AE78" s="112">
        <f>AC75</f>
        <v>6271.3456518093662</v>
      </c>
      <c r="AF78" s="112"/>
      <c r="AG78" s="112">
        <f>AE75</f>
        <v>6271.3456518093644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6271.3456518093653</v>
      </c>
      <c r="AB79" s="112"/>
      <c r="AC79" s="112">
        <f>AA79-AA74+AC65-AC70</f>
        <v>7688.1548942964355</v>
      </c>
      <c r="AD79" s="112"/>
      <c r="AE79" s="112">
        <f>AC79-AC74+AE65-AE70</f>
        <v>8114.2224385053478</v>
      </c>
      <c r="AF79" s="112"/>
      <c r="AG79" s="112">
        <f>AE79-AE74+AG65-AG70</f>
        <v>14091.79340067691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0.3575757575757576</v>
      </c>
      <c r="I91" s="22">
        <f t="shared" ref="I91" si="52">(D91*H91)</f>
        <v>0.25809057554058645</v>
      </c>
      <c r="J91" s="24">
        <f>IF(I$32&lt;=1+I$131,I91,L91+J$33*(I91-L91))</f>
        <v>0.25809057554058645</v>
      </c>
      <c r="K91" s="22">
        <f t="shared" ref="K91" si="53">(B91)</f>
        <v>0.72177872820672484</v>
      </c>
      <c r="L91" s="22">
        <f t="shared" ref="L91" si="54">(K91*H91)</f>
        <v>0.25809057554058645</v>
      </c>
      <c r="M91" s="226">
        <f t="shared" si="50"/>
        <v>0.25809057554058645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0.3575757575757576</v>
      </c>
      <c r="I92" s="22">
        <f t="shared" ref="I92:I118" si="59">(D92*H92)</f>
        <v>0.94808782851644013</v>
      </c>
      <c r="J92" s="24">
        <f t="shared" ref="J92:J118" si="60">IF(I$32&lt;=1+I$131,I92,L92+J$33*(I92-L92))</f>
        <v>0.94808782851644013</v>
      </c>
      <c r="K92" s="22">
        <f t="shared" ref="K92:K118" si="61">(B92)</f>
        <v>2.6514320628002137</v>
      </c>
      <c r="L92" s="22">
        <f t="shared" ref="L92:L118" si="62">(K92*H92)</f>
        <v>0.94808782851644013</v>
      </c>
      <c r="M92" s="226">
        <f t="shared" ref="M92:M118" si="63">(J92)</f>
        <v>0.94808782851644013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0.3575757575757576</v>
      </c>
      <c r="I93" s="22">
        <f t="shared" si="59"/>
        <v>7.9007319043036678E-2</v>
      </c>
      <c r="J93" s="24">
        <f t="shared" si="60"/>
        <v>0.1004988277381029</v>
      </c>
      <c r="K93" s="22">
        <f t="shared" si="61"/>
        <v>0.33142900785002671</v>
      </c>
      <c r="L93" s="22">
        <f t="shared" si="62"/>
        <v>0.11851097856455502</v>
      </c>
      <c r="M93" s="226">
        <f t="shared" si="63"/>
        <v>0.1004988277381029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6.1196160352052956E-2</v>
      </c>
      <c r="K94" s="22">
        <f t="shared" si="61"/>
        <v>0.4419053438000356</v>
      </c>
      <c r="L94" s="22">
        <f t="shared" si="62"/>
        <v>0.11248499660364544</v>
      </c>
      <c r="M94" s="226">
        <f t="shared" si="63"/>
        <v>6.1196160352052956E-2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2.2234604927912571E-2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2.2234604927912571E-2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3.2637952187761568E-2</v>
      </c>
      <c r="K96" s="22">
        <f t="shared" si="61"/>
        <v>0.35352427504002848</v>
      </c>
      <c r="L96" s="22">
        <f t="shared" si="62"/>
        <v>5.9991998188610889E-2</v>
      </c>
      <c r="M96" s="226">
        <f t="shared" si="63"/>
        <v>3.2637952187761568E-2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5.4396586979602618E-2</v>
      </c>
      <c r="K97" s="22">
        <f t="shared" si="61"/>
        <v>0.58920712506671413</v>
      </c>
      <c r="L97" s="22">
        <f t="shared" si="62"/>
        <v>9.9986663647684812E-2</v>
      </c>
      <c r="M97" s="226">
        <f t="shared" si="63"/>
        <v>5.4396586979602618E-2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1.6318976093880784E-2</v>
      </c>
      <c r="K98" s="22">
        <f t="shared" si="61"/>
        <v>0.17676213752001424</v>
      </c>
      <c r="L98" s="22">
        <f t="shared" si="62"/>
        <v>2.9995999094305444E-2</v>
      </c>
      <c r="M98" s="226">
        <f t="shared" si="63"/>
        <v>1.6318976093880784E-2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2.3798506803576142E-3</v>
      </c>
      <c r="K99" s="22">
        <f t="shared" si="61"/>
        <v>2.5777811721668743E-2</v>
      </c>
      <c r="L99" s="22">
        <f t="shared" si="62"/>
        <v>4.3744165345862103E-3</v>
      </c>
      <c r="M99" s="226">
        <f t="shared" si="63"/>
        <v>2.3798506803576142E-3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0.16969696969696968</v>
      </c>
      <c r="I100" s="22">
        <f t="shared" si="59"/>
        <v>1.9997332729536962E-2</v>
      </c>
      <c r="J100" s="24">
        <f t="shared" si="60"/>
        <v>1.9997332729536962E-2</v>
      </c>
      <c r="K100" s="22">
        <f t="shared" si="61"/>
        <v>0.11784142501334283</v>
      </c>
      <c r="L100" s="22">
        <f t="shared" si="62"/>
        <v>1.9997332729536962E-2</v>
      </c>
      <c r="M100" s="226">
        <f t="shared" si="63"/>
        <v>1.9997332729536962E-2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0.28606060606060607</v>
      </c>
      <c r="I106" s="22">
        <f t="shared" si="59"/>
        <v>1.7697639465640214</v>
      </c>
      <c r="J106" s="24">
        <f t="shared" si="60"/>
        <v>1.7697639465640214</v>
      </c>
      <c r="K106" s="22">
        <f t="shared" si="61"/>
        <v>6.1866748132004981</v>
      </c>
      <c r="L106" s="22">
        <f t="shared" si="62"/>
        <v>1.7697639465640214</v>
      </c>
      <c r="M106" s="226">
        <f t="shared" si="63"/>
        <v>1.7697639465640214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0.42909090909090908</v>
      </c>
      <c r="I107" s="22">
        <f t="shared" si="59"/>
        <v>9.1016431537578235</v>
      </c>
      <c r="J107" s="24">
        <f t="shared" si="60"/>
        <v>9.1016431537578235</v>
      </c>
      <c r="K107" s="22">
        <f t="shared" si="61"/>
        <v>21.21145650240171</v>
      </c>
      <c r="L107" s="22">
        <f t="shared" si="62"/>
        <v>9.1016431537578235</v>
      </c>
      <c r="M107" s="226">
        <f t="shared" si="63"/>
        <v>9.1016431537578235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0.7151515151515152</v>
      </c>
      <c r="I110" s="22">
        <f t="shared" si="59"/>
        <v>0.80271436147725261</v>
      </c>
      <c r="J110" s="24">
        <f t="shared" si="60"/>
        <v>0.80271436147725261</v>
      </c>
      <c r="K110" s="22">
        <f t="shared" si="61"/>
        <v>1.1224395732520904</v>
      </c>
      <c r="L110" s="22">
        <f t="shared" si="62"/>
        <v>0.80271436147725261</v>
      </c>
      <c r="M110" s="226">
        <f t="shared" si="63"/>
        <v>0.80271436147725261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12.979304517628698</v>
      </c>
      <c r="J119" s="24">
        <f>SUM(J91:J118)</f>
        <v>13.189960157545332</v>
      </c>
      <c r="K119" s="22">
        <f>SUM(K91:K118)</f>
        <v>33.974419340253071</v>
      </c>
      <c r="L119" s="22">
        <f>SUM(L91:L118)</f>
        <v>13.366511799985041</v>
      </c>
      <c r="M119" s="57">
        <f t="shared" si="50"/>
        <v>13.189960157545332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6.3234683816445996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6.7002108614386122</v>
      </c>
      <c r="M127" s="57">
        <f t="shared" si="90"/>
        <v>6.3234683816445996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10.682867597851743</v>
      </c>
      <c r="J128" s="227">
        <f>(J30)</f>
        <v>0.42929882226023419</v>
      </c>
      <c r="K128" s="22">
        <f>(B128)</f>
        <v>0.64712539405799685</v>
      </c>
      <c r="L128" s="22">
        <f>IF(L124=L119,0,(L119-L124)/(B119-B124)*K128)</f>
        <v>0.22910798490593057</v>
      </c>
      <c r="M128" s="57">
        <f t="shared" si="90"/>
        <v>0.42929882226023419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13.348564938448696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12.979304517628698</v>
      </c>
      <c r="J130" s="227">
        <f>(J119)</f>
        <v>13.189960157545332</v>
      </c>
      <c r="K130" s="22">
        <f>(B130)</f>
        <v>33.974419340253071</v>
      </c>
      <c r="L130" s="22">
        <f>(L119)</f>
        <v>13.366511799985041</v>
      </c>
      <c r="M130" s="57">
        <f t="shared" si="90"/>
        <v>13.189960157545332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765.56933741342755</v>
      </c>
      <c r="G72" s="109">
        <f>Poor!T7</f>
        <v>2251.3987882272959</v>
      </c>
      <c r="H72" s="109">
        <f>Middle!T7</f>
        <v>4768.6725017578765</v>
      </c>
      <c r="I72" s="109">
        <f>Rich!T7</f>
        <v>3309.0798541097352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759.00978070074382</v>
      </c>
      <c r="H73" s="109">
        <f>Middle!T8</f>
        <v>-928.72909643129526</v>
      </c>
      <c r="I73" s="109">
        <f>Rich!T8</f>
        <v>2677.623835922579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60.072688964972336</v>
      </c>
      <c r="H74" s="109">
        <f>Middle!T9</f>
        <v>135.26784303397417</v>
      </c>
      <c r="I74" s="109">
        <f>Rich!T9</f>
        <v>558.53297716242139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1179.9999999999998</v>
      </c>
      <c r="H76" s="109">
        <f>Middle!T11</f>
        <v>7378.8036138322923</v>
      </c>
      <c r="I76" s="109">
        <f>Rich!T11</f>
        <v>16727.69943190812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2566.5</v>
      </c>
      <c r="G77" s="109">
        <f>Poor!T12</f>
        <v>3656.8713708290411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4947.0160389781404</v>
      </c>
      <c r="G78" s="109">
        <f>Poor!T13</f>
        <v>8328.2621740848044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6796.7999999999993</v>
      </c>
      <c r="H79" s="109">
        <f>Middle!T14</f>
        <v>45311.999999999993</v>
      </c>
      <c r="I79" s="109">
        <f>Rich!T14</f>
        <v>139172.57142857142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5493.8534626237943</v>
      </c>
      <c r="H81" s="109">
        <f>Middle!T16</f>
        <v>1276.2834605316762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23859.600000000002</v>
      </c>
      <c r="G85" s="109">
        <f>Poor!T20</f>
        <v>23859.600000000002</v>
      </c>
      <c r="H85" s="109">
        <f>Middle!T20</f>
        <v>8991.6</v>
      </c>
      <c r="I85" s="109">
        <f>Rich!T20</f>
        <v>10276.114285714286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33357.202987690478</v>
      </c>
      <c r="G88" s="109">
        <f>Poor!T23</f>
        <v>59663.225886820772</v>
      </c>
      <c r="H88" s="109">
        <f>Middle!T23</f>
        <v>67054.711174976299</v>
      </c>
      <c r="I88" s="109">
        <f>Rich!T23</f>
        <v>172721.62181338857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5967.0833043623206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26237.909971028988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58975.829971028994</v>
      </c>
      <c r="G100" s="238">
        <f t="shared" si="0"/>
        <v>32669.8070718987</v>
      </c>
      <c r="H100" s="238">
        <f t="shared" si="0"/>
        <v>25278.321783743173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2016-06-02T08:12:53Z</dcterms:modified>
  <cp:category/>
</cp:coreProperties>
</file>