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<sst xmlns="http://schemas.openxmlformats.org/spreadsheetml/2006/main" count="790" uniqueCount="145">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</sst>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0.265792153657216</c:v>
                </c:pt>
                <c:pt idx="2" formatCode="0.0%">
                  <c:v>0.596891500366647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43880"/>
        <c:axId val="-2101440584"/>
      </c:barChart>
      <c:catAx>
        <c:axId val="-210144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4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44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4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0.00705979956373458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0.181956757177303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292104"/>
        <c:axId val="-2102294312"/>
      </c:barChart>
      <c:catAx>
        <c:axId val="-21022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9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29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9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0.00558162371800712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0.00437081201767593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6328"/>
        <c:axId val="-2076673256"/>
      </c:barChart>
      <c:catAx>
        <c:axId val="-20766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7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7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894360"/>
        <c:axId val="-2135905112"/>
      </c:barChart>
      <c:catAx>
        <c:axId val="-213589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90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90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89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1687.980525825423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1784.932472627448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6270.85921681656</c:v>
                </c:pt>
                <c:pt idx="7">
                  <c:v>12474.59828662683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2247.75</c:v>
                </c:pt>
                <c:pt idx="5">
                  <c:v>4037.625000000001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2637.36</c:v>
                </c:pt>
                <c:pt idx="5">
                  <c:v>3130.2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24764.84291338398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75832"/>
        <c:axId val="-2075844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75832"/>
        <c:axId val="-2075844120"/>
      </c:lineChart>
      <c:catAx>
        <c:axId val="-20758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4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84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87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287720"/>
        <c:axId val="-20752898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87720"/>
        <c:axId val="-2075289832"/>
      </c:lineChart>
      <c:catAx>
        <c:axId val="-207528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28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28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28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392552"/>
        <c:axId val="-20753979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92552"/>
        <c:axId val="-2075397992"/>
      </c:lineChart>
      <c:catAx>
        <c:axId val="-2075392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39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39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39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0.0836700465384229</c:v>
                </c:pt>
                <c:pt idx="2">
                  <c:v>0.187898472271965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-0.0863531856841392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490216"/>
        <c:axId val="-2075497144"/>
      </c:barChart>
      <c:catAx>
        <c:axId val="-207549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49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49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49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0.0906668704072914</c:v>
                </c:pt>
                <c:pt idx="2">
                  <c:v>0.0640657691211489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566424"/>
        <c:axId val="-2075571480"/>
      </c:barChart>
      <c:catAx>
        <c:axId val="-207556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571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5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56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0.412543224823533</c:v>
                </c:pt>
                <c:pt idx="2">
                  <c:v>0.40431835489003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633896"/>
        <c:axId val="-2075636360"/>
      </c:barChart>
      <c:catAx>
        <c:axId val="-20756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63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63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63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0.332388874965841</c:v>
                </c:pt>
                <c:pt idx="2">
                  <c:v>0.359751538514443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0.132028161482599</c:v>
                </c:pt>
                <c:pt idx="2">
                  <c:v>0.260007707079705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-0.29010852250893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702712"/>
        <c:axId val="-2075713864"/>
      </c:barChart>
      <c:catAx>
        <c:axId val="-207570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71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71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70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0.00837575528044255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0.00239653113515553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0.19832906853584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0.271506289520919</c:v>
                </c:pt>
                <c:pt idx="2" formatCode="0.0%">
                  <c:v>0.560798695197804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015224"/>
        <c:axId val="-2135101144"/>
      </c:barChart>
      <c:catAx>
        <c:axId val="-207501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10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10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01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859384"/>
        <c:axId val="-2023856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859384"/>
        <c:axId val="-2023856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859384"/>
        <c:axId val="-2023856040"/>
      </c:scatterChart>
      <c:catAx>
        <c:axId val="-2023859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85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85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859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903048"/>
        <c:axId val="-20238996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903048"/>
        <c:axId val="-2023899688"/>
      </c:lineChart>
      <c:catAx>
        <c:axId val="-2023903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899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899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9030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085944"/>
        <c:axId val="-20240826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096328"/>
        <c:axId val="-2024093336"/>
      </c:scatterChart>
      <c:valAx>
        <c:axId val="-2024085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082664"/>
        <c:crosses val="autoZero"/>
        <c:crossBetween val="midCat"/>
      </c:valAx>
      <c:valAx>
        <c:axId val="-2024082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085944"/>
        <c:crosses val="autoZero"/>
        <c:crossBetween val="midCat"/>
      </c:valAx>
      <c:valAx>
        <c:axId val="-2024096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4093336"/>
        <c:crosses val="autoZero"/>
        <c:crossBetween val="midCat"/>
      </c:valAx>
      <c:valAx>
        <c:axId val="-2024093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096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178104"/>
        <c:axId val="-20241993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178104"/>
        <c:axId val="-2024199304"/>
      </c:lineChart>
      <c:catAx>
        <c:axId val="-202417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199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4199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1781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0.0384942913230183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0.00304678541927454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0.332947338301702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0.259311037723832</c:v>
                </c:pt>
                <c:pt idx="2" formatCode="0.0%">
                  <c:v>0.501936882838944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503080"/>
        <c:axId val="-2135238568"/>
      </c:barChart>
      <c:catAx>
        <c:axId val="-207450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23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3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50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0.338859051164165</c:v>
                </c:pt>
                <c:pt idx="2" formatCode="0.0%">
                  <c:v>0.667327060583295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32328"/>
        <c:axId val="-2101535272"/>
      </c:barChart>
      <c:catAx>
        <c:axId val="-210153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3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0.693161759146223</c:v>
                </c:pt>
                <c:pt idx="2">
                  <c:v>0.651017419918328</c:v>
                </c:pt>
                <c:pt idx="3">
                  <c:v>0.671049406966896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35944"/>
        <c:axId val="-2101639096"/>
      </c:barChart>
      <c:catAx>
        <c:axId val="-2101635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39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63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3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0.628932849873457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43800"/>
        <c:axId val="-2101740488"/>
      </c:barChart>
      <c:catAx>
        <c:axId val="-2101743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4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74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4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0.00479306227031106</c:v>
                </c:pt>
                <c:pt idx="3">
                  <c:v>0.00479306227031106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0.19832906853584</c:v>
                </c:pt>
                <c:pt idx="1">
                  <c:v>0.19832906853584</c:v>
                </c:pt>
                <c:pt idx="2">
                  <c:v>0.19832906853584</c:v>
                </c:pt>
                <c:pt idx="3">
                  <c:v>0.19832906853584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0.227526517042797</c:v>
                </c:pt>
                <c:pt idx="1">
                  <c:v>0.708824599234578</c:v>
                </c:pt>
                <c:pt idx="2">
                  <c:v>0.647909125357791</c:v>
                </c:pt>
                <c:pt idx="3">
                  <c:v>0.658934539156048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69432"/>
        <c:axId val="-2101866120"/>
      </c:barChart>
      <c:catAx>
        <c:axId val="-210186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6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86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6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0.153977165292073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0.00609357083854908</c:v>
                </c:pt>
                <c:pt idx="3">
                  <c:v>0.00609357083854908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0.332947338301702</c:v>
                </c:pt>
                <c:pt idx="1">
                  <c:v>0.332947338301702</c:v>
                </c:pt>
                <c:pt idx="2">
                  <c:v>0.332947338301702</c:v>
                </c:pt>
                <c:pt idx="3">
                  <c:v>0.332947338301702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0.180428253845826</c:v>
                </c:pt>
                <c:pt idx="1">
                  <c:v>0.660585698091822</c:v>
                </c:pt>
                <c:pt idx="2">
                  <c:v>0.577350936857258</c:v>
                </c:pt>
                <c:pt idx="3">
                  <c:v>0.589382642560869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513384"/>
        <c:axId val="-2135540104"/>
      </c:barChart>
      <c:catAx>
        <c:axId val="-2135513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4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4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1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87128"/>
        <c:axId val="-2102084104"/>
      </c:barChart>
      <c:catAx>
        <c:axId val="-21020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8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8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8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2247.75</v>
      </c>
      <c r="T12" s="223">
        <f>IF($B$81=0,0,(SUMIF($N$6:$N$28,$U12,M$6:M$28)+SUMIF($N$91:$N$118,$U12,M$91:M$118))*$I$83*Poor!$B$81/$B$81)</f>
        <v>2247.75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2637.36</v>
      </c>
      <c r="T13" s="223">
        <f>IF($B$81=0,0,(SUMIF($N$6:$N$28,$U13,M$6:M$28)+SUMIF($N$91:$N$118,$U13,M$91:M$118))*$I$83*Poor!$B$81/$B$81)</f>
        <v>2637.36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35419.825504470908</v>
      </c>
      <c r="T23" s="179">
        <f>SUM(T7:T22)</f>
        <v>36387.505504470901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0.92332623303188321</v>
      </c>
      <c r="J30" s="232">
        <f>IF(I$32&lt;=1,I30,1-SUM(J6:J29))</f>
        <v>0.66732706058329505</v>
      </c>
      <c r="K30" s="22">
        <f t="shared" si="4"/>
        <v>0.92868750784557907</v>
      </c>
      <c r="L30" s="22">
        <f>IF(L124=L119,0,IF(K30="",0,(L119-L124)/(B119-B124)*K30))</f>
        <v>0.33885905116416487</v>
      </c>
      <c r="M30" s="175">
        <f t="shared" si="6"/>
        <v>0.66732706058329505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2.6693082423331802</v>
      </c>
      <c r="Z30" s="122">
        <f>IF($Y30=0,0,AA30/($Y$30))</f>
        <v>0.23561641922767276</v>
      </c>
      <c r="AA30" s="187">
        <f>IF(AA79*4/$I$83+SUM(AA6:AA29)&lt;1,AA79*4/$I$83,1-SUM(AA6:AA29))</f>
        <v>0.62893284987345688</v>
      </c>
      <c r="AB30" s="122">
        <f>IF($Y30=0,0,AC30/($Y$30))</f>
        <v>0.25479452692410903</v>
      </c>
      <c r="AC30" s="187">
        <f>IF(AC79*4/$I$83+SUM(AC6:AC29)&lt;1,AC79*4/$I$83,1-SUM(AC6:AC29))</f>
        <v>0.68012513081990766</v>
      </c>
      <c r="AD30" s="122">
        <f>IF($Y30=0,0,AE30/($Y$30))</f>
        <v>0.25479452692410903</v>
      </c>
      <c r="AE30" s="187">
        <f>IF(AE79*4/$I$83+SUM(AE6:AE29)&lt;1,AE79*4/$I$83,1-SUM(AE6:AE29))</f>
        <v>0.68012513081990766</v>
      </c>
      <c r="AF30" s="122">
        <f>IF($Y30=0,0,AG30/($Y$30))</f>
        <v>0.25479452692410903</v>
      </c>
      <c r="AG30" s="187">
        <f>IF(AG79*4/$I$83+SUM(AG6:AG29)&lt;1,AG79*4/$I$83,1-SUM(AG6:AG29))</f>
        <v>0.68012513081990766</v>
      </c>
      <c r="AH30" s="123">
        <f t="shared" si="12"/>
        <v>0.99999999999999978</v>
      </c>
      <c r="AI30" s="183">
        <f t="shared" si="13"/>
        <v>0.66732706058329494</v>
      </c>
      <c r="AJ30" s="120">
        <f t="shared" si="14"/>
        <v>0.65452899034668222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0.43422677588914715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11227.361575325995</v>
      </c>
      <c r="T31" s="235">
        <f>IF(T25&gt;T$23,T25-T$23,0)</f>
        <v>10259.681575326002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1.2559991724485882</v>
      </c>
      <c r="J32" s="17"/>
      <c r="L32" s="22">
        <f>SUM(L6:L30)</f>
        <v>0.56577322411085285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35780.801575325982</v>
      </c>
      <c r="T32" s="235">
        <f t="shared" si="24"/>
        <v>34813.121575325989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0.70950608636412094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8549.7346461049929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29082.386900610287</v>
      </c>
      <c r="J65" s="39">
        <f>SUM(J37:J64)</f>
        <v>29082.38690061029</v>
      </c>
      <c r="K65" s="40">
        <f>SUM(K37:K64)</f>
        <v>1</v>
      </c>
      <c r="L65" s="22">
        <f>SUM(L37:L64)</f>
        <v>0.95945723718513354</v>
      </c>
      <c r="M65" s="24">
        <f>SUM(M37:M64)</f>
        <v>0.98681990073373616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6802.3154751525726</v>
      </c>
      <c r="AB65" s="137"/>
      <c r="AC65" s="153">
        <f>SUM(AC37:AC64)</f>
        <v>6252.8654751525719</v>
      </c>
      <c r="AD65" s="137"/>
      <c r="AE65" s="153">
        <f>SUM(AE37:AE64)</f>
        <v>7351.7654751525724</v>
      </c>
      <c r="AF65" s="137"/>
      <c r="AG65" s="153">
        <f>SUM(AG37:AG64)</f>
        <v>8675.4404751525726</v>
      </c>
      <c r="AH65" s="137"/>
      <c r="AI65" s="153">
        <f>SUM(AI37:AI64)</f>
        <v>29082.38690061029</v>
      </c>
      <c r="AJ65" s="153">
        <f>SUM(AJ37:AJ64)</f>
        <v>13055.180950305145</v>
      </c>
      <c r="AK65" s="153">
        <f>SUM(AK37:AK64)</f>
        <v>16027.205950305144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10602.171098685438</v>
      </c>
      <c r="J71" s="51">
        <f t="shared" si="44"/>
        <v>10602.171098685438</v>
      </c>
      <c r="K71" s="40">
        <f t="shared" ref="K71:K72" si="47">B71/B$76</f>
        <v>0.33038335079971892</v>
      </c>
      <c r="L71" s="22">
        <f t="shared" si="45"/>
        <v>0.33238887496584102</v>
      </c>
      <c r="M71" s="24">
        <f t="shared" ref="M71:M72" si="48">J71/B$76</f>
        <v>0.35975153851444353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10602.171098685438</v>
      </c>
      <c r="J74" s="51">
        <f t="shared" si="44"/>
        <v>7662.6390781237633</v>
      </c>
      <c r="K74" s="40">
        <f>B74/B$76</f>
        <v>0.21929722935524132</v>
      </c>
      <c r="L74" s="22">
        <f t="shared" si="45"/>
        <v>0.13202816148259852</v>
      </c>
      <c r="M74" s="24">
        <f>J74/B$76</f>
        <v>0.26000770707970533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1805.4435814215565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7662.6390781237624</v>
      </c>
      <c r="AJ74" s="148">
        <f>(AA74+AC74)</f>
        <v>3757.8420803222916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2479.8059690204273</v>
      </c>
      <c r="AB75" s="158"/>
      <c r="AC75" s="149">
        <f>AA75+AC65-SUM(AC70,AC74)</f>
        <v>2160.218994791052</v>
      </c>
      <c r="AD75" s="158"/>
      <c r="AE75" s="149">
        <f>AC75+AE65-SUM(AE70,AE74)</f>
        <v>2939.5320205616772</v>
      </c>
      <c r="AF75" s="158"/>
      <c r="AG75" s="149">
        <f>IF(SUM(AG6:AG29)+((AG65-AG70-$J$75)*4/I$83)&lt;1,0,AG65-AG70-$J$75-(1-SUM(AG6:AG29))*I$83/4)</f>
        <v>2102.9880257706241</v>
      </c>
      <c r="AH75" s="134"/>
      <c r="AI75" s="149">
        <f>AI76-SUM(AI70,AI74)</f>
        <v>2939.5320205616736</v>
      </c>
      <c r="AJ75" s="151">
        <f>AJ76-SUM(AJ70,AJ74)</f>
        <v>57.230969020427437</v>
      </c>
      <c r="AK75" s="149">
        <f>AJ75+AK76-SUM(AK70,AK74)</f>
        <v>2939.5320205616772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29082.38690061029</v>
      </c>
      <c r="J76" s="51">
        <f t="shared" si="44"/>
        <v>29082.38690061029</v>
      </c>
      <c r="K76" s="40">
        <f>SUM(K70:K75)</f>
        <v>1.6042884681600766</v>
      </c>
      <c r="L76" s="22">
        <f>SUM(L70:L75)</f>
        <v>1.0914853986677322</v>
      </c>
      <c r="M76" s="24">
        <f>SUM(M70:M75)</f>
        <v>1.2468276078134415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6802.3154751525726</v>
      </c>
      <c r="AB76" s="137"/>
      <c r="AC76" s="153">
        <f>AC65</f>
        <v>6252.8654751525719</v>
      </c>
      <c r="AD76" s="137"/>
      <c r="AE76" s="153">
        <f>AE65</f>
        <v>7351.7654751525724</v>
      </c>
      <c r="AF76" s="137"/>
      <c r="AG76" s="153">
        <f>AG65</f>
        <v>8675.4404751525726</v>
      </c>
      <c r="AH76" s="137"/>
      <c r="AI76" s="153">
        <f>SUM(AA76,AC76,AE76,AG76)</f>
        <v>29082.38690061029</v>
      </c>
      <c r="AJ76" s="154">
        <f>SUM(AA76,AC76)</f>
        <v>13055.180950305145</v>
      </c>
      <c r="AK76" s="154">
        <f>SUM(AE76,AG76)</f>
        <v>16027.205950305146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8549.7346461049929</v>
      </c>
      <c r="K77" s="40"/>
      <c r="L77" s="22">
        <f>-(L131*G$37*F$9/F$7)/B$130</f>
        <v>-0.38985235394366824</v>
      </c>
      <c r="M77" s="24">
        <f>-J77/B$76</f>
        <v>-0.2901085225089301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2102.9880257706241</v>
      </c>
      <c r="AB78" s="112"/>
      <c r="AC78" s="112">
        <f>IF(AA75&lt;0,0,AA75)</f>
        <v>2479.8059690204273</v>
      </c>
      <c r="AD78" s="112"/>
      <c r="AE78" s="112">
        <f>AC75</f>
        <v>2160.218994791052</v>
      </c>
      <c r="AF78" s="112"/>
      <c r="AG78" s="112">
        <f>AE75</f>
        <v>2939.5320205616772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4285.249550441984</v>
      </c>
      <c r="AB79" s="112"/>
      <c r="AC79" s="112">
        <f>AA79-AA74+AC65-AC70</f>
        <v>4112.6174936917869</v>
      </c>
      <c r="AD79" s="112"/>
      <c r="AE79" s="112">
        <f>AC79-AC74+AE65-AE70</f>
        <v>4891.9305194624103</v>
      </c>
      <c r="AF79" s="112"/>
      <c r="AG79" s="112">
        <f>AE79-AE74+AG65-AG70</f>
        <v>6994.9185452330348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2.5327388602364405</v>
      </c>
      <c r="J119" s="24">
        <f>SUM(J91:J118)</f>
        <v>2.5327388602364405</v>
      </c>
      <c r="K119" s="22">
        <f>SUM(K91:K118)</f>
        <v>4.2348346605929557</v>
      </c>
      <c r="L119" s="22">
        <f>SUM(L91:L118)</f>
        <v>2.4625107656899159</v>
      </c>
      <c r="M119" s="57">
        <f t="shared" si="49"/>
        <v>2.5327388602364405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0.92332623303188321</v>
      </c>
      <c r="J125" s="238">
        <f>IF(SUMPRODUCT($B$124:$B125,$H$124:$H125)&lt;J$119,($B125*$H125),IF(SUMPRODUCT($B$124:$B124,$H$124:$H124)&lt;J$119,J$119-SUMPRODUCT($B$124:$B124,$H$124:$H124),0))</f>
        <v>0.92332623303188321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0.85309813848535865</v>
      </c>
      <c r="M125" s="241">
        <f t="shared" si="66"/>
        <v>0.92332623303188321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0.92332623303188321</v>
      </c>
      <c r="J128" s="229">
        <f>(J30)</f>
        <v>0.66732706058329505</v>
      </c>
      <c r="K128" s="29">
        <f>(B128)</f>
        <v>0.92868750784557907</v>
      </c>
      <c r="L128" s="29">
        <f>IF(L124=L119,0,(L119-L124)/(B119-B124)*K128)</f>
        <v>0.33885905116416487</v>
      </c>
      <c r="M128" s="241">
        <f t="shared" si="66"/>
        <v>0.66732706058329505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2.5327388602364405</v>
      </c>
      <c r="J130" s="229">
        <f>(J119)</f>
        <v>2.5327388602364405</v>
      </c>
      <c r="K130" s="29">
        <f>(B130)</f>
        <v>4.2348346605929557</v>
      </c>
      <c r="L130" s="29">
        <f>(L119)</f>
        <v>2.4625107656899159</v>
      </c>
      <c r="M130" s="241">
        <f t="shared" si="66"/>
        <v>2.5327388602364405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0.74458280391165399</v>
      </c>
      <c r="K131" s="29"/>
      <c r="L131" s="29">
        <f>IF(I131&lt;SUM(L126:L127),0,I131-(SUM(L126:L127)))</f>
        <v>1.0005819763602419</v>
      </c>
      <c r="M131" s="238">
        <f>IF(I131&lt;SUM(M126:M127),0,I131-(SUM(M126:M127)))</f>
        <v>1.0005819763602419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4037.6250000000014</v>
      </c>
      <c r="T12" s="223">
        <f>IF($B$81=0,0,(SUMIF($N$6:$N$28,$U12,M$6:M$28)+SUMIF($N$91:$N$118,$U12,M$91:M$118))*$I$83*Poor!$B$81/$B$81)</f>
        <v>4037.6250000000014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3130.2000000000003</v>
      </c>
      <c r="T13" s="223">
        <f>IF($B$81=0,0,(SUMIF($N$6:$N$28,$U13,M$6:M$28)+SUMIF($N$91:$N$118,$U13,M$91:M$118))*$I$83*Poor!$B$81/$B$81)</f>
        <v>3130.2000000000003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41131.364722333499</v>
      </c>
      <c r="T23" s="179">
        <f>SUM(T7:T22)</f>
        <v>41937.764722333493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1.3231578745763772</v>
      </c>
      <c r="J30" s="232">
        <f>IF(I$32&lt;=1,I30,1-SUM(J6:J29))</f>
        <v>0.59689150036664707</v>
      </c>
      <c r="K30" s="22">
        <f t="shared" si="4"/>
        <v>0.71967685554171867</v>
      </c>
      <c r="L30" s="22">
        <f>IF(L124=L119,0,IF(K30="",0,(L119-L124)/(B119-B124)*K30))</f>
        <v>0.26579215365721626</v>
      </c>
      <c r="M30" s="175">
        <f t="shared" si="6"/>
        <v>0.59689150036664707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2.3875660014665883</v>
      </c>
      <c r="Z30" s="122">
        <f>IF($Y30=0,0,AA30/($Y$30))</f>
        <v>0.15594853302753847</v>
      </c>
      <c r="AA30" s="187">
        <f>IF(AA79*4/$I$83+SUM(AA6:AA29)&lt;1,AA79*4/$I$83,1-SUM(AA6:AA29))</f>
        <v>0.37233741543514021</v>
      </c>
      <c r="AB30" s="122">
        <f>IF($Y30=0,0,AC30/($Y$30))</f>
        <v>0.29032150680669833</v>
      </c>
      <c r="AC30" s="187">
        <f>IF(AC79*4/$I$83+SUM(AC6:AC29)&lt;1,AC79*4/$I$83,1-SUM(AC6:AC29))</f>
        <v>0.69316175914622358</v>
      </c>
      <c r="AD30" s="122">
        <f>IF($Y30=0,0,AE30/($Y$30))</f>
        <v>0.27266991552000397</v>
      </c>
      <c r="AE30" s="187">
        <f>IF(AE79*4/$I$83+SUM(AE6:AE29)&lt;1,AE79*4/$I$83,1-SUM(AE6:AE29))</f>
        <v>0.65101741991832829</v>
      </c>
      <c r="AF30" s="122">
        <f>IF($Y30=0,0,AG30/($Y$30))</f>
        <v>0.28106004464575923</v>
      </c>
      <c r="AG30" s="187">
        <f>IF(AG79*4/$I$83+SUM(AG6:AG29)&lt;1,AG79*4/$I$83,1-SUM(AG6:AG29))</f>
        <v>0.67104940696689619</v>
      </c>
      <c r="AH30" s="123">
        <f t="shared" si="12"/>
        <v>1</v>
      </c>
      <c r="AI30" s="183">
        <f t="shared" si="13"/>
        <v>0.59689150036664707</v>
      </c>
      <c r="AJ30" s="120">
        <f t="shared" si="14"/>
        <v>0.53274958729068189</v>
      </c>
      <c r="AK30" s="119">
        <f t="shared" si="15"/>
        <v>0.66103341344261224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0.41407316174731834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4586.2223574634045</v>
      </c>
      <c r="T31" s="235">
        <f>IF(T25&gt;T$23,T25-T$23,0)</f>
        <v>3779.8223574634103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1.7262663742097302</v>
      </c>
      <c r="J32" s="17"/>
      <c r="L32" s="22">
        <f>SUM(L6:L30)</f>
        <v>0.58592683825268166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29139.6623574634</v>
      </c>
      <c r="T32" s="235">
        <f t="shared" si="50"/>
        <v>28333.262357463405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0.5673798119090705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3779.8223574634112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7.3393211677521261E-2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129.90598466921264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0.92660678832247878</v>
      </c>
      <c r="AG37" s="147">
        <f>$J37*AF37</f>
        <v>1640.0940153307877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129.90598466921264</v>
      </c>
      <c r="AK37" s="147">
        <f>(AE37+AG37)</f>
        <v>1640.0940153307877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2.5437445262993495E-2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9.4550984042546826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0.97456255473700648</v>
      </c>
      <c r="AG38" s="147">
        <f t="shared" ref="AG38:AG64" si="60">$J38*AF38</f>
        <v>362.24490159574538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9.4550984042546826</v>
      </c>
      <c r="AK38" s="147">
        <f t="shared" ref="AK38:AK64" si="63">(AE38+AG38)</f>
        <v>362.24490159574538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39478.584808195294</v>
      </c>
      <c r="J65" s="39">
        <f>SUM(J37:J64)</f>
        <v>39478.584808195301</v>
      </c>
      <c r="K65" s="40">
        <f>SUM(K37:K64)</f>
        <v>1</v>
      </c>
      <c r="L65" s="22">
        <f>SUM(L37:L64)</f>
        <v>0.88349822815337464</v>
      </c>
      <c r="M65" s="24">
        <f>SUM(M37:M64)</f>
        <v>0.90192110688951233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12362.439952048826</v>
      </c>
      <c r="AB65" s="137"/>
      <c r="AC65" s="153">
        <f>SUM(AC37:AC64)</f>
        <v>7681.6260351222909</v>
      </c>
      <c r="AD65" s="137"/>
      <c r="AE65" s="153">
        <f>SUM(AE37:AE64)</f>
        <v>9107.3649520488234</v>
      </c>
      <c r="AF65" s="137"/>
      <c r="AG65" s="153">
        <f>SUM(AG37:AG64)</f>
        <v>10327.153868975358</v>
      </c>
      <c r="AH65" s="137"/>
      <c r="AI65" s="153">
        <f>SUM(AI37:AI64)</f>
        <v>39478.584808195301</v>
      </c>
      <c r="AJ65" s="153">
        <f>SUM(AJ37:AJ64)</f>
        <v>20044.065987171118</v>
      </c>
      <c r="AK65" s="153">
        <f>SUM(AK37:AK64)</f>
        <v>19434.518821024183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18231.925845885467</v>
      </c>
      <c r="J74" s="51">
        <f t="shared" si="75"/>
        <v>8224.6282033488769</v>
      </c>
      <c r="K74" s="40">
        <f>B74/B$76</f>
        <v>0.13730344891392171</v>
      </c>
      <c r="L74" s="22">
        <f t="shared" si="76"/>
        <v>8.3670046538422888E-2</v>
      </c>
      <c r="M74" s="24">
        <f>J74/B$76</f>
        <v>0.18789847227196546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2387.7864529211138</v>
      </c>
      <c r="AD74" s="156"/>
      <c r="AE74" s="147">
        <f>AE30*$I$83/4</f>
        <v>2242.6086773905804</v>
      </c>
      <c r="AF74" s="156"/>
      <c r="AG74" s="147">
        <f>AG30*$I$83/4</f>
        <v>2311.6143700280059</v>
      </c>
      <c r="AH74" s="155"/>
      <c r="AI74" s="147">
        <f>SUM(AA74,AC74,AE74,AG74)</f>
        <v>8224.6282033488769</v>
      </c>
      <c r="AJ74" s="148">
        <f>(AA74+AC74)</f>
        <v>3670.4051559302907</v>
      </c>
      <c r="AK74" s="147">
        <f>(AE74+AG74)</f>
        <v>4554.2230474185862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8472.0312668320876</v>
      </c>
      <c r="AB75" s="158"/>
      <c r="AC75" s="149">
        <f>AA75+AC65-SUM(AC70,AC74)</f>
        <v>8454.2061084558081</v>
      </c>
      <c r="AD75" s="158"/>
      <c r="AE75" s="149">
        <f>AC75+AE65-SUM(AE70,AE74)</f>
        <v>10007.297642536596</v>
      </c>
      <c r="AF75" s="158"/>
      <c r="AG75" s="149">
        <f>IF(SUM(AG6:AG29)+((AG65-AG70-$J$75)*4/I$83)&lt;1,0,AG65-AG70-$J$75-(1-SUM(AG6:AG29))*I$83/4)</f>
        <v>2703.8747583698955</v>
      </c>
      <c r="AH75" s="134"/>
      <c r="AI75" s="149">
        <f>AI76-SUM(AI70,AI74)</f>
        <v>10007.2976425366</v>
      </c>
      <c r="AJ75" s="151">
        <f>AJ76-SUM(AJ70,AJ74)</f>
        <v>5750.3313500859149</v>
      </c>
      <c r="AK75" s="149">
        <f>AJ75+AK76-SUM(AK70,AK74)</f>
        <v>10007.2976425366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39478.584808195294</v>
      </c>
      <c r="J76" s="51">
        <f t="shared" si="75"/>
        <v>39478.584808195294</v>
      </c>
      <c r="K76" s="40">
        <f>SUM(K70:K75)</f>
        <v>1.2884634458051556</v>
      </c>
      <c r="L76" s="22">
        <f>SUM(L70:L75)</f>
        <v>0.88404586684010888</v>
      </c>
      <c r="M76" s="24">
        <f>SUM(M70:M75)</f>
        <v>0.9882742925736514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12362.439952048826</v>
      </c>
      <c r="AB76" s="137"/>
      <c r="AC76" s="153">
        <f>AC65</f>
        <v>7681.6260351222909</v>
      </c>
      <c r="AD76" s="137"/>
      <c r="AE76" s="153">
        <f>AE65</f>
        <v>9107.3649520488234</v>
      </c>
      <c r="AF76" s="137"/>
      <c r="AG76" s="153">
        <f>AG65</f>
        <v>10327.153868975358</v>
      </c>
      <c r="AH76" s="137"/>
      <c r="AI76" s="153">
        <f>SUM(AA76,AC76,AE76,AG76)</f>
        <v>39478.584808195301</v>
      </c>
      <c r="AJ76" s="154">
        <f>SUM(AA76,AC76)</f>
        <v>20044.065987171118</v>
      </c>
      <c r="AK76" s="154">
        <f>SUM(AE76,AG76)</f>
        <v>19434.518821024183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3779.8223574634112</v>
      </c>
      <c r="K77" s="40"/>
      <c r="L77" s="22">
        <f>-(L131*G$37*F$9/F$7)/B$130</f>
        <v>-0.31497822405825432</v>
      </c>
      <c r="M77" s="24">
        <f>-J77/B$76</f>
        <v>-8.6353185684139216E-2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2703.8747583698955</v>
      </c>
      <c r="AB78" s="112"/>
      <c r="AC78" s="112">
        <f>IF(AA75&lt;0,0,AA75)</f>
        <v>8472.0312668320876</v>
      </c>
      <c r="AD78" s="112"/>
      <c r="AE78" s="112">
        <f>AC75</f>
        <v>8454.2061084558081</v>
      </c>
      <c r="AF78" s="112"/>
      <c r="AG78" s="112">
        <f>AE75</f>
        <v>10007.297642536596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9754.6499698412645</v>
      </c>
      <c r="AB79" s="112"/>
      <c r="AC79" s="112">
        <f>AA79-AA74+AC65-AC70</f>
        <v>10841.992561376923</v>
      </c>
      <c r="AD79" s="112"/>
      <c r="AE79" s="112">
        <f>AC79-AC74+AE65-AE70</f>
        <v>12249.906319927177</v>
      </c>
      <c r="AF79" s="112"/>
      <c r="AG79" s="112">
        <f>AE79-AE74+AG65-AG70</f>
        <v>15022.786770934497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2.8651060128068431</v>
      </c>
      <c r="J119" s="24">
        <f>SUM(J91:J118)</f>
        <v>2.8651060128068431</v>
      </c>
      <c r="K119" s="22">
        <f>SUM(K91:K118)</f>
        <v>5.2415060308710721</v>
      </c>
      <c r="L119" s="22">
        <f>SUM(L91:L118)</f>
        <v>2.806582600684739</v>
      </c>
      <c r="M119" s="57">
        <f t="shared" si="80"/>
        <v>2.8651060128068431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1.3231578745763772</v>
      </c>
      <c r="J128" s="229">
        <f>(J30)</f>
        <v>0.59689150036664707</v>
      </c>
      <c r="K128" s="29">
        <f>(B128)</f>
        <v>0.71967685554171867</v>
      </c>
      <c r="L128" s="29">
        <f>IF(L124=L119,0,(L119-L124)/(B119-B124)*K128)</f>
        <v>0.26579215365721626</v>
      </c>
      <c r="M128" s="241">
        <f t="shared" si="93"/>
        <v>0.59689150036664707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2.8651060128068431</v>
      </c>
      <c r="J130" s="229">
        <f>(J119)</f>
        <v>2.8651060128068431</v>
      </c>
      <c r="K130" s="29">
        <f>(B130)</f>
        <v>5.2415060308710721</v>
      </c>
      <c r="L130" s="29">
        <f>(L119)</f>
        <v>2.806582600684739</v>
      </c>
      <c r="M130" s="241">
        <f t="shared" si="93"/>
        <v>2.8651060128068431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0.27431560215051221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6270.8592168165596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416.25000000000006</v>
      </c>
      <c r="T12" s="223">
        <f>IF($B$81=0,0,(SUMIF($N$6:$N$28,$U12,M$6:M$28)+SUMIF($N$91:$N$118,$U12,M$91:M$118))*$I$83*Poor!$B$81/$B$81)</f>
        <v>416.25000000000006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56498.400000000001</v>
      </c>
      <c r="T13" s="223">
        <f>IF($B$81=0,0,(SUMIF($N$6:$N$28,$U13,M$6:M$28)+SUMIF($N$91:$N$118,$U13,M$91:M$118))*$I$83*Poor!$B$81/$B$81)</f>
        <v>56498.400000000001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24764.842913383978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106341.72623000301</v>
      </c>
      <c r="T23" s="179">
        <f>SUM(T7:T22)</f>
        <v>106707.42836020356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8.3757552804425549E-3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8.3757552804425549E-3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3.350302112177022E-2</v>
      </c>
      <c r="Z27" s="156">
        <f>Poor!Z27</f>
        <v>0.25</v>
      </c>
      <c r="AA27" s="121">
        <f t="shared" si="16"/>
        <v>8.3757552804425549E-3</v>
      </c>
      <c r="AB27" s="156">
        <f>Poor!AB27</f>
        <v>0.25</v>
      </c>
      <c r="AC27" s="121">
        <f t="shared" si="7"/>
        <v>8.3757552804425549E-3</v>
      </c>
      <c r="AD27" s="156">
        <f>Poor!AD27</f>
        <v>0.25</v>
      </c>
      <c r="AE27" s="121">
        <f t="shared" si="8"/>
        <v>8.3757552804425549E-3</v>
      </c>
      <c r="AF27" s="122">
        <f t="shared" si="10"/>
        <v>0.25</v>
      </c>
      <c r="AG27" s="121">
        <f t="shared" si="11"/>
        <v>8.3757552804425549E-3</v>
      </c>
      <c r="AH27" s="123">
        <f t="shared" si="12"/>
        <v>1</v>
      </c>
      <c r="AI27" s="183">
        <f t="shared" si="13"/>
        <v>8.3757552804425549E-3</v>
      </c>
      <c r="AJ27" s="120">
        <f t="shared" si="14"/>
        <v>8.3757552804425549E-3</v>
      </c>
      <c r="AK27" s="119">
        <f t="shared" si="15"/>
        <v>8.3757552804425549E-3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2.3965311351555286E-3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2.3965311351555286E-3</v>
      </c>
      <c r="N28" s="230"/>
      <c r="O28" s="2"/>
      <c r="P28" s="22"/>
      <c r="U28" s="56"/>
      <c r="V28" s="56"/>
      <c r="W28" s="110"/>
      <c r="X28" s="118"/>
      <c r="Y28" s="183">
        <f t="shared" si="9"/>
        <v>9.5861245406221145E-3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4.7930622703110572E-3</v>
      </c>
      <c r="AF28" s="122">
        <f t="shared" si="10"/>
        <v>0.5</v>
      </c>
      <c r="AG28" s="121">
        <f t="shared" si="11"/>
        <v>4.7930622703110572E-3</v>
      </c>
      <c r="AH28" s="123">
        <f t="shared" si="12"/>
        <v>1</v>
      </c>
      <c r="AI28" s="183">
        <f t="shared" si="13"/>
        <v>2.3965311351555286E-3</v>
      </c>
      <c r="AJ28" s="120">
        <f t="shared" si="14"/>
        <v>0</v>
      </c>
      <c r="AK28" s="119">
        <f t="shared" si="15"/>
        <v>4.7930622703110572E-3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0.19832906853584006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0.19832906853584006</v>
      </c>
      <c r="N29" s="230"/>
      <c r="P29" s="22"/>
      <c r="V29" s="56"/>
      <c r="W29" s="110"/>
      <c r="X29" s="118"/>
      <c r="Y29" s="183">
        <f t="shared" si="9"/>
        <v>0.79331627414336026</v>
      </c>
      <c r="Z29" s="156">
        <f>Poor!Z29</f>
        <v>0.25</v>
      </c>
      <c r="AA29" s="121">
        <f t="shared" si="16"/>
        <v>0.19832906853584006</v>
      </c>
      <c r="AB29" s="156">
        <f>Poor!AB29</f>
        <v>0.25</v>
      </c>
      <c r="AC29" s="121">
        <f t="shared" si="7"/>
        <v>0.19832906853584006</v>
      </c>
      <c r="AD29" s="156">
        <f>Poor!AD29</f>
        <v>0.25</v>
      </c>
      <c r="AE29" s="121">
        <f t="shared" si="8"/>
        <v>0.19832906853584006</v>
      </c>
      <c r="AF29" s="122">
        <f t="shared" si="10"/>
        <v>0.25</v>
      </c>
      <c r="AG29" s="121">
        <f t="shared" si="11"/>
        <v>0.19832906853584006</v>
      </c>
      <c r="AH29" s="123">
        <f t="shared" si="12"/>
        <v>1</v>
      </c>
      <c r="AI29" s="183">
        <f t="shared" si="13"/>
        <v>0.19832906853584006</v>
      </c>
      <c r="AJ29" s="120">
        <f t="shared" si="14"/>
        <v>0.19832906853584006</v>
      </c>
      <c r="AK29" s="119">
        <f t="shared" si="15"/>
        <v>0.19832906853584006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6.3130169047151963</v>
      </c>
      <c r="J30" s="232">
        <f>IF(I$32&lt;=1,I30,1-SUM(J6:J29))</f>
        <v>0.56079869519780379</v>
      </c>
      <c r="K30" s="22">
        <f t="shared" si="4"/>
        <v>0.66149354420921547</v>
      </c>
      <c r="L30" s="22">
        <f>IF(L124=L119,0,IF(K30="",0,(L119-L124)/(B119-B124)*K30))</f>
        <v>0.27150628952091937</v>
      </c>
      <c r="M30" s="175">
        <f t="shared" si="6"/>
        <v>0.56079869519780379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2.2431947807912151</v>
      </c>
      <c r="Z30" s="122">
        <f>IF($Y30=0,0,AA30/($Y$30))</f>
        <v>0.10142967476170066</v>
      </c>
      <c r="AA30" s="187">
        <f>IF(AA79*4/$I$84+SUM(AA6:AA29)&lt;1,AA79*4/$I$84,1-SUM(AA6:AA29))</f>
        <v>0.22752651704279736</v>
      </c>
      <c r="AB30" s="122">
        <f>IF($Y30=0,0,AC30/($Y$30))</f>
        <v>0.31598887680389626</v>
      </c>
      <c r="AC30" s="187">
        <f>IF(AC79*4/$I$84+SUM(AC6:AC29)&lt;1,AC79*4/$I$84,1-SUM(AC6:AC29))</f>
        <v>0.7088245992345783</v>
      </c>
      <c r="AD30" s="122">
        <f>IF($Y30=0,0,AE30/($Y$30))</f>
        <v>0.28883319937525098</v>
      </c>
      <c r="AE30" s="187">
        <f>IF(AE79*4/$I$84+SUM(AE6:AE29)&lt;1,AE79*4/$I$84,1-SUM(AE6:AE29))</f>
        <v>0.64790912535779144</v>
      </c>
      <c r="AF30" s="122">
        <f>IF($Y30=0,0,AG30/($Y$30))</f>
        <v>0.29374824905915209</v>
      </c>
      <c r="AG30" s="187">
        <f>IF(AG79*4/$I$84+SUM(AG6:AG29)&lt;1,AG79*4/$I$84,1-SUM(AG6:AG29))</f>
        <v>0.65893453915604794</v>
      </c>
      <c r="AH30" s="123">
        <f t="shared" si="12"/>
        <v>1</v>
      </c>
      <c r="AI30" s="183">
        <f t="shared" si="13"/>
        <v>0.56079869519780368</v>
      </c>
      <c r="AJ30" s="120">
        <f t="shared" si="14"/>
        <v>0.46817555813868783</v>
      </c>
      <c r="AK30" s="119">
        <f t="shared" si="15"/>
        <v>0.65342183225691963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0.29048759624476095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6.7677536285079514</v>
      </c>
      <c r="J32" s="17"/>
      <c r="L32" s="22">
        <f>SUM(L6:L30)</f>
        <v>0.70951240375523905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7.1437359392197725E-2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960.85921681655873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7.0597995637345845E-3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960.85921681655873</v>
      </c>
      <c r="AH38" s="123">
        <f t="shared" ref="AH38:AI58" si="37">SUM(Z38,AB38,AD38,AF38)</f>
        <v>1</v>
      </c>
      <c r="AI38" s="112">
        <f t="shared" si="37"/>
        <v>960.85921681655873</v>
      </c>
      <c r="AJ38" s="148">
        <f t="shared" ref="AJ38:AJ64" si="38">(AA38+AC38)</f>
        <v>0</v>
      </c>
      <c r="AK38" s="147">
        <f t="shared" ref="AK38:AK64" si="39">(AE38+AG38)</f>
        <v>960.85921681655873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24764.842913383978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0.18195675717730259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6191.2107283459945</v>
      </c>
      <c r="AB44" s="156">
        <f>Poor!AB44</f>
        <v>0.25</v>
      </c>
      <c r="AC44" s="147">
        <f t="shared" si="41"/>
        <v>6191.2107283459945</v>
      </c>
      <c r="AD44" s="156">
        <f>Poor!AD44</f>
        <v>0.25</v>
      </c>
      <c r="AE44" s="147">
        <f t="shared" si="42"/>
        <v>6191.2107283459945</v>
      </c>
      <c r="AF44" s="122">
        <f t="shared" si="29"/>
        <v>0.25</v>
      </c>
      <c r="AG44" s="147">
        <f t="shared" si="36"/>
        <v>6191.2107283459945</v>
      </c>
      <c r="AH44" s="123">
        <f t="shared" si="37"/>
        <v>1</v>
      </c>
      <c r="AI44" s="112">
        <f t="shared" si="37"/>
        <v>24764.842913383978</v>
      </c>
      <c r="AJ44" s="148">
        <f t="shared" si="38"/>
        <v>12382.421456691989</v>
      </c>
      <c r="AK44" s="147">
        <f t="shared" si="39"/>
        <v>12382.421456691989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108290.35580645161</v>
      </c>
      <c r="J65" s="39">
        <f>SUM(J37:J64)</f>
        <v>103536.85793665216</v>
      </c>
      <c r="K65" s="40">
        <f>SUM(K37:K64)</f>
        <v>1</v>
      </c>
      <c r="L65" s="22">
        <f>SUM(L37:L64)</f>
        <v>0.75803787693846447</v>
      </c>
      <c r="M65" s="24">
        <f>SUM(M37:M64)</f>
        <v>0.76072483013000514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24628.687179958899</v>
      </c>
      <c r="AB65" s="137"/>
      <c r="AC65" s="153">
        <f>SUM(AC37:AC64)</f>
        <v>24212.437179958899</v>
      </c>
      <c r="AD65" s="137"/>
      <c r="AE65" s="153">
        <f>SUM(AE37:AE64)</f>
        <v>24212.437179958899</v>
      </c>
      <c r="AF65" s="137"/>
      <c r="AG65" s="153">
        <f>SUM(AG37:AG64)</f>
        <v>30483.296396775459</v>
      </c>
      <c r="AH65" s="137"/>
      <c r="AI65" s="153">
        <f>SUM(AI37:AI64)</f>
        <v>103536.85793665216</v>
      </c>
      <c r="AJ65" s="153">
        <f>SUM(AJ37:AJ64)</f>
        <v>48841.124359917798</v>
      </c>
      <c r="AK65" s="153">
        <f>SUM(AK37:AK64)</f>
        <v>54695.733576734361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86987.69684414177</v>
      </c>
      <c r="J74" s="51">
        <f t="shared" si="44"/>
        <v>7727.3017995597438</v>
      </c>
      <c r="K74" s="40">
        <f>B74/B$76</f>
        <v>4.0587766814047035E-2</v>
      </c>
      <c r="L74" s="22">
        <f t="shared" si="45"/>
        <v>2.7487382463139913E-2</v>
      </c>
      <c r="M74" s="24">
        <f>J74/B$76</f>
        <v>5.6775436940823251E-2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1819.4423617925713</v>
      </c>
      <c r="AB74" s="156"/>
      <c r="AC74" s="147">
        <f>AC30*$I$84/4</f>
        <v>5668.1986771917673</v>
      </c>
      <c r="AD74" s="156"/>
      <c r="AE74" s="147">
        <f>AE30*$I$84/4</f>
        <v>5181.0809772392495</v>
      </c>
      <c r="AF74" s="156"/>
      <c r="AG74" s="147">
        <f>AG30*$I$84/4</f>
        <v>5269.2469861140171</v>
      </c>
      <c r="AH74" s="155"/>
      <c r="AI74" s="147">
        <f>SUM(AA74,AC74,AE74,AG74)</f>
        <v>17937.969002337606</v>
      </c>
      <c r="AJ74" s="148">
        <f>(AA74+AC74)</f>
        <v>7487.6410389843386</v>
      </c>
      <c r="AK74" s="147">
        <f>(AE74+AG74)</f>
        <v>10450.327963353266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8719.5371747825884</v>
      </c>
      <c r="K75" s="40">
        <f>B75/B$76</f>
        <v>0.43798187945326222</v>
      </c>
      <c r="L75" s="22">
        <f t="shared" si="45"/>
        <v>9.0666870407291433E-2</v>
      </c>
      <c r="M75" s="24">
        <f>J75/B$76</f>
        <v>6.4065769121148905E-2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31651.793185431976</v>
      </c>
      <c r="AB75" s="158"/>
      <c r="AC75" s="149">
        <f>AA75+AC65-SUM(AC70,AC74)</f>
        <v>44870.366947621646</v>
      </c>
      <c r="AD75" s="158"/>
      <c r="AE75" s="149">
        <f>AC75+AE65-SUM(AE70,AE74)</f>
        <v>58576.058409763835</v>
      </c>
      <c r="AF75" s="158"/>
      <c r="AG75" s="149">
        <f>IF(SUM(AG6:AG29)+((AG65-AG70-$J$75)*4/I$83)&lt;1,0,AG65-AG70-$J$75-(1-SUM(AG6:AG29))*I$83/4)</f>
        <v>14168.213107843105</v>
      </c>
      <c r="AH75" s="134"/>
      <c r="AI75" s="149">
        <f>AI76-SUM(AI70,AI74)</f>
        <v>64296.229972004723</v>
      </c>
      <c r="AJ75" s="151">
        <f>AJ76-SUM(AJ70,AJ74)</f>
        <v>30702.153839778544</v>
      </c>
      <c r="AK75" s="149">
        <f>AJ75+AK76-SUM(AK70,AK74)</f>
        <v>64296.22997200473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108290.3558064516</v>
      </c>
      <c r="J76" s="51">
        <f t="shared" si="44"/>
        <v>103536.85793665216</v>
      </c>
      <c r="K76" s="40">
        <f>SUM(K70:K75)</f>
        <v>1.0000000000000002</v>
      </c>
      <c r="L76" s="22">
        <f>SUM(L70:L75)</f>
        <v>0.75803787693846436</v>
      </c>
      <c r="M76" s="24">
        <f>SUM(M70:M75)</f>
        <v>0.76072483013000536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24628.687179958899</v>
      </c>
      <c r="AB76" s="137"/>
      <c r="AC76" s="153">
        <f>AC65</f>
        <v>24212.437179958899</v>
      </c>
      <c r="AD76" s="137"/>
      <c r="AE76" s="153">
        <f>AE65</f>
        <v>24212.437179958899</v>
      </c>
      <c r="AF76" s="137"/>
      <c r="AG76" s="153">
        <f>AG65</f>
        <v>30483.296396775459</v>
      </c>
      <c r="AH76" s="137"/>
      <c r="AI76" s="153">
        <f>SUM(AA76,AC76,AE76,AG76)</f>
        <v>103536.85793665216</v>
      </c>
      <c r="AJ76" s="154">
        <f>SUM(AA76,AC76)</f>
        <v>48841.124359917798</v>
      </c>
      <c r="AK76" s="154">
        <f>SUM(AE76,AG76)</f>
        <v>54695.733576734361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14168.213107843105</v>
      </c>
      <c r="AB78" s="112"/>
      <c r="AC78" s="112">
        <f>IF(AA75&lt;0,0,AA75)</f>
        <v>31651.793185431976</v>
      </c>
      <c r="AD78" s="112"/>
      <c r="AE78" s="112">
        <f>AC75</f>
        <v>44870.366947621646</v>
      </c>
      <c r="AF78" s="112"/>
      <c r="AG78" s="112">
        <f>AE75</f>
        <v>58576.058409763835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33471.235547224547</v>
      </c>
      <c r="AB79" s="112"/>
      <c r="AC79" s="112">
        <f>AA79-AA74+AC65-AC70</f>
        <v>50538.565624813418</v>
      </c>
      <c r="AD79" s="112"/>
      <c r="AE79" s="112">
        <f>AC79-AC74+AE65-AE70</f>
        <v>63757.139387003088</v>
      </c>
      <c r="AF79" s="112"/>
      <c r="AG79" s="112">
        <f>AE79-AE74+AG65-AG70</f>
        <v>83733.69006596184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6.9733085239431211E-2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6.9733085239431211E-2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1.797275679512812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1.797275679512812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7.8590291687874752</v>
      </c>
      <c r="J119" s="24">
        <f>SUM(J91:J118)</f>
        <v>7.5140503557222278</v>
      </c>
      <c r="K119" s="22">
        <f>SUM(K91:K118)</f>
        <v>16.297855145365599</v>
      </c>
      <c r="L119" s="22">
        <f>SUM(L91:L118)</f>
        <v>7.4875100079051924</v>
      </c>
      <c r="M119" s="57">
        <f t="shared" si="49"/>
        <v>7.5140503557222278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6.3130169047151963</v>
      </c>
      <c r="J128" s="229">
        <f>(J30)</f>
        <v>0.56079869519780379</v>
      </c>
      <c r="K128" s="22">
        <f>(B128)</f>
        <v>0.66149354420921547</v>
      </c>
      <c r="L128" s="22">
        <f>IF(L124=L119,0,(L119-L124)/(B119-B124)*K128)</f>
        <v>0.27150628952091937</v>
      </c>
      <c r="M128" s="57">
        <f t="shared" si="63"/>
        <v>0.56079869519780379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0.63280886358358845</v>
      </c>
      <c r="K129" s="29">
        <f>(B129)</f>
        <v>7.1381652276242447</v>
      </c>
      <c r="L129" s="60">
        <f>IF(SUM(L124:L128)&gt;L130,0,L130-SUM(L124:L128))</f>
        <v>0.8955609214434368</v>
      </c>
      <c r="M129" s="57">
        <f t="shared" si="63"/>
        <v>0.63280886358358845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7.8590291687874752</v>
      </c>
      <c r="J130" s="229">
        <f>(J119)</f>
        <v>7.5140503557222278</v>
      </c>
      <c r="K130" s="22">
        <f>(B130)</f>
        <v>16.297855145365599</v>
      </c>
      <c r="L130" s="22">
        <f>(L119)</f>
        <v>7.4875100079051924</v>
      </c>
      <c r="M130" s="57">
        <f t="shared" si="63"/>
        <v>7.5140503557222278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1687.980525825423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1784.9324726274476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3.8494291323018313E-2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3.8494291323018313E-2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0.15397716529207325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0.15397716529207325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3.8494291323018313E-2</v>
      </c>
      <c r="AJ9" s="120">
        <f t="shared" si="14"/>
        <v>7.6988582646036627E-2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12474.598286626828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224294.39999999997</v>
      </c>
      <c r="T13" s="223">
        <f>IF($B$81=0,0,(SUMIF($N$6:$N$28,$U13,M$6:M$28)+SUMIF($N$91:$N$118,$U13,M$91:M$118))*$I$83*Poor!$B$81/$B$81)</f>
        <v>224294.39999999997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305527.88475860708</v>
      </c>
      <c r="T23" s="179">
        <f>SUM(T7:T22)</f>
        <v>305573.20673858852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3.0467854192745428E-3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3.0467854192745428E-3</v>
      </c>
      <c r="N28" s="230"/>
      <c r="O28" s="2"/>
      <c r="P28" s="22"/>
      <c r="U28" s="56"/>
      <c r="V28" s="56"/>
      <c r="W28" s="110"/>
      <c r="X28" s="118"/>
      <c r="Y28" s="183">
        <f t="shared" si="9"/>
        <v>1.2187141677098171E-2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6.0935708385490856E-3</v>
      </c>
      <c r="AF28" s="122">
        <f t="shared" si="10"/>
        <v>0.5</v>
      </c>
      <c r="AG28" s="121">
        <f t="shared" si="11"/>
        <v>6.0935708385490856E-3</v>
      </c>
      <c r="AH28" s="123">
        <f t="shared" si="12"/>
        <v>1</v>
      </c>
      <c r="AI28" s="183">
        <f t="shared" si="13"/>
        <v>3.0467854192745428E-3</v>
      </c>
      <c r="AJ28" s="120">
        <f t="shared" si="14"/>
        <v>0</v>
      </c>
      <c r="AK28" s="119">
        <f t="shared" si="15"/>
        <v>6.0935708385490856E-3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0.33294733830170226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0.33294733830170226</v>
      </c>
      <c r="N29" s="230"/>
      <c r="P29" s="22"/>
      <c r="V29" s="56"/>
      <c r="W29" s="110"/>
      <c r="X29" s="118"/>
      <c r="Y29" s="183">
        <f t="shared" si="9"/>
        <v>1.331789353206809</v>
      </c>
      <c r="Z29" s="156">
        <f>Poor!Z29</f>
        <v>0.25</v>
      </c>
      <c r="AA29" s="121">
        <f t="shared" si="16"/>
        <v>0.33294733830170226</v>
      </c>
      <c r="AB29" s="156">
        <f>Poor!AB29</f>
        <v>0.25</v>
      </c>
      <c r="AC29" s="121">
        <f t="shared" si="7"/>
        <v>0.33294733830170226</v>
      </c>
      <c r="AD29" s="156">
        <f>Poor!AD29</f>
        <v>0.25</v>
      </c>
      <c r="AE29" s="121">
        <f t="shared" si="8"/>
        <v>0.33294733830170226</v>
      </c>
      <c r="AF29" s="122">
        <f t="shared" si="10"/>
        <v>0.25</v>
      </c>
      <c r="AG29" s="121">
        <f t="shared" si="11"/>
        <v>0.33294733830170226</v>
      </c>
      <c r="AH29" s="123">
        <f t="shared" si="12"/>
        <v>1</v>
      </c>
      <c r="AI29" s="183">
        <f t="shared" si="13"/>
        <v>0.33294733830170226</v>
      </c>
      <c r="AJ29" s="120">
        <f t="shared" si="14"/>
        <v>0.33294733830170226</v>
      </c>
      <c r="AK29" s="119">
        <f t="shared" si="15"/>
        <v>0.33294733830170226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20.365469000165454</v>
      </c>
      <c r="J30" s="232">
        <f>IF(I$32&lt;=1,I30,1-SUM(J6:J29))</f>
        <v>0.50193688283894389</v>
      </c>
      <c r="K30" s="22">
        <f t="shared" si="4"/>
        <v>0.59689273225404738</v>
      </c>
      <c r="L30" s="22">
        <f>IF(L124=L119,0,IF(K30="",0,(L119-L124)/(B119-B124)*K30))</f>
        <v>0.25931103772383246</v>
      </c>
      <c r="M30" s="175">
        <f t="shared" si="6"/>
        <v>0.50193688283894389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2.0077475313557755</v>
      </c>
      <c r="Z30" s="122">
        <f>IF($Y30=0,0,AA30/($Y$30))</f>
        <v>8.9866007069119791E-2</v>
      </c>
      <c r="AA30" s="187">
        <f>IF(AA79*4/$I$83+SUM(AA6:AA29)&lt;1,AA79*4/$I$83,1-SUM(AA6:AA29))</f>
        <v>0.18042825384582595</v>
      </c>
      <c r="AB30" s="122">
        <f>IF($Y30=0,0,AC30/($Y$30))</f>
        <v>0.32901830921228781</v>
      </c>
      <c r="AC30" s="187">
        <f>IF(AC79*4/$I$83+SUM(AC6:AC29)&lt;1,AC79*4/$I$83,1-SUM(AC6:AC29))</f>
        <v>0.6605856980918221</v>
      </c>
      <c r="AD30" s="122">
        <f>IF($Y30=0,0,AE30/($Y$30))</f>
        <v>0.28756152247259353</v>
      </c>
      <c r="AE30" s="187">
        <f>IF(AE79*4/$I$83+SUM(AE6:AE29)&lt;1,AE79*4/$I$83,1-SUM(AE6:AE29))</f>
        <v>0.57735093685725802</v>
      </c>
      <c r="AF30" s="122">
        <f>IF($Y30=0,0,AG30/($Y$30))</f>
        <v>0.29355416124599887</v>
      </c>
      <c r="AG30" s="187">
        <f>IF(AG79*4/$I$83+SUM(AG6:AG29)&lt;1,AG79*4/$I$83,1-SUM(AG6:AG29))</f>
        <v>0.58938264256086947</v>
      </c>
      <c r="AH30" s="123">
        <f t="shared" si="12"/>
        <v>1</v>
      </c>
      <c r="AI30" s="183">
        <f t="shared" si="13"/>
        <v>0.50193688283894389</v>
      </c>
      <c r="AJ30" s="120">
        <f t="shared" si="14"/>
        <v>0.42050697596882403</v>
      </c>
      <c r="AK30" s="119">
        <f t="shared" si="15"/>
        <v>0.58336678970906375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0.24521379888886996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21.02029188444369</v>
      </c>
      <c r="J32" s="17"/>
      <c r="L32" s="22">
        <f>SUM(L6:L30)</f>
        <v>0.75478620111113004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1.6240921170939292E-2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1899.498572189025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5.5816237180071259E-3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1899.498572189025</v>
      </c>
      <c r="AH38" s="123">
        <f t="shared" ref="AH38:AI58" si="35">SUM(Z38,AB38,AD38,AF38)</f>
        <v>1</v>
      </c>
      <c r="AI38" s="112">
        <f t="shared" si="35"/>
        <v>1899.498572189025</v>
      </c>
      <c r="AJ38" s="148">
        <f t="shared" ref="AJ38:AJ64" si="36">(AA38+AC38)</f>
        <v>0</v>
      </c>
      <c r="AK38" s="147">
        <f t="shared" ref="AK38:AK64" si="37">(AE38+AG38)</f>
        <v>1899.498572189025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1487.4437271895399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4.3708120176759284E-3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1487.4437271895399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1487.4437271895399</v>
      </c>
      <c r="AJ40" s="148">
        <f t="shared" si="36"/>
        <v>1487.4437271895399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251992.42580645162</v>
      </c>
      <c r="J65" s="39">
        <f>SUM(J37:J64)</f>
        <v>252783.36810583013</v>
      </c>
      <c r="K65" s="40">
        <f>SUM(K37:K64)</f>
        <v>1</v>
      </c>
      <c r="L65" s="22">
        <f>SUM(L37:L64)</f>
        <v>0.74283526545778544</v>
      </c>
      <c r="M65" s="24">
        <f>SUM(M37:M64)</f>
        <v>0.74279689576772179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63128.550178802434</v>
      </c>
      <c r="AB65" s="137"/>
      <c r="AC65" s="153">
        <f>SUM(AC37:AC64)</f>
        <v>60225.10645161289</v>
      </c>
      <c r="AD65" s="137"/>
      <c r="AE65" s="153">
        <f>SUM(AE37:AE64)</f>
        <v>60225.10645161289</v>
      </c>
      <c r="AF65" s="137"/>
      <c r="AG65" s="153">
        <f>SUM(AG37:AG64)</f>
        <v>69204.605023801923</v>
      </c>
      <c r="AH65" s="137"/>
      <c r="AI65" s="153">
        <f>SUM(AI37:AI64)</f>
        <v>252783.36810583013</v>
      </c>
      <c r="AJ65" s="153">
        <f>SUM(AJ37:AJ64)</f>
        <v>123353.65663041534</v>
      </c>
      <c r="AK65" s="153">
        <f>SUM(AK37:AK64)</f>
        <v>129429.71147541482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233848.21000452671</v>
      </c>
      <c r="J74" s="51">
        <f>J128*I$83</f>
        <v>5763.5324571305118</v>
      </c>
      <c r="K74" s="40">
        <f>B74/B$76</f>
        <v>1.2206005595024303E-2</v>
      </c>
      <c r="L74" s="22">
        <f>(L128*G$37*F$9/F$7)/B$130</f>
        <v>8.7494795636689059E-3</v>
      </c>
      <c r="M74" s="24">
        <f>J74/B$76</f>
        <v>1.6935979807107867E-2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517.945648535592</v>
      </c>
      <c r="AB74" s="156"/>
      <c r="AC74" s="147">
        <f>AC30*$I$83/4</f>
        <v>1896.3077041352237</v>
      </c>
      <c r="AD74" s="156"/>
      <c r="AE74" s="147">
        <f>AE30*$I$83/4</f>
        <v>1657.370168192658</v>
      </c>
      <c r="AF74" s="156"/>
      <c r="AG74" s="147">
        <f>AG30*$I$83/4</f>
        <v>1691.9089362670384</v>
      </c>
      <c r="AH74" s="155"/>
      <c r="AI74" s="147">
        <f>SUM(AA74,AC74,AE74,AG74)</f>
        <v>5763.5324571305118</v>
      </c>
      <c r="AJ74" s="148">
        <f>(AA74+AC74)</f>
        <v>2414.2533526708157</v>
      </c>
      <c r="AK74" s="147">
        <f>(AE74+AG74)</f>
        <v>3349.2791044596961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137594.75318010812</v>
      </c>
      <c r="K75" s="40">
        <f>B75/B$76</f>
        <v>0.72240052870094063</v>
      </c>
      <c r="L75" s="22">
        <f>(L129*G$37*F$9/F$7)/B$130</f>
        <v>0.41254322482353278</v>
      </c>
      <c r="M75" s="24">
        <f>J75/B$76</f>
        <v>0.40431835489003026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58074.550579785631</v>
      </c>
      <c r="AB75" s="158"/>
      <c r="AC75" s="149">
        <f>AA75+AC65-SUM(AC70,AC74)</f>
        <v>111867.29537678209</v>
      </c>
      <c r="AD75" s="158"/>
      <c r="AE75" s="149">
        <f>AC75+AE65-SUM(AE70,AE74)</f>
        <v>165898.9777097211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228875.61984677479</v>
      </c>
      <c r="AJ75" s="151">
        <f>AJ76-SUM(AJ70,AJ74)</f>
        <v>111867.29537678209</v>
      </c>
      <c r="AK75" s="149">
        <f>AJ75+AK76-SUM(AK70,AK74)</f>
        <v>228875.61984677476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251992.42580645159</v>
      </c>
      <c r="J76" s="51">
        <f>J130*I$83</f>
        <v>252783.36810583016</v>
      </c>
      <c r="K76" s="40">
        <f>SUM(K70:K75)</f>
        <v>0.92043596816339179</v>
      </c>
      <c r="L76" s="22">
        <f>SUM(L70:L75)</f>
        <v>0.64894970789058759</v>
      </c>
      <c r="M76" s="24">
        <f>SUM(M70:M75)</f>
        <v>0.64891133820052405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63128.550178802434</v>
      </c>
      <c r="AB76" s="137"/>
      <c r="AC76" s="153">
        <f>AC65</f>
        <v>60225.10645161289</v>
      </c>
      <c r="AD76" s="137"/>
      <c r="AE76" s="153">
        <f>AE65</f>
        <v>60225.10645161289</v>
      </c>
      <c r="AF76" s="137"/>
      <c r="AG76" s="153">
        <f>AG65</f>
        <v>69204.605023801923</v>
      </c>
      <c r="AH76" s="137"/>
      <c r="AI76" s="153">
        <f>SUM(AA76,AC76,AE76,AG76)</f>
        <v>252783.36810583016</v>
      </c>
      <c r="AJ76" s="154">
        <f>SUM(AA76,AC76)</f>
        <v>123353.65663041532</v>
      </c>
      <c r="AK76" s="154">
        <f>SUM(AE76,AG76)</f>
        <v>129429.71147541481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58074.550579785631</v>
      </c>
      <c r="AD78" s="112"/>
      <c r="AE78" s="112">
        <f>AC75</f>
        <v>111867.29537678209</v>
      </c>
      <c r="AF78" s="112"/>
      <c r="AG78" s="112">
        <f>AE75</f>
        <v>165898.9777097211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58592.496228321223</v>
      </c>
      <c r="AB79" s="112"/>
      <c r="AC79" s="112">
        <f>AA79-AA74+AC65-AC70</f>
        <v>113763.60308091731</v>
      </c>
      <c r="AD79" s="112"/>
      <c r="AE79" s="112">
        <f>AC79-AC74+AE65-AE70</f>
        <v>167556.34787791377</v>
      </c>
      <c r="AF79" s="112"/>
      <c r="AG79" s="112">
        <f>AE79-AE74+AG65-AG70</f>
        <v>230567.52878304184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0.16542431215113984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0.16542431215113984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0.12953911049814215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0.12953911049814215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21.94561992130896</v>
      </c>
      <c r="J119" s="24">
        <f>SUM(J91:J118)</f>
        <v>22.014501829272259</v>
      </c>
      <c r="K119" s="22">
        <f>SUM(K91:K118)</f>
        <v>48.901561416403645</v>
      </c>
      <c r="L119" s="22">
        <f>SUM(L91:L118)</f>
        <v>22.015639003669335</v>
      </c>
      <c r="M119" s="57">
        <f t="shared" si="50"/>
        <v>22.014501829272259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20.365469000165454</v>
      </c>
      <c r="J128" s="229">
        <f>(J30)</f>
        <v>0.50193688283894389</v>
      </c>
      <c r="K128" s="22">
        <f>(B128)</f>
        <v>0.59689273225404738</v>
      </c>
      <c r="L128" s="22">
        <f>IF(L124=L119,0,(L119-L124)/(B119-B124)*K128)</f>
        <v>0.25931103772383246</v>
      </c>
      <c r="M128" s="57">
        <f t="shared" si="90"/>
        <v>0.50193688283894389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11.982908402081272</v>
      </c>
      <c r="K129" s="29">
        <f>(B129)</f>
        <v>35.326513821511512</v>
      </c>
      <c r="L129" s="60">
        <f>IF(SUM(L124:L128)&gt;L130,0,L130-SUM(L124:L128))</f>
        <v>12.226671421593458</v>
      </c>
      <c r="M129" s="57">
        <f t="shared" si="90"/>
        <v>11.982908402081272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21.94561992130896</v>
      </c>
      <c r="J130" s="229">
        <f>(J119)</f>
        <v>22.014501829272259</v>
      </c>
      <c r="K130" s="22">
        <f>(B130)</f>
        <v>48.901561416403645</v>
      </c>
      <c r="L130" s="22">
        <f>(L119)</f>
        <v>22.015639003669335</v>
      </c>
      <c r="M130" s="57">
        <f t="shared" si="90"/>
        <v>22.014501829272259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1687.980525825423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1784.9324726274476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6270.8592168165596</v>
      </c>
      <c r="I76" s="109">
        <f>Rich!T11</f>
        <v>12474.598286626828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2247.75</v>
      </c>
      <c r="G77" s="109">
        <f>Poor!T12</f>
        <v>4037.6250000000014</v>
      </c>
      <c r="H77" s="109">
        <f>Middle!T12</f>
        <v>416.25000000000006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2637.36</v>
      </c>
      <c r="G78" s="109">
        <f>Poor!T13</f>
        <v>3130.2000000000003</v>
      </c>
      <c r="H78" s="109">
        <f>Middle!T13</f>
        <v>56498.400000000001</v>
      </c>
      <c r="I78" s="109">
        <f>Rich!T13</f>
        <v>224294.39999999997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24764.842913383978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36387.505504470901</v>
      </c>
      <c r="G88" s="109">
        <f>Poor!T23</f>
        <v>41937.764722333493</v>
      </c>
      <c r="H88" s="109">
        <f>Middle!T23</f>
        <v>106707.42836020356</v>
      </c>
      <c r="I88" s="109">
        <f>Rich!T23</f>
        <v>305573.20673858852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10259.681575326002</v>
      </c>
      <c r="G99" s="240">
        <f t="shared" si="0"/>
        <v>3779.8223574634103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34813.121575325989</v>
      </c>
      <c r="G100" s="240">
        <f t="shared" si="0"/>
        <v>28333.262357463405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2016-06-02T08:17:12Z</dcterms:modified>
  <cp:category/>
</cp:coreProperties>
</file>