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920" windowHeight="1694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9" i="1" l="1"/>
  <c r="E48" i="1"/>
  <c r="E47" i="1"/>
  <c r="E46" i="1"/>
  <c r="E45" i="1"/>
  <c r="E44" i="1"/>
  <c r="E43" i="1"/>
  <c r="E42" i="1"/>
  <c r="E41" i="1"/>
  <c r="B1" i="8"/>
  <c r="B1" i="7"/>
  <c r="B1" i="12"/>
  <c r="B72" i="8"/>
  <c r="B71" i="8"/>
  <c r="B70" i="8"/>
  <c r="B72" i="7"/>
  <c r="B70" i="7"/>
  <c r="B71" i="7"/>
  <c r="D6" i="8"/>
  <c r="E6" i="7"/>
  <c r="E6" i="8"/>
  <c r="H6" i="8"/>
  <c r="I6" i="8"/>
  <c r="D7" i="8"/>
  <c r="E7" i="7"/>
  <c r="E7" i="8"/>
  <c r="H7" i="8"/>
  <c r="I7" i="8"/>
  <c r="D8" i="8"/>
  <c r="I8" i="8"/>
  <c r="D9" i="8"/>
  <c r="E9" i="7"/>
  <c r="E9" i="8"/>
  <c r="H9" i="8"/>
  <c r="I9" i="8"/>
  <c r="D10" i="8"/>
  <c r="E10" i="7"/>
  <c r="E10" i="8"/>
  <c r="H10" i="8"/>
  <c r="I10" i="8"/>
  <c r="D11" i="8"/>
  <c r="E11" i="7"/>
  <c r="E11" i="8"/>
  <c r="H11" i="8"/>
  <c r="I11" i="8"/>
  <c r="D12" i="8"/>
  <c r="E12" i="7"/>
  <c r="E12" i="8"/>
  <c r="H12" i="8"/>
  <c r="I12" i="8"/>
  <c r="D13" i="8"/>
  <c r="E13" i="7"/>
  <c r="E13" i="8"/>
  <c r="H13" i="8"/>
  <c r="I13" i="8"/>
  <c r="D14" i="8"/>
  <c r="E14" i="7"/>
  <c r="E14" i="8"/>
  <c r="H14" i="8"/>
  <c r="I14" i="8"/>
  <c r="D15" i="8"/>
  <c r="E15" i="7"/>
  <c r="E15" i="8"/>
  <c r="H15" i="8"/>
  <c r="I15" i="8"/>
  <c r="D16" i="8"/>
  <c r="E16" i="7"/>
  <c r="E16" i="8"/>
  <c r="H16" i="8"/>
  <c r="I16" i="8"/>
  <c r="D17" i="8"/>
  <c r="E17" i="7"/>
  <c r="E17" i="8"/>
  <c r="H17" i="8"/>
  <c r="I17" i="8"/>
  <c r="D18" i="8"/>
  <c r="E18" i="7"/>
  <c r="E18" i="8"/>
  <c r="H18" i="8"/>
  <c r="I18" i="8"/>
  <c r="D19" i="8"/>
  <c r="E19" i="7"/>
  <c r="E19" i="8"/>
  <c r="H19" i="8"/>
  <c r="I19" i="8"/>
  <c r="D20" i="8"/>
  <c r="E20" i="7"/>
  <c r="E20" i="8"/>
  <c r="H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E37" i="7"/>
  <c r="E37" i="8"/>
  <c r="F37" i="7"/>
  <c r="F37" i="8"/>
  <c r="H91" i="8"/>
  <c r="I91" i="8"/>
  <c r="B92" i="8"/>
  <c r="C92" i="8"/>
  <c r="D92" i="8"/>
  <c r="E38" i="7"/>
  <c r="E38" i="8"/>
  <c r="F38" i="7"/>
  <c r="F38" i="8"/>
  <c r="H92" i="8"/>
  <c r="I92" i="8"/>
  <c r="B93" i="8"/>
  <c r="C93" i="8"/>
  <c r="D93" i="8"/>
  <c r="E39" i="7"/>
  <c r="E39" i="8"/>
  <c r="F39" i="7"/>
  <c r="F39" i="8"/>
  <c r="H93" i="8"/>
  <c r="I93" i="8"/>
  <c r="B94" i="8"/>
  <c r="C94" i="8"/>
  <c r="D94" i="8"/>
  <c r="E40" i="7"/>
  <c r="E40" i="8"/>
  <c r="F40" i="7"/>
  <c r="F40" i="8"/>
  <c r="H94" i="8"/>
  <c r="I94" i="8"/>
  <c r="B95" i="8"/>
  <c r="C95" i="8"/>
  <c r="D95" i="8"/>
  <c r="E41" i="7"/>
  <c r="E41" i="8"/>
  <c r="F41" i="7"/>
  <c r="F41" i="8"/>
  <c r="H95" i="8"/>
  <c r="I95" i="8"/>
  <c r="B96" i="8"/>
  <c r="C96" i="8"/>
  <c r="D96" i="8"/>
  <c r="E42" i="7"/>
  <c r="E42" i="8"/>
  <c r="F42" i="7"/>
  <c r="F42" i="8"/>
  <c r="H96" i="8"/>
  <c r="I96" i="8"/>
  <c r="B97" i="8"/>
  <c r="C97" i="8"/>
  <c r="D97" i="8"/>
  <c r="E43" i="7"/>
  <c r="E43" i="8"/>
  <c r="F43" i="7"/>
  <c r="F43" i="8"/>
  <c r="H97" i="8"/>
  <c r="I97" i="8"/>
  <c r="B98" i="8"/>
  <c r="C98" i="8"/>
  <c r="D98" i="8"/>
  <c r="E44" i="7"/>
  <c r="E44" i="8"/>
  <c r="F44" i="7"/>
  <c r="F44" i="8"/>
  <c r="H98" i="8"/>
  <c r="I98" i="8"/>
  <c r="B99" i="8"/>
  <c r="C99" i="8"/>
  <c r="D99" i="8"/>
  <c r="E45" i="7"/>
  <c r="E45" i="8"/>
  <c r="F45" i="7"/>
  <c r="F45" i="8"/>
  <c r="H99" i="8"/>
  <c r="I99" i="8"/>
  <c r="B100" i="8"/>
  <c r="C100" i="8"/>
  <c r="D100" i="8"/>
  <c r="E46" i="7"/>
  <c r="E46" i="8"/>
  <c r="F46" i="7"/>
  <c r="F46" i="8"/>
  <c r="H100" i="8"/>
  <c r="I100" i="8"/>
  <c r="B101" i="8"/>
  <c r="C101" i="8"/>
  <c r="D101" i="8"/>
  <c r="E47" i="7"/>
  <c r="E47" i="8"/>
  <c r="F47" i="7"/>
  <c r="F47" i="8"/>
  <c r="H101" i="8"/>
  <c r="I101" i="8"/>
  <c r="B102" i="8"/>
  <c r="C102" i="8"/>
  <c r="D102" i="8"/>
  <c r="E48" i="7"/>
  <c r="E48" i="8"/>
  <c r="F48" i="7"/>
  <c r="F48" i="8"/>
  <c r="H102" i="8"/>
  <c r="I102" i="8"/>
  <c r="B103" i="8"/>
  <c r="C103" i="8"/>
  <c r="D103" i="8"/>
  <c r="E49" i="7"/>
  <c r="E49" i="8"/>
  <c r="F49" i="7"/>
  <c r="F49" i="8"/>
  <c r="H103" i="8"/>
  <c r="I103" i="8"/>
  <c r="B104" i="8"/>
  <c r="C104" i="8"/>
  <c r="D104" i="8"/>
  <c r="F50" i="7"/>
  <c r="F50" i="8"/>
  <c r="H104" i="8"/>
  <c r="I104" i="8"/>
  <c r="B105" i="8"/>
  <c r="C105" i="8"/>
  <c r="D105" i="8"/>
  <c r="F51" i="7"/>
  <c r="F51" i="8"/>
  <c r="H105" i="8"/>
  <c r="I105" i="8"/>
  <c r="B106" i="8"/>
  <c r="C106" i="8"/>
  <c r="D106" i="8"/>
  <c r="F52" i="7"/>
  <c r="F52" i="8"/>
  <c r="H106" i="8"/>
  <c r="I106" i="8"/>
  <c r="B107" i="8"/>
  <c r="C107" i="8"/>
  <c r="D107" i="8"/>
  <c r="F53" i="7"/>
  <c r="F53" i="8"/>
  <c r="H107" i="8"/>
  <c r="I107" i="8"/>
  <c r="B108" i="8"/>
  <c r="C108" i="8"/>
  <c r="D108" i="8"/>
  <c r="F54" i="7"/>
  <c r="F54" i="8"/>
  <c r="H108" i="8"/>
  <c r="I108" i="8"/>
  <c r="B109" i="8"/>
  <c r="C109" i="8"/>
  <c r="D109" i="8"/>
  <c r="F55" i="7"/>
  <c r="F55" i="8"/>
  <c r="E55" i="7"/>
  <c r="E55" i="8"/>
  <c r="H109" i="8"/>
  <c r="I109" i="8"/>
  <c r="B110" i="8"/>
  <c r="C110" i="8"/>
  <c r="D110" i="8"/>
  <c r="F56" i="7"/>
  <c r="F56" i="8"/>
  <c r="E56" i="7"/>
  <c r="E56" i="8"/>
  <c r="H110" i="8"/>
  <c r="I110" i="8"/>
  <c r="B111" i="8"/>
  <c r="C111" i="8"/>
  <c r="D111" i="8"/>
  <c r="F57" i="7"/>
  <c r="F57" i="8"/>
  <c r="H111" i="8"/>
  <c r="I111" i="8"/>
  <c r="B112" i="8"/>
  <c r="C112" i="8"/>
  <c r="D112" i="8"/>
  <c r="F58" i="7"/>
  <c r="F58" i="8"/>
  <c r="H112" i="8"/>
  <c r="I112" i="8"/>
  <c r="B113" i="8"/>
  <c r="C113" i="8"/>
  <c r="D113" i="8"/>
  <c r="F59" i="7"/>
  <c r="F59" i="8"/>
  <c r="H113" i="8"/>
  <c r="I113" i="8"/>
  <c r="B114" i="8"/>
  <c r="C114" i="8"/>
  <c r="D114" i="8"/>
  <c r="I114" i="8"/>
  <c r="B115" i="8"/>
  <c r="C115" i="8"/>
  <c r="D115" i="8"/>
  <c r="F61" i="7"/>
  <c r="F61" i="8"/>
  <c r="H115" i="8"/>
  <c r="I115" i="8"/>
  <c r="B116" i="8"/>
  <c r="C116" i="8"/>
  <c r="D116" i="8"/>
  <c r="I116" i="8"/>
  <c r="B117" i="8"/>
  <c r="C117" i="8"/>
  <c r="D117" i="8"/>
  <c r="I117" i="8"/>
  <c r="B118" i="8"/>
  <c r="C118" i="8"/>
  <c r="D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H6" i="7"/>
  <c r="I6" i="7"/>
  <c r="D7" i="7"/>
  <c r="H7" i="7"/>
  <c r="I7" i="7"/>
  <c r="D8" i="7"/>
  <c r="I8" i="7"/>
  <c r="D9" i="7"/>
  <c r="H9" i="7"/>
  <c r="I9" i="7"/>
  <c r="D10" i="7"/>
  <c r="H10" i="7"/>
  <c r="I10" i="7"/>
  <c r="D11" i="7"/>
  <c r="H11" i="7"/>
  <c r="I11" i="7"/>
  <c r="D12" i="7"/>
  <c r="H12" i="7"/>
  <c r="I12" i="7"/>
  <c r="D13" i="7"/>
  <c r="H13" i="7"/>
  <c r="I13" i="7"/>
  <c r="D14" i="7"/>
  <c r="H14" i="7"/>
  <c r="I14" i="7"/>
  <c r="D15" i="7"/>
  <c r="H15" i="7"/>
  <c r="I15" i="7"/>
  <c r="D16" i="7"/>
  <c r="H16" i="7"/>
  <c r="I16" i="7"/>
  <c r="D17" i="7"/>
  <c r="H17" i="7"/>
  <c r="I17" i="7"/>
  <c r="D18" i="7"/>
  <c r="H18" i="7"/>
  <c r="I18" i="7"/>
  <c r="D19" i="7"/>
  <c r="H19" i="7"/>
  <c r="I19" i="7"/>
  <c r="D20" i="7"/>
  <c r="H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H92" i="7"/>
  <c r="I92" i="7"/>
  <c r="B93" i="7"/>
  <c r="C93" i="7"/>
  <c r="D93" i="7"/>
  <c r="H93" i="7"/>
  <c r="I93" i="7"/>
  <c r="B94" i="7"/>
  <c r="C94" i="7"/>
  <c r="D94" i="7"/>
  <c r="H94" i="7"/>
  <c r="I94" i="7"/>
  <c r="B95" i="7"/>
  <c r="C95" i="7"/>
  <c r="D95" i="7"/>
  <c r="H95" i="7"/>
  <c r="I95" i="7"/>
  <c r="B96" i="7"/>
  <c r="C96" i="7"/>
  <c r="D96" i="7"/>
  <c r="H96" i="7"/>
  <c r="I96" i="7"/>
  <c r="B97" i="7"/>
  <c r="C97" i="7"/>
  <c r="D97" i="7"/>
  <c r="H97" i="7"/>
  <c r="I97" i="7"/>
  <c r="B98" i="7"/>
  <c r="C98" i="7"/>
  <c r="D98" i="7"/>
  <c r="H98" i="7"/>
  <c r="I98" i="7"/>
  <c r="B99" i="7"/>
  <c r="C99" i="7"/>
  <c r="D99" i="7"/>
  <c r="H99" i="7"/>
  <c r="I99" i="7"/>
  <c r="B100" i="7"/>
  <c r="C100" i="7"/>
  <c r="D100" i="7"/>
  <c r="H100" i="7"/>
  <c r="I100" i="7"/>
  <c r="B101" i="7"/>
  <c r="C101" i="7"/>
  <c r="D101" i="7"/>
  <c r="H101" i="7"/>
  <c r="I101" i="7"/>
  <c r="B102" i="7"/>
  <c r="C102" i="7"/>
  <c r="D102" i="7"/>
  <c r="H102" i="7"/>
  <c r="I102" i="7"/>
  <c r="B103" i="7"/>
  <c r="C103" i="7"/>
  <c r="D103" i="7"/>
  <c r="H103" i="7"/>
  <c r="I103" i="7"/>
  <c r="B104" i="7"/>
  <c r="C104" i="7"/>
  <c r="D104" i="7"/>
  <c r="H104" i="7"/>
  <c r="I104" i="7"/>
  <c r="B105" i="7"/>
  <c r="C105" i="7"/>
  <c r="D105" i="7"/>
  <c r="H105" i="7"/>
  <c r="I105" i="7"/>
  <c r="B106" i="7"/>
  <c r="C106" i="7"/>
  <c r="D106" i="7"/>
  <c r="H106" i="7"/>
  <c r="I106" i="7"/>
  <c r="B107" i="7"/>
  <c r="C107" i="7"/>
  <c r="D107" i="7"/>
  <c r="H107" i="7"/>
  <c r="I107" i="7"/>
  <c r="B108" i="7"/>
  <c r="C108" i="7"/>
  <c r="D108" i="7"/>
  <c r="H108" i="7"/>
  <c r="I108" i="7"/>
  <c r="B109" i="7"/>
  <c r="C109" i="7"/>
  <c r="D109" i="7"/>
  <c r="H109" i="7"/>
  <c r="I109" i="7"/>
  <c r="B110" i="7"/>
  <c r="C110" i="7"/>
  <c r="D110" i="7"/>
  <c r="H110" i="7"/>
  <c r="I110" i="7"/>
  <c r="B111" i="7"/>
  <c r="C111" i="7"/>
  <c r="D111" i="7"/>
  <c r="H111" i="7"/>
  <c r="I111" i="7"/>
  <c r="B112" i="7"/>
  <c r="C112" i="7"/>
  <c r="D112" i="7"/>
  <c r="H112" i="7"/>
  <c r="I112" i="7"/>
  <c r="B113" i="7"/>
  <c r="C113" i="7"/>
  <c r="D113" i="7"/>
  <c r="H113" i="7"/>
  <c r="I113" i="7"/>
  <c r="B114" i="7"/>
  <c r="C114" i="7"/>
  <c r="D114" i="7"/>
  <c r="I114" i="7"/>
  <c r="B115" i="7"/>
  <c r="C115" i="7"/>
  <c r="D115" i="7"/>
  <c r="H115" i="7"/>
  <c r="I115" i="7"/>
  <c r="B116" i="7"/>
  <c r="C116" i="7"/>
  <c r="D116" i="7"/>
  <c r="I116" i="7"/>
  <c r="B117" i="7"/>
  <c r="C117" i="7"/>
  <c r="D117" i="7"/>
  <c r="I117" i="7"/>
  <c r="B118" i="7"/>
  <c r="C118" i="7"/>
  <c r="D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L30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2" i="1"/>
  <c r="L128" i="1"/>
  <c r="B126" i="1"/>
  <c r="B127" i="1"/>
  <c r="H126" i="1"/>
  <c r="H127" i="1"/>
  <c r="L127" i="1"/>
  <c r="K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B128" i="1"/>
  <c r="K128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E6" i="12"/>
  <c r="H6" i="12"/>
  <c r="I6" i="12"/>
  <c r="D7" i="12"/>
  <c r="E7" i="12"/>
  <c r="H7" i="12"/>
  <c r="I7" i="12"/>
  <c r="D8" i="12"/>
  <c r="I8" i="12"/>
  <c r="D9" i="12"/>
  <c r="E9" i="12"/>
  <c r="H9" i="12"/>
  <c r="I9" i="12"/>
  <c r="D10" i="12"/>
  <c r="E10" i="12"/>
  <c r="H10" i="12"/>
  <c r="I10" i="12"/>
  <c r="D11" i="12"/>
  <c r="E11" i="12"/>
  <c r="H11" i="12"/>
  <c r="I11" i="12"/>
  <c r="D12" i="12"/>
  <c r="E12" i="12"/>
  <c r="H12" i="12"/>
  <c r="I12" i="12"/>
  <c r="D13" i="12"/>
  <c r="E13" i="12"/>
  <c r="H13" i="12"/>
  <c r="I13" i="12"/>
  <c r="D14" i="12"/>
  <c r="E14" i="12"/>
  <c r="H14" i="12"/>
  <c r="I14" i="12"/>
  <c r="D15" i="12"/>
  <c r="E15" i="12"/>
  <c r="H15" i="12"/>
  <c r="I15" i="12"/>
  <c r="D16" i="12"/>
  <c r="E16" i="12"/>
  <c r="H16" i="12"/>
  <c r="I16" i="12"/>
  <c r="D17" i="12"/>
  <c r="E17" i="12"/>
  <c r="H17" i="12"/>
  <c r="I17" i="12"/>
  <c r="D18" i="12"/>
  <c r="E18" i="12"/>
  <c r="H18" i="12"/>
  <c r="I18" i="12"/>
  <c r="D19" i="12"/>
  <c r="E19" i="12"/>
  <c r="H19" i="12"/>
  <c r="I19" i="12"/>
  <c r="D20" i="12"/>
  <c r="E20" i="12"/>
  <c r="H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E37" i="12"/>
  <c r="F37" i="12"/>
  <c r="H91" i="12"/>
  <c r="I91" i="12"/>
  <c r="B92" i="12"/>
  <c r="C92" i="12"/>
  <c r="D92" i="12"/>
  <c r="E38" i="12"/>
  <c r="F38" i="12"/>
  <c r="H92" i="12"/>
  <c r="I92" i="12"/>
  <c r="B93" i="12"/>
  <c r="C93" i="12"/>
  <c r="D93" i="12"/>
  <c r="E39" i="12"/>
  <c r="F39" i="12"/>
  <c r="H93" i="12"/>
  <c r="I93" i="12"/>
  <c r="B94" i="12"/>
  <c r="C94" i="12"/>
  <c r="D94" i="12"/>
  <c r="E40" i="12"/>
  <c r="F40" i="12"/>
  <c r="H94" i="12"/>
  <c r="I94" i="12"/>
  <c r="B95" i="12"/>
  <c r="C95" i="12"/>
  <c r="D95" i="12"/>
  <c r="E41" i="12"/>
  <c r="F41" i="12"/>
  <c r="H95" i="12"/>
  <c r="I95" i="12"/>
  <c r="B96" i="12"/>
  <c r="C96" i="12"/>
  <c r="D96" i="12"/>
  <c r="E42" i="12"/>
  <c r="F42" i="12"/>
  <c r="H96" i="12"/>
  <c r="I96" i="12"/>
  <c r="B97" i="12"/>
  <c r="C97" i="12"/>
  <c r="D97" i="12"/>
  <c r="E43" i="12"/>
  <c r="F43" i="12"/>
  <c r="H97" i="12"/>
  <c r="I97" i="12"/>
  <c r="B98" i="12"/>
  <c r="C98" i="12"/>
  <c r="D98" i="12"/>
  <c r="E44" i="12"/>
  <c r="F44" i="12"/>
  <c r="H98" i="12"/>
  <c r="I98" i="12"/>
  <c r="B99" i="12"/>
  <c r="C99" i="12"/>
  <c r="D99" i="12"/>
  <c r="E45" i="12"/>
  <c r="F45" i="12"/>
  <c r="H99" i="12"/>
  <c r="I99" i="12"/>
  <c r="B100" i="12"/>
  <c r="C100" i="12"/>
  <c r="D100" i="12"/>
  <c r="E46" i="12"/>
  <c r="F46" i="12"/>
  <c r="H100" i="12"/>
  <c r="I100" i="12"/>
  <c r="B101" i="12"/>
  <c r="C101" i="12"/>
  <c r="D101" i="12"/>
  <c r="E47" i="12"/>
  <c r="F47" i="12"/>
  <c r="H101" i="12"/>
  <c r="I101" i="12"/>
  <c r="B102" i="12"/>
  <c r="C102" i="12"/>
  <c r="D102" i="12"/>
  <c r="E48" i="12"/>
  <c r="F48" i="12"/>
  <c r="H102" i="12"/>
  <c r="I102" i="12"/>
  <c r="B103" i="12"/>
  <c r="C103" i="12"/>
  <c r="D103" i="12"/>
  <c r="E49" i="12"/>
  <c r="F49" i="12"/>
  <c r="H103" i="12"/>
  <c r="I103" i="12"/>
  <c r="B104" i="12"/>
  <c r="C104" i="12"/>
  <c r="D104" i="12"/>
  <c r="F50" i="12"/>
  <c r="H104" i="12"/>
  <c r="I104" i="12"/>
  <c r="B105" i="12"/>
  <c r="C105" i="12"/>
  <c r="D105" i="12"/>
  <c r="F51" i="12"/>
  <c r="H105" i="12"/>
  <c r="I105" i="12"/>
  <c r="B106" i="12"/>
  <c r="C106" i="12"/>
  <c r="D106" i="12"/>
  <c r="F52" i="12"/>
  <c r="H106" i="12"/>
  <c r="I106" i="12"/>
  <c r="B107" i="12"/>
  <c r="C107" i="12"/>
  <c r="D107" i="12"/>
  <c r="F53" i="12"/>
  <c r="H107" i="12"/>
  <c r="I107" i="12"/>
  <c r="B108" i="12"/>
  <c r="C108" i="12"/>
  <c r="D108" i="12"/>
  <c r="F54" i="12"/>
  <c r="H108" i="12"/>
  <c r="I108" i="12"/>
  <c r="B109" i="12"/>
  <c r="C109" i="12"/>
  <c r="D109" i="12"/>
  <c r="F55" i="12"/>
  <c r="E55" i="12"/>
  <c r="H109" i="12"/>
  <c r="I109" i="12"/>
  <c r="B110" i="12"/>
  <c r="C110" i="12"/>
  <c r="D110" i="12"/>
  <c r="F56" i="12"/>
  <c r="E56" i="12"/>
  <c r="H110" i="12"/>
  <c r="I110" i="12"/>
  <c r="B111" i="12"/>
  <c r="C111" i="12"/>
  <c r="D111" i="12"/>
  <c r="F57" i="12"/>
  <c r="H111" i="12"/>
  <c r="I111" i="12"/>
  <c r="B112" i="12"/>
  <c r="C112" i="12"/>
  <c r="D112" i="12"/>
  <c r="F58" i="12"/>
  <c r="H112" i="12"/>
  <c r="I112" i="12"/>
  <c r="B113" i="12"/>
  <c r="C113" i="12"/>
  <c r="D113" i="12"/>
  <c r="F59" i="12"/>
  <c r="H113" i="12"/>
  <c r="I113" i="12"/>
  <c r="B114" i="12"/>
  <c r="C114" i="12"/>
  <c r="D114" i="12"/>
  <c r="I114" i="12"/>
  <c r="B115" i="12"/>
  <c r="C115" i="12"/>
  <c r="D115" i="12"/>
  <c r="F61" i="12"/>
  <c r="H115" i="12"/>
  <c r="I115" i="12"/>
  <c r="B116" i="12"/>
  <c r="C116" i="12"/>
  <c r="D116" i="12"/>
  <c r="I116" i="12"/>
  <c r="B117" i="12"/>
  <c r="C117" i="12"/>
  <c r="D117" i="12"/>
  <c r="I117" i="12"/>
  <c r="B118" i="12"/>
  <c r="C118" i="12"/>
  <c r="D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G37" i="7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H114" i="8"/>
  <c r="G61" i="8"/>
  <c r="G62" i="8"/>
  <c r="H116" i="8"/>
  <c r="G63" i="8"/>
  <c r="H117" i="8"/>
  <c r="G64" i="8"/>
  <c r="H118" i="8"/>
  <c r="G38" i="1"/>
  <c r="G38" i="7"/>
  <c r="G39" i="1"/>
  <c r="G39" i="7"/>
  <c r="G40" i="1"/>
  <c r="G40" i="7"/>
  <c r="G41" i="1"/>
  <c r="G41" i="7"/>
  <c r="G42" i="1"/>
  <c r="G42" i="7"/>
  <c r="G43" i="1"/>
  <c r="G43" i="7"/>
  <c r="G44" i="1"/>
  <c r="G44" i="7"/>
  <c r="G45" i="1"/>
  <c r="G45" i="7"/>
  <c r="G46" i="1"/>
  <c r="G46" i="7"/>
  <c r="G47" i="1"/>
  <c r="G47" i="7"/>
  <c r="G48" i="1"/>
  <c r="G48" i="7"/>
  <c r="G49" i="1"/>
  <c r="G49" i="7"/>
  <c r="G50" i="1"/>
  <c r="G50" i="7"/>
  <c r="G51" i="1"/>
  <c r="G51" i="7"/>
  <c r="G52" i="1"/>
  <c r="G52" i="7"/>
  <c r="G53" i="1"/>
  <c r="G53" i="7"/>
  <c r="G54" i="1"/>
  <c r="G54" i="7"/>
  <c r="G55" i="1"/>
  <c r="G55" i="7"/>
  <c r="G56" i="1"/>
  <c r="G56" i="7"/>
  <c r="G57" i="1"/>
  <c r="G57" i="7"/>
  <c r="G58" i="1"/>
  <c r="G58" i="7"/>
  <c r="G59" i="1"/>
  <c r="G59" i="7"/>
  <c r="G60" i="1"/>
  <c r="G60" i="7"/>
  <c r="H114" i="7"/>
  <c r="G61" i="1"/>
  <c r="G61" i="7"/>
  <c r="G62" i="1"/>
  <c r="G62" i="7"/>
  <c r="H116" i="7"/>
  <c r="G63" i="1"/>
  <c r="G63" i="7"/>
  <c r="H117" i="7"/>
  <c r="G64" i="1"/>
  <c r="G64" i="7"/>
  <c r="H118" i="7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H114" i="12"/>
  <c r="G61" i="12"/>
  <c r="G62" i="12"/>
  <c r="H116" i="12"/>
  <c r="G63" i="12"/>
  <c r="H117" i="12"/>
  <c r="G64" i="12"/>
  <c r="H118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H83" i="8"/>
  <c r="H83" i="7"/>
  <c r="H83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0" i="12"/>
  <c r="E51" i="12"/>
  <c r="E52" i="12"/>
  <c r="E53" i="12"/>
  <c r="E54" i="12"/>
  <c r="E57" i="12"/>
  <c r="E58" i="12"/>
  <c r="E59" i="12"/>
  <c r="E60" i="12"/>
  <c r="F60" i="12"/>
  <c r="E61" i="12"/>
  <c r="E62" i="12"/>
  <c r="F62" i="12"/>
  <c r="E63" i="12"/>
  <c r="F63" i="12"/>
  <c r="E64" i="12"/>
  <c r="F64" i="12"/>
  <c r="E30" i="12"/>
  <c r="E8" i="12"/>
  <c r="H8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0" i="7"/>
  <c r="E51" i="7"/>
  <c r="E52" i="7"/>
  <c r="E53" i="7"/>
  <c r="E54" i="7"/>
  <c r="E57" i="7"/>
  <c r="E58" i="7"/>
  <c r="E59" i="7"/>
  <c r="E60" i="7"/>
  <c r="F60" i="7"/>
  <c r="E61" i="7"/>
  <c r="E62" i="7"/>
  <c r="F62" i="7"/>
  <c r="E63" i="7"/>
  <c r="F63" i="7"/>
  <c r="E64" i="7"/>
  <c r="F64" i="7"/>
  <c r="E30" i="7"/>
  <c r="E8" i="7"/>
  <c r="H8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0" i="8"/>
  <c r="E51" i="8"/>
  <c r="E52" i="8"/>
  <c r="E53" i="8"/>
  <c r="E54" i="8"/>
  <c r="E57" i="8"/>
  <c r="E58" i="8"/>
  <c r="E59" i="8"/>
  <c r="E60" i="8"/>
  <c r="F60" i="8"/>
  <c r="E61" i="8"/>
  <c r="E62" i="8"/>
  <c r="F62" i="8"/>
  <c r="E63" i="8"/>
  <c r="F63" i="8"/>
  <c r="E64" i="8"/>
  <c r="F64" i="8"/>
  <c r="E30" i="8"/>
  <c r="E8" i="8"/>
  <c r="H8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E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E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E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<sst xmlns="http://schemas.openxmlformats.org/spreadsheetml/2006/main" count="849" uniqueCount="189">
  <si>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</si>
  <si>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</si>
  <si>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</si>
  <si>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</si>
  <si>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</si>
  <si>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</si>
  <si>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</si>
  <si>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</si>
  <si>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</si>
  <si>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</si>
  <si>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</si>
  <si>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</si>
  <si>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</si>
  <si>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</si>
  <si>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</si>
  <si>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</si>
  <si>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</si>
  <si>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</si>
  <si>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</si>
  <si>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</si>
  <si>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</si>
  <si>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</si>
  <si>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</si>
  <si>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</si>
  <si>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</si>
  <si>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</si>
  <si>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</si>
  <si>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</si>
  <si>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</si>
  <si>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</si>
  <si>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</si>
  <si>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</si>
  <si>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</si>
  <si>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</si>
  <si>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</si>
  <si>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</si>
  <si>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</si>
  <si>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</si>
  <si>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</si>
  <si>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</si>
  <si>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</si>
  <si>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</si>
  <si>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</si>
  <si>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</si>
  <si>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</si>
  <si>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</si>
  <si>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</si>
  <si>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</si>
  <si>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</si>
  <si>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</si>
  <si>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</si>
  <si>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</si>
  <si>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</si>
  <si>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</si>
  <si>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</si>
  <si>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</si>
  <si>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</si>
  <si>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</si>
  <si>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</si>
  <si>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</si>
  <si>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</si>
  <si>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</si>
  <si>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</si>
  <si>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</si>
  <si>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</si>
  <si>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</si>
  <si>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</si>
  <si>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</si>
  <si>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</si>
  <si>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</si>
  <si>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</si>
  <si>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</si>
  <si>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</si>
  <si>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</si>
  <si>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</si>
  <si>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</si>
  <si>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</si>
  <si>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</si>
  <si>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</si>
  <si>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</si>
  <si>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</si>
  <si>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</si>
  <si>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</si>
  <si>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</si>
  <si>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</si>
  <si>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</si>
  <si>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</si>
  <si>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</si>
  <si>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</si>
  <si>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</si>
  <si>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</si>
  <si>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</si>
  <si>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</si>
  <si>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</si>
  <si>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</si>
  <si>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</si>
  <si>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</si>
  <si>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</si>
  <si>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</si>
  <si>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</si>
  <si>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</si>
  <si>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</si>
  <si>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</si>
  <si>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</si>
  <si>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</si>
  <si>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</si>
  <si>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</si>
  <si>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</si>
  <si>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</si>
  <si>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</si>
  <si>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</si>
  <si>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</si>
  <si>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</si>
  <si>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</si>
  <si>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</si>
  <si>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</si>
  <si>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</si>
  <si>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</si>
  <si>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</si>
  <si>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</si>
  <si>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</si>
  <si>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</si>
  <si>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</si>
  <si>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</si>
  <si>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</si>
  <si>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</si>
  <si>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</si>
  <si>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</si>
  <si>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</si>
  <si>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</si>
  <si>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</si>
  <si>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</si>
  <si>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</si>
  <si>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</si>
  <si>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</si>
  <si>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</si>
  <si>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</si>
  <si>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</si>
  <si>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</si>
  <si>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</si>
  <si>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</si>
  <si>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</si>
  <si>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</si>
  <si>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</si>
  <si>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</si>
  <si>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Cows' milk - season 1</t>
  </si>
  <si>
    <t>Own meat</t>
  </si>
  <si>
    <t>Green cons - Season 1: no of months</t>
  </si>
  <si>
    <t>Maize: kg produced</t>
  </si>
  <si>
    <t>Beans: kg produced</t>
  </si>
  <si>
    <t>Potatoes: no. local meas</t>
  </si>
  <si>
    <t>Cabbage: no. local meas</t>
  </si>
  <si>
    <t>beetroot: no. local meas</t>
  </si>
  <si>
    <t>Groundnuts (dry): no. local meas</t>
  </si>
  <si>
    <t>Cow peas</t>
  </si>
  <si>
    <t>Other crop: Spinach</t>
  </si>
  <si>
    <t>Other crop: pumpkin</t>
  </si>
  <si>
    <t>Sweet Potatoes: kg produced</t>
  </si>
  <si>
    <t>Amadumbe: kg produced</t>
  </si>
  <si>
    <t>Green Pepper/ Brinjal / Beetroot: kg produced</t>
  </si>
  <si>
    <t>FISHING -- see worksheet Data 3</t>
  </si>
  <si>
    <t>WILD FOODS -- see worksheet Data 3</t>
  </si>
  <si>
    <t/>
  </si>
  <si>
    <t>Food aid</t>
  </si>
  <si>
    <t>Purchase - other</t>
  </si>
  <si>
    <t>Purchase - desirable</t>
  </si>
  <si>
    <t>Purchase - fpl non staple</t>
  </si>
  <si>
    <t>Cattle sales - local: no. sold</t>
  </si>
  <si>
    <t>Goat sales - local: no. sold</t>
  </si>
  <si>
    <t>Sheep sales - local: no. sold</t>
  </si>
  <si>
    <t>Chicken sales: no. sold</t>
  </si>
  <si>
    <t>potatoes: kg produced</t>
  </si>
  <si>
    <t>Other crop: Cabbage</t>
  </si>
  <si>
    <t>Spinach: no produced</t>
  </si>
  <si>
    <t>Other cashcrop: sugar cane (tons)</t>
  </si>
  <si>
    <t>Agricultural cash income -- see Data2</t>
  </si>
  <si>
    <t>Construction cash income -- see Data2</t>
  </si>
  <si>
    <t>Domestic work cash income -- see Data2</t>
  </si>
  <si>
    <t>Formal Employment (conservancies, etc.)</t>
  </si>
  <si>
    <t>Labour migration(formal employment): no. people per HH</t>
  </si>
  <si>
    <t>Small business -- see Data2</t>
  </si>
  <si>
    <t>Social development -- see Data2</t>
  </si>
  <si>
    <t>Public works -- see Data2</t>
  </si>
  <si>
    <t>Gifts/social support: type (Child support, Pension and Foster Care)</t>
  </si>
  <si>
    <t>Other income: e.g. Credit (cotton loans)</t>
  </si>
  <si>
    <t>Remittances: no. times per year</t>
  </si>
  <si>
    <t>mix</t>
  </si>
  <si>
    <t>ZA1XX, 59100</t>
  </si>
  <si>
    <t xml:space="preserve">Open access Livestock husbandry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</si>
</sst>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3" fontId="7" fillId="0" borderId="15" xfId="0" applyNumberFormat="1" applyFont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Percent" xfId="6" builtinId="5"/>
    <cellStyle name="Total" xfId="7" builtinId="25" customBuiltin="1"/>
  </cellStyles>
  <dxfs count="41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0.0359775466998755</c:v>
                </c:pt>
                <c:pt idx="1">
                  <c:v>0.0179887733499377</c:v>
                </c:pt>
                <c:pt idx="2" formatCode="0.0%">
                  <c:v>0.0179887733499377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0.0285966021948941</c:v>
                </c:pt>
                <c:pt idx="1">
                  <c:v>0.0142983010974471</c:v>
                </c:pt>
                <c:pt idx="2" formatCode="0.0%">
                  <c:v>0.0142983010974471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0.0136111111111111</c:v>
                </c:pt>
                <c:pt idx="1">
                  <c:v>0.0136111111111111</c:v>
                </c:pt>
                <c:pt idx="2" formatCode="0.0%">
                  <c:v>0.0136111111111111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0.123220194894147</c:v>
                </c:pt>
                <c:pt idx="1">
                  <c:v>0.13431001243462</c:v>
                </c:pt>
                <c:pt idx="2" formatCode="0.0%">
                  <c:v>0.13431001243462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0.0233829260585305</c:v>
                </c:pt>
                <c:pt idx="1">
                  <c:v>0.0187063408468244</c:v>
                </c:pt>
                <c:pt idx="2" formatCode="0.0%">
                  <c:v>0.0185587122131993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0.0056812901618929</c:v>
                </c:pt>
                <c:pt idx="1">
                  <c:v>0.00454503212951432</c:v>
                </c:pt>
                <c:pt idx="2" formatCode="0.0%">
                  <c:v>0.00481937381150379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0.00340448318804483</c:v>
                </c:pt>
                <c:pt idx="1">
                  <c:v>0.00272358655043586</c:v>
                </c:pt>
                <c:pt idx="2" formatCode="0.0%">
                  <c:v>0.00274290016953159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0.00075887297633873</c:v>
                </c:pt>
                <c:pt idx="1">
                  <c:v>0.000607098381070984</c:v>
                </c:pt>
                <c:pt idx="2" formatCode="0.0%">
                  <c:v>0.00061136839889827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0.00628932440846824</c:v>
                </c:pt>
                <c:pt idx="1">
                  <c:v>0.00503145952677459</c:v>
                </c:pt>
                <c:pt idx="2" formatCode="0.0%">
                  <c:v>0.00503145952677459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0.00298987313200498</c:v>
                </c:pt>
                <c:pt idx="1">
                  <c:v>0.00239189850560398</c:v>
                </c:pt>
                <c:pt idx="2" formatCode="0.0%">
                  <c:v>0.00239189850560398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0.00080923100871731</c:v>
                </c:pt>
                <c:pt idx="1">
                  <c:v>0.000647384806973848</c:v>
                </c:pt>
                <c:pt idx="2" formatCode="0.0%">
                  <c:v>0.000651786209965051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0.00381269925280199</c:v>
                </c:pt>
                <c:pt idx="1">
                  <c:v>0.00305015940224159</c:v>
                </c:pt>
                <c:pt idx="2" formatCode="0.0%">
                  <c:v>0.00305015940224159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0.007453300124533</c:v>
                </c:pt>
                <c:pt idx="1">
                  <c:v>0.0059626400996264</c:v>
                </c:pt>
                <c:pt idx="2" formatCode="0.0%">
                  <c:v>0.00610243391403356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0.00351826484018265</c:v>
                </c:pt>
                <c:pt idx="1">
                  <c:v>0.00281461187214612</c:v>
                </c:pt>
                <c:pt idx="2" formatCode="0.0%">
                  <c:v>0.00301688079183074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0.000215753424657534</c:v>
                </c:pt>
                <c:pt idx="1">
                  <c:v>0.000172602739726027</c:v>
                </c:pt>
                <c:pt idx="2" formatCode="0.0%">
                  <c:v>0.000172602739726027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0.00680417185554172</c:v>
                </c:pt>
                <c:pt idx="1">
                  <c:v>0.00680417185554172</c:v>
                </c:pt>
                <c:pt idx="2" formatCode="0.0%">
                  <c:v>0.00686399316298745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0.000339975093399751</c:v>
                </c:pt>
                <c:pt idx="1">
                  <c:v>0.000339975093399751</c:v>
                </c:pt>
                <c:pt idx="2" formatCode="0.0%">
                  <c:v>0.000342964105878851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0.152813229719126</c:v>
                </c:pt>
                <c:pt idx="1">
                  <c:v>0.152813229719126</c:v>
                </c:pt>
                <c:pt idx="2" formatCode="0.0%">
                  <c:v>0.152813229719126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0.0277088732876712</c:v>
                </c:pt>
                <c:pt idx="1">
                  <c:v>0.0277088732876712</c:v>
                </c:pt>
                <c:pt idx="2" formatCode="0.0%">
                  <c:v>0.0267344234571211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0.220951352895392</c:v>
                </c:pt>
                <c:pt idx="1">
                  <c:v>0.220951352895392</c:v>
                </c:pt>
                <c:pt idx="2" formatCode="0.0%">
                  <c:v>0.221084860629983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0.592746557596513</c:v>
                </c:pt>
                <c:pt idx="1">
                  <c:v>0.592739427131758</c:v>
                </c:pt>
                <c:pt idx="2" formatCode="0.0%">
                  <c:v>0.364802755248479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5444056"/>
        <c:axId val="2085315720"/>
      </c:barChart>
      <c:catAx>
        <c:axId val="2085444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5315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5315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54440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0.122937383892471</c:v>
                </c:pt>
                <c:pt idx="1">
                  <c:v>0.116052890394492</c:v>
                </c:pt>
                <c:pt idx="2">
                  <c:v>0.116762968819262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0.0256119549775981</c:v>
                </c:pt>
                <c:pt idx="1">
                  <c:v>0.0241776854988526</c:v>
                </c:pt>
                <c:pt idx="2">
                  <c:v>0.0232545835466518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0.00546388372855426</c:v>
                </c:pt>
                <c:pt idx="1">
                  <c:v>0.00515790623975522</c:v>
                </c:pt>
                <c:pt idx="2">
                  <c:v>0.00515790623975522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0.00478089826248497</c:v>
                </c:pt>
                <c:pt idx="1">
                  <c:v>0.00564145994973227</c:v>
                </c:pt>
                <c:pt idx="2">
                  <c:v>0.00564145994973227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0.00939105015845263</c:v>
                </c:pt>
                <c:pt idx="1">
                  <c:v>0.0143307425417987</c:v>
                </c:pt>
                <c:pt idx="2">
                  <c:v>0.0151198961725049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0.0595904819145449</c:v>
                </c:pt>
                <c:pt idx="1">
                  <c:v>0.0667413397442902</c:v>
                </c:pt>
                <c:pt idx="2">
                  <c:v>0.0666865794589902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0.00853731832586603</c:v>
                </c:pt>
                <c:pt idx="1">
                  <c:v>0.00956179652496995</c:v>
                </c:pt>
                <c:pt idx="2">
                  <c:v>0.0100883377297781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0.000956179652496995</c:v>
                </c:pt>
                <c:pt idx="1">
                  <c:v>0.00107092121079663</c:v>
                </c:pt>
                <c:pt idx="2">
                  <c:v>0.00112989382573515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0.000290268823079445</c:v>
                </c:pt>
                <c:pt idx="1">
                  <c:v>0.000325101081848978</c:v>
                </c:pt>
                <c:pt idx="2">
                  <c:v>0.000343003482812455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8.53731832586603E-5</c:v>
                </c:pt>
                <c:pt idx="1">
                  <c:v>9.56179652496995E-5</c:v>
                </c:pt>
                <c:pt idx="2">
                  <c:v>0.000100883377297781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0.000273194186427713</c:v>
                </c:pt>
                <c:pt idx="1">
                  <c:v>0.000305977488799038</c:v>
                </c:pt>
                <c:pt idx="2">
                  <c:v>0.000322826807352899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0.368812151677412</c:v>
                </c:pt>
                <c:pt idx="1">
                  <c:v>0.409381488361928</c:v>
                </c:pt>
                <c:pt idx="2">
                  <c:v>0.409381488361928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0.0655666047426511</c:v>
                </c:pt>
                <c:pt idx="1">
                  <c:v>0.0727789312643427</c:v>
                </c:pt>
                <c:pt idx="2">
                  <c:v>0.0727789312643427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0.150803190908097</c:v>
                </c:pt>
                <c:pt idx="1">
                  <c:v>0.177947765271555</c:v>
                </c:pt>
                <c:pt idx="2">
                  <c:v>0.177947765271555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0.0547071358321495</c:v>
                </c:pt>
                <c:pt idx="1">
                  <c:v>0.0322772101409682</c:v>
                </c:pt>
                <c:pt idx="2">
                  <c:v>0.0322772101409682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0.0680663315484646</c:v>
                </c:pt>
                <c:pt idx="1">
                  <c:v>0.0803182712271883</c:v>
                </c:pt>
                <c:pt idx="2">
                  <c:v>0.0803182712271883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0.00853731832586603</c:v>
                </c:pt>
                <c:pt idx="1">
                  <c:v>0.0100740356245219</c:v>
                </c:pt>
                <c:pt idx="2">
                  <c:v>0.0100740356245219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0.0455892798601246</c:v>
                </c:pt>
                <c:pt idx="1">
                  <c:v>0.0506041006447383</c:v>
                </c:pt>
                <c:pt idx="2">
                  <c:v>0.0506041006447383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6108536"/>
        <c:axId val="-2086105512"/>
      </c:barChart>
      <c:catAx>
        <c:axId val="-2086108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6105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6105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61085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0.0750642745101679</c:v>
                </c:pt>
                <c:pt idx="1">
                  <c:v>0.0708606751375985</c:v>
                </c:pt>
                <c:pt idx="2">
                  <c:v>0.0707564198021395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0.0227397183987526</c:v>
                </c:pt>
                <c:pt idx="1">
                  <c:v>0.0214662941684224</c:v>
                </c:pt>
                <c:pt idx="2">
                  <c:v>0.021304698398461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0.00556891062826593</c:v>
                </c:pt>
                <c:pt idx="1">
                  <c:v>0.00525705163308304</c:v>
                </c:pt>
                <c:pt idx="2">
                  <c:v>0.00525705163308304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0.0083533659423989</c:v>
                </c:pt>
                <c:pt idx="1">
                  <c:v>0.0127472364281007</c:v>
                </c:pt>
                <c:pt idx="2">
                  <c:v>0.0130505929486925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0.0168459546505044</c:v>
                </c:pt>
                <c:pt idx="1">
                  <c:v>0.018867469208565</c:v>
                </c:pt>
                <c:pt idx="2">
                  <c:v>0.018867469208565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0.00100240391308787</c:v>
                </c:pt>
                <c:pt idx="1">
                  <c:v>0.00112269238265841</c:v>
                </c:pt>
                <c:pt idx="2">
                  <c:v>0.00114941002116925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0.00037590146740795</c:v>
                </c:pt>
                <c:pt idx="1">
                  <c:v>0.000421009643496904</c:v>
                </c:pt>
                <c:pt idx="2">
                  <c:v>0.000431028757938468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0.0464075885688828</c:v>
                </c:pt>
                <c:pt idx="1">
                  <c:v>0.0649706239964359</c:v>
                </c:pt>
                <c:pt idx="2">
                  <c:v>0.0649706239964359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0.334134637695956</c:v>
                </c:pt>
                <c:pt idx="1">
                  <c:v>0.394278872481228</c:v>
                </c:pt>
                <c:pt idx="2">
                  <c:v>0.394278872481228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0.175420684790377</c:v>
                </c:pt>
                <c:pt idx="1">
                  <c:v>0.103498204026322</c:v>
                </c:pt>
                <c:pt idx="2">
                  <c:v>0.103498204026322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0.201176896446107</c:v>
                </c:pt>
                <c:pt idx="1">
                  <c:v>0.189910990245125</c:v>
                </c:pt>
                <c:pt idx="2">
                  <c:v>0.189910990245125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0.0371724784436751</c:v>
                </c:pt>
                <c:pt idx="1">
                  <c:v>0.0438635245635366</c:v>
                </c:pt>
                <c:pt idx="2">
                  <c:v>0.0438635245635366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0.0548537696884194</c:v>
                </c:pt>
                <c:pt idx="1">
                  <c:v>0.0608876843541456</c:v>
                </c:pt>
                <c:pt idx="2">
                  <c:v>0.0608876843541456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0.0208834148559972</c:v>
                </c:pt>
                <c:pt idx="1">
                  <c:v>0.0231805904901569</c:v>
                </c:pt>
                <c:pt idx="2">
                  <c:v>0.0231805904901569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5965128"/>
        <c:axId val="-2085962072"/>
      </c:barChart>
      <c:catAx>
        <c:axId val="-2085965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5962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5962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5965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0.0639304436772791</c:v>
                </c:pt>
                <c:pt idx="1">
                  <c:v>0.0603503388313515</c:v>
                </c:pt>
                <c:pt idx="2">
                  <c:v>0.0301751694156757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0.0151834803733538</c:v>
                </c:pt>
                <c:pt idx="1">
                  <c:v>0.014333205472446</c:v>
                </c:pt>
                <c:pt idx="2">
                  <c:v>0.014333205472446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0.000671269658611431</c:v>
                </c:pt>
                <c:pt idx="1">
                  <c:v>0.000751822017644802</c:v>
                </c:pt>
                <c:pt idx="2">
                  <c:v>0.000572816775348421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0.0328176277543366</c:v>
                </c:pt>
                <c:pt idx="1">
                  <c:v>0.0364275668073136</c:v>
                </c:pt>
                <c:pt idx="2">
                  <c:v>0.0364275668073136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0.0100157695094404</c:v>
                </c:pt>
                <c:pt idx="1">
                  <c:v>0.0111175041554788</c:v>
                </c:pt>
                <c:pt idx="2">
                  <c:v>0.0111175041554788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0.0933384477688275</c:v>
                </c:pt>
                <c:pt idx="1">
                  <c:v>0.103605677023399</c:v>
                </c:pt>
                <c:pt idx="2">
                  <c:v>0.103605677023399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0.0409154839534586</c:v>
                </c:pt>
                <c:pt idx="1">
                  <c:v>0.0386242168520649</c:v>
                </c:pt>
                <c:pt idx="2">
                  <c:v>0.0386242168520649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0.612709372203043</c:v>
                </c:pt>
                <c:pt idx="1">
                  <c:v>0.722997059199591</c:v>
                </c:pt>
                <c:pt idx="2">
                  <c:v>0.722997059199591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0.130418105101649</c:v>
                </c:pt>
                <c:pt idx="1">
                  <c:v>0.153893364019946</c:v>
                </c:pt>
                <c:pt idx="2">
                  <c:v>0.153893364019946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5820760"/>
        <c:axId val="-2085817736"/>
      </c:barChart>
      <c:catAx>
        <c:axId val="-2085820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5817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5817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5820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ZACNI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1637.861248379045</c:v>
                </c:pt>
                <c:pt idx="1">
                  <c:v>3310.881866934666</c:v>
                </c:pt>
                <c:pt idx="2">
                  <c:v>2890.735586591867</c:v>
                </c:pt>
                <c:pt idx="3">
                  <c:v>1825.413865737894</c:v>
                </c:pt>
                <c:pt idx="4">
                  <c:v>1307.685015842567</c:v>
                </c:pt>
                <c:pt idx="5">
                  <c:v>2689.665229509692</c:v>
                </c:pt>
                <c:pt idx="6">
                  <c:v>1900.649292140301</c:v>
                </c:pt>
                <c:pt idx="7">
                  <c:v>1200.975866742173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25.84010002467636</c:v>
                </c:pt>
                <c:pt idx="1">
                  <c:v>1526.206542727313</c:v>
                </c:pt>
                <c:pt idx="2">
                  <c:v>10861.04521672111</c:v>
                </c:pt>
                <c:pt idx="3">
                  <c:v>22116.43869665605</c:v>
                </c:pt>
                <c:pt idx="4">
                  <c:v>17.92</c:v>
                </c:pt>
                <c:pt idx="5">
                  <c:v>1370.096644315335</c:v>
                </c:pt>
                <c:pt idx="6">
                  <c:v>10462.90641967871</c:v>
                </c:pt>
                <c:pt idx="7">
                  <c:v>24249.51311859411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600.961745113332</c:v>
                </c:pt>
                <c:pt idx="1">
                  <c:v>1095.569099432972</c:v>
                </c:pt>
                <c:pt idx="2">
                  <c:v>1916.634027010209</c:v>
                </c:pt>
                <c:pt idx="3">
                  <c:v>2192.285756553512</c:v>
                </c:pt>
                <c:pt idx="4">
                  <c:v>332.2889028495873</c:v>
                </c:pt>
                <c:pt idx="5">
                  <c:v>445.1792188521252</c:v>
                </c:pt>
                <c:pt idx="6">
                  <c:v>778.814991597899</c:v>
                </c:pt>
                <c:pt idx="7">
                  <c:v>890.8196830733768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3045.440360051142</c:v>
                </c:pt>
                <c:pt idx="1">
                  <c:v>10048.51762705629</c:v>
                </c:pt>
                <c:pt idx="2">
                  <c:v>21797.09117727802</c:v>
                </c:pt>
                <c:pt idx="3">
                  <c:v>31324.70731659016</c:v>
                </c:pt>
                <c:pt idx="4">
                  <c:v>1392.4</c:v>
                </c:pt>
                <c:pt idx="5">
                  <c:v>7700.941622618345</c:v>
                </c:pt>
                <c:pt idx="6">
                  <c:v>16824.38853120584</c:v>
                </c:pt>
                <c:pt idx="7">
                  <c:v>23966.07299668779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121.2080495528232</c:v>
                </c:pt>
                <c:pt idx="2">
                  <c:v>85.1170584985181</c:v>
                </c:pt>
                <c:pt idx="3">
                  <c:v>0.0</c:v>
                </c:pt>
                <c:pt idx="4">
                  <c:v>0.0</c:v>
                </c:pt>
                <c:pt idx="5">
                  <c:v>99.37065101649124</c:v>
                </c:pt>
                <c:pt idx="6">
                  <c:v>68.2215105271766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5317.155575988115</c:v>
                </c:pt>
                <c:pt idx="1">
                  <c:v>2477.368319826115</c:v>
                </c:pt>
                <c:pt idx="2">
                  <c:v>59625.59134945731</c:v>
                </c:pt>
                <c:pt idx="3">
                  <c:v>0.0</c:v>
                </c:pt>
                <c:pt idx="4">
                  <c:v>4794.174094333037</c:v>
                </c:pt>
                <c:pt idx="5">
                  <c:v>2234.8</c:v>
                </c:pt>
                <c:pt idx="6">
                  <c:v>53787.42857142857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28209.65477523853</c:v>
                </c:pt>
                <c:pt idx="3">
                  <c:v>154408.6582878384</c:v>
                </c:pt>
                <c:pt idx="4">
                  <c:v>0.0</c:v>
                </c:pt>
                <c:pt idx="5">
                  <c:v>0.0</c:v>
                </c:pt>
                <c:pt idx="6">
                  <c:v>23451.65714285714</c:v>
                </c:pt>
                <c:pt idx="7">
                  <c:v>122585.1428571429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5020.36229050855</c:v>
                </c:pt>
                <c:pt idx="1">
                  <c:v>9071.105589614957</c:v>
                </c:pt>
                <c:pt idx="2">
                  <c:v>1171.886622434302</c:v>
                </c:pt>
                <c:pt idx="3">
                  <c:v>0.0</c:v>
                </c:pt>
                <c:pt idx="4">
                  <c:v>4814.4</c:v>
                </c:pt>
                <c:pt idx="5">
                  <c:v>8698.959999999999</c:v>
                </c:pt>
                <c:pt idx="6">
                  <c:v>1123.809523809524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1575.015620551702</c:v>
                </c:pt>
                <c:pt idx="1">
                  <c:v>1148.448889985616</c:v>
                </c:pt>
                <c:pt idx="2">
                  <c:v>0.0</c:v>
                </c:pt>
                <c:pt idx="3">
                  <c:v>60961.88831309465</c:v>
                </c:pt>
                <c:pt idx="4">
                  <c:v>1208.32</c:v>
                </c:pt>
                <c:pt idx="5">
                  <c:v>881.0666666666666</c:v>
                </c:pt>
                <c:pt idx="6">
                  <c:v>0.0</c:v>
                </c:pt>
                <c:pt idx="7">
                  <c:v>46768.45714285714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2542.666846672839</c:v>
                </c:pt>
                <c:pt idx="1">
                  <c:v>2592.638932611427</c:v>
                </c:pt>
                <c:pt idx="2">
                  <c:v>2307.402851627442</c:v>
                </c:pt>
                <c:pt idx="3">
                  <c:v>403.9561828804129</c:v>
                </c:pt>
                <c:pt idx="4">
                  <c:v>2066.400816139967</c:v>
                </c:pt>
                <c:pt idx="5">
                  <c:v>2107.012648281027</c:v>
                </c:pt>
                <c:pt idx="6">
                  <c:v>1875.204037054929</c:v>
                </c:pt>
                <c:pt idx="7">
                  <c:v>328.2894282675842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23585.85891776174</c:v>
                </c:pt>
                <c:pt idx="1">
                  <c:v>31271.44295367262</c:v>
                </c:pt>
                <c:pt idx="2">
                  <c:v>9343.217663344205</c:v>
                </c:pt>
                <c:pt idx="3">
                  <c:v>11264.23818657181</c:v>
                </c:pt>
                <c:pt idx="4">
                  <c:v>22618.24</c:v>
                </c:pt>
                <c:pt idx="5">
                  <c:v>29988.52</c:v>
                </c:pt>
                <c:pt idx="6">
                  <c:v>8959.90857142857</c:v>
                </c:pt>
                <c:pt idx="7">
                  <c:v>10802.05714285714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348.6362701742048</c:v>
                </c:pt>
                <c:pt idx="2">
                  <c:v>6257.874563799174</c:v>
                </c:pt>
                <c:pt idx="3">
                  <c:v>22950.35795316505</c:v>
                </c:pt>
                <c:pt idx="4">
                  <c:v>0.0</c:v>
                </c:pt>
                <c:pt idx="5">
                  <c:v>314.5</c:v>
                </c:pt>
                <c:pt idx="6">
                  <c:v>5645.142857142857</c:v>
                </c:pt>
                <c:pt idx="7">
                  <c:v>20703.08571428572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943.778891377465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767.0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5698296"/>
        <c:axId val="-2085694920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31035.99249196373</c:v>
                </c:pt>
                <c:pt idx="1">
                  <c:v>31035.99249196373</c:v>
                </c:pt>
                <c:pt idx="2">
                  <c:v>31035.99249196376</c:v>
                </c:pt>
                <c:pt idx="3">
                  <c:v>31035.22776537979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31035.99249196373</c:v>
                </c:pt>
                <c:pt idx="5" formatCode="#,##0">
                  <c:v>31035.99249196373</c:v>
                </c:pt>
                <c:pt idx="6" formatCode="#,##0">
                  <c:v>31035.99249196376</c:v>
                </c:pt>
                <c:pt idx="7" formatCode="#,##0">
                  <c:v>31035.22776537979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47999.93471418595</c:v>
                </c:pt>
                <c:pt idx="1">
                  <c:v>47999.93471418595</c:v>
                </c:pt>
                <c:pt idx="2">
                  <c:v>47999.93471418595</c:v>
                </c:pt>
                <c:pt idx="3">
                  <c:v>47999.16998760198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47999.93471418595</c:v>
                </c:pt>
                <c:pt idx="5" formatCode="#,##0">
                  <c:v>47999.93471418595</c:v>
                </c:pt>
                <c:pt idx="6" formatCode="#,##0">
                  <c:v>47999.93471418595</c:v>
                </c:pt>
                <c:pt idx="7" formatCode="#,##0">
                  <c:v>47999.16998760198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79373.77471418595</c:v>
                </c:pt>
                <c:pt idx="1">
                  <c:v>79373.77471418594</c:v>
                </c:pt>
                <c:pt idx="2">
                  <c:v>79373.77471418595</c:v>
                </c:pt>
                <c:pt idx="3">
                  <c:v>79373.00998760198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79373.77471418595</c:v>
                </c:pt>
                <c:pt idx="5" formatCode="#,##0">
                  <c:v>79373.77471418594</c:v>
                </c:pt>
                <c:pt idx="6" formatCode="#,##0">
                  <c:v>79373.77471418595</c:v>
                </c:pt>
                <c:pt idx="7" formatCode="#,##0">
                  <c:v>79373.00998760198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698296"/>
        <c:axId val="-2085694920"/>
      </c:lineChart>
      <c:catAx>
        <c:axId val="-2085698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5694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5694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56982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1637.861248379045</c:v>
                </c:pt>
                <c:pt idx="1">
                  <c:v>3310.881866934666</c:v>
                </c:pt>
                <c:pt idx="2">
                  <c:v>2890.735586591867</c:v>
                </c:pt>
                <c:pt idx="3">
                  <c:v>1825.413865737894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25.84010002467636</c:v>
                </c:pt>
                <c:pt idx="1">
                  <c:v>1526.206542727313</c:v>
                </c:pt>
                <c:pt idx="2">
                  <c:v>10861.04521672111</c:v>
                </c:pt>
                <c:pt idx="3">
                  <c:v>22116.43869665605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600.961745113332</c:v>
                </c:pt>
                <c:pt idx="1">
                  <c:v>1095.569099432972</c:v>
                </c:pt>
                <c:pt idx="2">
                  <c:v>1916.634027010209</c:v>
                </c:pt>
                <c:pt idx="3">
                  <c:v>2192.285756553512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3045.440360051142</c:v>
                </c:pt>
                <c:pt idx="1">
                  <c:v>10048.51762705629</c:v>
                </c:pt>
                <c:pt idx="2">
                  <c:v>21797.09117727802</c:v>
                </c:pt>
                <c:pt idx="3">
                  <c:v>31324.70731659016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121.2080495528232</c:v>
                </c:pt>
                <c:pt idx="2">
                  <c:v>85.1170584985181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5317.155575988115</c:v>
                </c:pt>
                <c:pt idx="1">
                  <c:v>2477.368319826115</c:v>
                </c:pt>
                <c:pt idx="2">
                  <c:v>59625.59134945731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28209.65477523853</c:v>
                </c:pt>
                <c:pt idx="3">
                  <c:v>154408.6582878384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5020.36229050855</c:v>
                </c:pt>
                <c:pt idx="1">
                  <c:v>9071.105589614957</c:v>
                </c:pt>
                <c:pt idx="2">
                  <c:v>1171.886622434302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1575.015620551702</c:v>
                </c:pt>
                <c:pt idx="1">
                  <c:v>1148.448889985616</c:v>
                </c:pt>
                <c:pt idx="2">
                  <c:v>0.0</c:v>
                </c:pt>
                <c:pt idx="3">
                  <c:v>60961.88831309465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2542.666846672839</c:v>
                </c:pt>
                <c:pt idx="1">
                  <c:v>2592.638932611427</c:v>
                </c:pt>
                <c:pt idx="2">
                  <c:v>2307.402851627442</c:v>
                </c:pt>
                <c:pt idx="3">
                  <c:v>403.9561828804129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23585.85891776174</c:v>
                </c:pt>
                <c:pt idx="1">
                  <c:v>31271.44295367262</c:v>
                </c:pt>
                <c:pt idx="2">
                  <c:v>9343.217663344205</c:v>
                </c:pt>
                <c:pt idx="3">
                  <c:v>11264.23818657181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348.6362701742048</c:v>
                </c:pt>
                <c:pt idx="2">
                  <c:v>6257.874563799174</c:v>
                </c:pt>
                <c:pt idx="3">
                  <c:v>22950.35795316505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943.778891377465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6318088"/>
        <c:axId val="-208632133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31035.99249196373</c:v>
                </c:pt>
                <c:pt idx="1">
                  <c:v>31035.99249196373</c:v>
                </c:pt>
                <c:pt idx="2">
                  <c:v>31035.99249196376</c:v>
                </c:pt>
                <c:pt idx="3">
                  <c:v>31035.22776537979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47999.93471418595</c:v>
                </c:pt>
                <c:pt idx="1">
                  <c:v>47999.93471418595</c:v>
                </c:pt>
                <c:pt idx="2">
                  <c:v>47999.93471418595</c:v>
                </c:pt>
                <c:pt idx="3">
                  <c:v>47999.16998760198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79373.77471418595</c:v>
                </c:pt>
                <c:pt idx="1">
                  <c:v>79373.77471418594</c:v>
                </c:pt>
                <c:pt idx="2">
                  <c:v>79373.77471418595</c:v>
                </c:pt>
                <c:pt idx="3">
                  <c:v>79373.00998760198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318088"/>
        <c:axId val="-2086321336"/>
      </c:lineChart>
      <c:catAx>
        <c:axId val="-2086318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6321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6321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6318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25.84010002467636</c:v>
                </c:pt>
                <c:pt idx="1">
                  <c:v>25.84010002467636</c:v>
                </c:pt>
                <c:pt idx="2">
                  <c:v>25.84010002467636</c:v>
                </c:pt>
                <c:pt idx="3">
                  <c:v>25.84010002467636</c:v>
                </c:pt>
                <c:pt idx="4">
                  <c:v>25.84010002467636</c:v>
                </c:pt>
                <c:pt idx="5">
                  <c:v>25.84010002467636</c:v>
                </c:pt>
                <c:pt idx="6">
                  <c:v>25.84010002467636</c:v>
                </c:pt>
                <c:pt idx="7">
                  <c:v>25.84010002467636</c:v>
                </c:pt>
                <c:pt idx="8">
                  <c:v>25.84010002467636</c:v>
                </c:pt>
                <c:pt idx="9">
                  <c:v>25.84010002467636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6410792"/>
        <c:axId val="-208641408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31035.99249196373</c:v>
                </c:pt>
                <c:pt idx="1">
                  <c:v>31035.99249196373</c:v>
                </c:pt>
                <c:pt idx="2">
                  <c:v>31035.99249196376</c:v>
                </c:pt>
                <c:pt idx="3">
                  <c:v>31035.22776537979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47999.93471418595</c:v>
                </c:pt>
                <c:pt idx="1">
                  <c:v>47999.93471418595</c:v>
                </c:pt>
                <c:pt idx="2">
                  <c:v>47999.93471418595</c:v>
                </c:pt>
                <c:pt idx="3">
                  <c:v>47999.16998760198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410792"/>
        <c:axId val="-2086414088"/>
      </c:lineChart>
      <c:catAx>
        <c:axId val="-208641079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6414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6414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64107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0.314645094359521</c:v>
                </c:pt>
                <c:pt idx="1">
                  <c:v>0.44050313210333</c:v>
                </c:pt>
                <c:pt idx="2">
                  <c:v>0.44050313210333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0.311243255465989</c:v>
                </c:pt>
                <c:pt idx="1">
                  <c:v>0.367267041449867</c:v>
                </c:pt>
                <c:pt idx="2">
                  <c:v>0.367267041449867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0.575626583146303</c:v>
                </c:pt>
                <c:pt idx="1">
                  <c:v>0.141139964766071</c:v>
                </c:pt>
                <c:pt idx="2">
                  <c:v>0.208169776356088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0.0719569312039489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0.176941783451697</c:v>
                </c:pt>
                <c:pt idx="1">
                  <c:v>0.17693965492453</c:v>
                </c:pt>
                <c:pt idx="2">
                  <c:v>0.108897891172061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-0.226127076683796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6478008"/>
        <c:axId val="-2086481368"/>
      </c:barChart>
      <c:catAx>
        <c:axId val="-2086478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6481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6481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6478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0.13027964522411</c:v>
                </c:pt>
                <c:pt idx="1">
                  <c:v>0.182391503313754</c:v>
                </c:pt>
                <c:pt idx="2">
                  <c:v>0.182391503313754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0.0779410803553598</c:v>
                </c:pt>
                <c:pt idx="1">
                  <c:v>0.0801574142675587</c:v>
                </c:pt>
                <c:pt idx="2">
                  <c:v>0.0433495164871324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0.105973732378975</c:v>
                </c:pt>
                <c:pt idx="1">
                  <c:v>0.12504900420719</c:v>
                </c:pt>
                <c:pt idx="2">
                  <c:v>0.12504900420719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0.238339730630532</c:v>
                </c:pt>
                <c:pt idx="1">
                  <c:v>0.281240882144028</c:v>
                </c:pt>
                <c:pt idx="2">
                  <c:v>0.281240882144028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0.318594706704798</c:v>
                </c:pt>
                <c:pt idx="1">
                  <c:v>0.255936533689952</c:v>
                </c:pt>
                <c:pt idx="2">
                  <c:v>0.293891332239665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0.0779410803553598</c:v>
                </c:pt>
                <c:pt idx="1">
                  <c:v>0.0801574142675587</c:v>
                </c:pt>
                <c:pt idx="2">
                  <c:v>0.0433495164871324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6540376"/>
        <c:axId val="-2086543800"/>
      </c:barChart>
      <c:catAx>
        <c:axId val="-2086540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6543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6543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65403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0.0590150593711873</c:v>
                </c:pt>
                <c:pt idx="1">
                  <c:v>0.0826210831196621</c:v>
                </c:pt>
                <c:pt idx="2">
                  <c:v>0.0826210831196622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0.0381626505351837</c:v>
                </c:pt>
                <c:pt idx="1">
                  <c:v>0.03766490163775</c:v>
                </c:pt>
                <c:pt idx="2">
                  <c:v>0.0186868732648929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0.0766595353672232</c:v>
                </c:pt>
                <c:pt idx="1">
                  <c:v>0.0904582517333234</c:v>
                </c:pt>
                <c:pt idx="2">
                  <c:v>0.0904582517333234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0.659820812269753</c:v>
                </c:pt>
                <c:pt idx="1">
                  <c:v>0.60430519016929</c:v>
                </c:pt>
                <c:pt idx="2">
                  <c:v>0.623357460710271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0.0381626505351837</c:v>
                </c:pt>
                <c:pt idx="1">
                  <c:v>0.03766490163775</c:v>
                </c:pt>
                <c:pt idx="2">
                  <c:v>0.0186868732648929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6596072"/>
        <c:axId val="-2086599592"/>
      </c:barChart>
      <c:catAx>
        <c:axId val="-2086596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6599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6599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6596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0.464561821594687</c:v>
                </c:pt>
                <c:pt idx="1">
                  <c:v>0.650386550232561</c:v>
                </c:pt>
                <c:pt idx="2">
                  <c:v>0.650386550232561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0.459539132534913</c:v>
                </c:pt>
                <c:pt idx="1">
                  <c:v>0.491714204146674</c:v>
                </c:pt>
                <c:pt idx="2">
                  <c:v>0.461360029488702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0.849891318245749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0.078666410944892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0.273030038697663</c:v>
                </c:pt>
                <c:pt idx="1">
                  <c:v>0.250734358513993</c:v>
                </c:pt>
                <c:pt idx="2">
                  <c:v>0.22111465366715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-0.542256176391197</c:v>
                </c:pt>
                <c:pt idx="2">
                  <c:v>-0.302010800569646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9970360"/>
        <c:axId val="-2099967000"/>
      </c:barChart>
      <c:catAx>
        <c:axId val="-2099970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967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967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9703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0.0697224123821384</c:v>
                </c:pt>
                <c:pt idx="1">
                  <c:v>0.0348612061910692</c:v>
                </c:pt>
                <c:pt idx="2" formatCode="0.0%">
                  <c:v>0.0348612061910692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0.0432462822451521</c:v>
                </c:pt>
                <c:pt idx="1">
                  <c:v>0.0216231411225761</c:v>
                </c:pt>
                <c:pt idx="2" formatCode="0.0%">
                  <c:v>0.0216231411225761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0.0130555555555556</c:v>
                </c:pt>
                <c:pt idx="1">
                  <c:v>0.0130555555555556</c:v>
                </c:pt>
                <c:pt idx="2" formatCode="0.0%">
                  <c:v>0.0130555555555556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0.0617368350827255</c:v>
                </c:pt>
                <c:pt idx="1">
                  <c:v>0.0672931502401708</c:v>
                </c:pt>
                <c:pt idx="2" formatCode="0.0%">
                  <c:v>0.0530926855247174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0.0223045233944138</c:v>
                </c:pt>
                <c:pt idx="1">
                  <c:v>0.017843618715531</c:v>
                </c:pt>
                <c:pt idx="2" formatCode="0.0%">
                  <c:v>0.0179641259963158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0.0398287173100872</c:v>
                </c:pt>
                <c:pt idx="1">
                  <c:v>0.0318629738480697</c:v>
                </c:pt>
                <c:pt idx="2" formatCode="0.0%">
                  <c:v>0.0272690952068538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0.00329194538338374</c:v>
                </c:pt>
                <c:pt idx="1">
                  <c:v>0.00263355630670699</c:v>
                </c:pt>
                <c:pt idx="2" formatCode="0.0%">
                  <c:v>0.00261562150987001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0.000416296032734389</c:v>
                </c:pt>
                <c:pt idx="1">
                  <c:v>0.000333036826187511</c:v>
                </c:pt>
                <c:pt idx="2" formatCode="0.0%">
                  <c:v>0.000333036826187511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0.0179694983099093</c:v>
                </c:pt>
                <c:pt idx="1">
                  <c:v>0.0143755986479274</c:v>
                </c:pt>
                <c:pt idx="2" formatCode="0.0%">
                  <c:v>0.0143755986479274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0.000776196406333392</c:v>
                </c:pt>
                <c:pt idx="1">
                  <c:v>0.000620957125066714</c:v>
                </c:pt>
                <c:pt idx="2" formatCode="0.0%">
                  <c:v>0.000614393344064485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0.00371183419320406</c:v>
                </c:pt>
                <c:pt idx="1">
                  <c:v>0.00296946735456324</c:v>
                </c:pt>
                <c:pt idx="2" formatCode="0.0%">
                  <c:v>0.00296235778047565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0.00248443337484433</c:v>
                </c:pt>
                <c:pt idx="1">
                  <c:v>0.00198754669987547</c:v>
                </c:pt>
                <c:pt idx="2" formatCode="0.0%">
                  <c:v>0.00198754669987547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0.00480756686236138</c:v>
                </c:pt>
                <c:pt idx="1">
                  <c:v>0.0038460534898891</c:v>
                </c:pt>
                <c:pt idx="2" formatCode="0.0%">
                  <c:v>0.00357650088339758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0.00501690090731187</c:v>
                </c:pt>
                <c:pt idx="1">
                  <c:v>0.00501690090731187</c:v>
                </c:pt>
                <c:pt idx="2" formatCode="0.0%">
                  <c:v>0.00494783425646752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0.136001075037917</c:v>
                </c:pt>
                <c:pt idx="1">
                  <c:v>0.136001075037917</c:v>
                </c:pt>
                <c:pt idx="2" formatCode="0.0%">
                  <c:v>0.136001075037917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0.0511193033268102</c:v>
                </c:pt>
                <c:pt idx="1">
                  <c:v>0.0511193033268102</c:v>
                </c:pt>
                <c:pt idx="2" formatCode="0.0%">
                  <c:v>0.0539342993887282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0.258217382999466</c:v>
                </c:pt>
                <c:pt idx="1">
                  <c:v>0.258217382999466</c:v>
                </c:pt>
                <c:pt idx="2" formatCode="0.0%">
                  <c:v>0.260060464228721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0.63059345561288</c:v>
                </c:pt>
                <c:pt idx="1">
                  <c:v>0.648525022048877</c:v>
                </c:pt>
                <c:pt idx="2" formatCode="0.0%">
                  <c:v>0.35072546179928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7136584"/>
        <c:axId val="-2087133272"/>
      </c:barChart>
      <c:catAx>
        <c:axId val="-2087136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7133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133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71365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  <c:pt idx="10">
                  <c:v>1637.861248379045</c:v>
                </c:pt>
                <c:pt idx="11">
                  <c:v>1637.861248379045</c:v>
                </c:pt>
                <c:pt idx="12">
                  <c:v>1637.861248379045</c:v>
                </c:pt>
                <c:pt idx="13">
                  <c:v>1637.861248379045</c:v>
                </c:pt>
                <c:pt idx="14">
                  <c:v>1637.861248379045</c:v>
                </c:pt>
                <c:pt idx="15">
                  <c:v>1637.861248379045</c:v>
                </c:pt>
                <c:pt idx="16">
                  <c:v>1637.861248379045</c:v>
                </c:pt>
                <c:pt idx="17">
                  <c:v>1637.861248379045</c:v>
                </c:pt>
                <c:pt idx="18">
                  <c:v>1637.861248379045</c:v>
                </c:pt>
                <c:pt idx="19">
                  <c:v>1637.861248379045</c:v>
                </c:pt>
                <c:pt idx="20">
                  <c:v>1637.861248379045</c:v>
                </c:pt>
                <c:pt idx="21">
                  <c:v>1637.861248379045</c:v>
                </c:pt>
                <c:pt idx="22">
                  <c:v>1637.861248379045</c:v>
                </c:pt>
                <c:pt idx="23">
                  <c:v>1637.861248379045</c:v>
                </c:pt>
                <c:pt idx="24">
                  <c:v>1637.861248379045</c:v>
                </c:pt>
                <c:pt idx="25">
                  <c:v>1637.861248379045</c:v>
                </c:pt>
                <c:pt idx="26">
                  <c:v>1637.861248379045</c:v>
                </c:pt>
                <c:pt idx="27">
                  <c:v>1637.861248379045</c:v>
                </c:pt>
                <c:pt idx="28">
                  <c:v>1637.861248379045</c:v>
                </c:pt>
                <c:pt idx="29">
                  <c:v>1637.861248379045</c:v>
                </c:pt>
                <c:pt idx="30">
                  <c:v>1637.861248379045</c:v>
                </c:pt>
                <c:pt idx="31">
                  <c:v>1637.861248379045</c:v>
                </c:pt>
                <c:pt idx="32">
                  <c:v>1637.861248379045</c:v>
                </c:pt>
                <c:pt idx="33">
                  <c:v>1637.861248379045</c:v>
                </c:pt>
                <c:pt idx="34">
                  <c:v>1637.861248379045</c:v>
                </c:pt>
                <c:pt idx="35">
                  <c:v>1637.861248379045</c:v>
                </c:pt>
                <c:pt idx="36">
                  <c:v>1637.861248379045</c:v>
                </c:pt>
                <c:pt idx="37">
                  <c:v>1637.861248379045</c:v>
                </c:pt>
                <c:pt idx="38">
                  <c:v>1637.861248379045</c:v>
                </c:pt>
                <c:pt idx="39">
                  <c:v>3310.881866934666</c:v>
                </c:pt>
                <c:pt idx="40">
                  <c:v>3310.881866934666</c:v>
                </c:pt>
                <c:pt idx="41">
                  <c:v>3310.881866934666</c:v>
                </c:pt>
                <c:pt idx="42">
                  <c:v>3310.881866934666</c:v>
                </c:pt>
                <c:pt idx="43">
                  <c:v>3310.881866934666</c:v>
                </c:pt>
                <c:pt idx="44">
                  <c:v>3310.881866934666</c:v>
                </c:pt>
                <c:pt idx="45">
                  <c:v>3310.881866934666</c:v>
                </c:pt>
                <c:pt idx="46">
                  <c:v>3310.881866934666</c:v>
                </c:pt>
                <c:pt idx="47">
                  <c:v>3310.881866934666</c:v>
                </c:pt>
                <c:pt idx="48">
                  <c:v>3310.881866934666</c:v>
                </c:pt>
                <c:pt idx="49">
                  <c:v>3310.881866934666</c:v>
                </c:pt>
                <c:pt idx="50">
                  <c:v>3310.881866934666</c:v>
                </c:pt>
                <c:pt idx="51">
                  <c:v>3310.881866934666</c:v>
                </c:pt>
                <c:pt idx="52">
                  <c:v>3310.881866934666</c:v>
                </c:pt>
                <c:pt idx="53">
                  <c:v>3310.881866934666</c:v>
                </c:pt>
                <c:pt idx="54">
                  <c:v>3310.881866934666</c:v>
                </c:pt>
                <c:pt idx="55">
                  <c:v>3310.881866934666</c:v>
                </c:pt>
                <c:pt idx="56">
                  <c:v>3310.881866934666</c:v>
                </c:pt>
                <c:pt idx="57">
                  <c:v>3310.881866934666</c:v>
                </c:pt>
                <c:pt idx="58">
                  <c:v>3310.881866934666</c:v>
                </c:pt>
                <c:pt idx="59">
                  <c:v>3310.881866934666</c:v>
                </c:pt>
                <c:pt idx="60">
                  <c:v>3310.881866934666</c:v>
                </c:pt>
                <c:pt idx="61">
                  <c:v>3310.881866934666</c:v>
                </c:pt>
                <c:pt idx="62">
                  <c:v>3310.881866934666</c:v>
                </c:pt>
                <c:pt idx="63">
                  <c:v>3310.881866934666</c:v>
                </c:pt>
                <c:pt idx="64">
                  <c:v>3310.881866934666</c:v>
                </c:pt>
                <c:pt idx="65">
                  <c:v>3310.881866934666</c:v>
                </c:pt>
                <c:pt idx="66">
                  <c:v>3310.881866934666</c:v>
                </c:pt>
                <c:pt idx="67">
                  <c:v>3310.881866934666</c:v>
                </c:pt>
                <c:pt idx="68">
                  <c:v>3310.881866934666</c:v>
                </c:pt>
                <c:pt idx="69">
                  <c:v>3310.881866934666</c:v>
                </c:pt>
                <c:pt idx="70">
                  <c:v>3310.881866934666</c:v>
                </c:pt>
                <c:pt idx="71">
                  <c:v>3310.881866934666</c:v>
                </c:pt>
                <c:pt idx="72">
                  <c:v>3310.881866934666</c:v>
                </c:pt>
                <c:pt idx="73">
                  <c:v>2890.735586591867</c:v>
                </c:pt>
                <c:pt idx="74">
                  <c:v>2890.735586591867</c:v>
                </c:pt>
                <c:pt idx="75">
                  <c:v>2890.735586591867</c:v>
                </c:pt>
                <c:pt idx="76">
                  <c:v>2890.735586591867</c:v>
                </c:pt>
                <c:pt idx="77">
                  <c:v>2890.735586591867</c:v>
                </c:pt>
                <c:pt idx="78">
                  <c:v>2890.735586591867</c:v>
                </c:pt>
                <c:pt idx="79">
                  <c:v>2890.735586591867</c:v>
                </c:pt>
                <c:pt idx="80">
                  <c:v>2890.735586591867</c:v>
                </c:pt>
                <c:pt idx="81">
                  <c:v>2890.735586591867</c:v>
                </c:pt>
                <c:pt idx="82">
                  <c:v>2890.735586591867</c:v>
                </c:pt>
                <c:pt idx="83">
                  <c:v>2890.735586591867</c:v>
                </c:pt>
                <c:pt idx="84">
                  <c:v>2890.735586591867</c:v>
                </c:pt>
                <c:pt idx="85">
                  <c:v>2890.735586591867</c:v>
                </c:pt>
                <c:pt idx="86">
                  <c:v>2890.735586591867</c:v>
                </c:pt>
                <c:pt idx="87">
                  <c:v>2890.735586591867</c:v>
                </c:pt>
                <c:pt idx="88">
                  <c:v>2890.735586591867</c:v>
                </c:pt>
                <c:pt idx="89">
                  <c:v>1825.413865737894</c:v>
                </c:pt>
                <c:pt idx="90">
                  <c:v>1825.413865737894</c:v>
                </c:pt>
                <c:pt idx="91">
                  <c:v>1825.413865737894</c:v>
                </c:pt>
                <c:pt idx="92">
                  <c:v>1825.413865737894</c:v>
                </c:pt>
                <c:pt idx="93">
                  <c:v>1825.413865737894</c:v>
                </c:pt>
                <c:pt idx="94">
                  <c:v>1825.413865737894</c:v>
                </c:pt>
                <c:pt idx="95">
                  <c:v>1825.413865737894</c:v>
                </c:pt>
                <c:pt idx="96">
                  <c:v>1825.413865737894</c:v>
                </c:pt>
                <c:pt idx="97">
                  <c:v>1825.413865737894</c:v>
                </c:pt>
                <c:pt idx="98">
                  <c:v>1825.413865737894</c:v>
                </c:pt>
                <c:pt idx="99">
                  <c:v>1825.413865737894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25.84010002467636</c:v>
                </c:pt>
                <c:pt idx="1">
                  <c:v>25.84010002467636</c:v>
                </c:pt>
                <c:pt idx="2">
                  <c:v>25.84010002467636</c:v>
                </c:pt>
                <c:pt idx="3">
                  <c:v>25.84010002467636</c:v>
                </c:pt>
                <c:pt idx="4">
                  <c:v>25.84010002467636</c:v>
                </c:pt>
                <c:pt idx="5">
                  <c:v>25.84010002467636</c:v>
                </c:pt>
                <c:pt idx="6">
                  <c:v>25.84010002467636</c:v>
                </c:pt>
                <c:pt idx="7">
                  <c:v>25.84010002467636</c:v>
                </c:pt>
                <c:pt idx="8">
                  <c:v>25.84010002467636</c:v>
                </c:pt>
                <c:pt idx="9">
                  <c:v>25.84010002467636</c:v>
                </c:pt>
                <c:pt idx="10">
                  <c:v>25.84010002467636</c:v>
                </c:pt>
                <c:pt idx="11">
                  <c:v>25.84010002467636</c:v>
                </c:pt>
                <c:pt idx="12">
                  <c:v>25.84010002467636</c:v>
                </c:pt>
                <c:pt idx="13">
                  <c:v>25.84010002467636</c:v>
                </c:pt>
                <c:pt idx="14">
                  <c:v>25.84010002467636</c:v>
                </c:pt>
                <c:pt idx="15">
                  <c:v>25.84010002467636</c:v>
                </c:pt>
                <c:pt idx="16">
                  <c:v>25.84010002467636</c:v>
                </c:pt>
                <c:pt idx="17">
                  <c:v>25.84010002467636</c:v>
                </c:pt>
                <c:pt idx="18">
                  <c:v>25.84010002467636</c:v>
                </c:pt>
                <c:pt idx="19">
                  <c:v>25.84010002467636</c:v>
                </c:pt>
                <c:pt idx="20">
                  <c:v>25.84010002467636</c:v>
                </c:pt>
                <c:pt idx="21">
                  <c:v>25.84010002467636</c:v>
                </c:pt>
                <c:pt idx="22">
                  <c:v>25.84010002467636</c:v>
                </c:pt>
                <c:pt idx="23">
                  <c:v>25.84010002467636</c:v>
                </c:pt>
                <c:pt idx="24">
                  <c:v>25.84010002467636</c:v>
                </c:pt>
                <c:pt idx="25">
                  <c:v>25.84010002467636</c:v>
                </c:pt>
                <c:pt idx="26">
                  <c:v>25.84010002467636</c:v>
                </c:pt>
                <c:pt idx="27">
                  <c:v>25.84010002467636</c:v>
                </c:pt>
                <c:pt idx="28">
                  <c:v>25.84010002467636</c:v>
                </c:pt>
                <c:pt idx="29">
                  <c:v>25.84010002467636</c:v>
                </c:pt>
                <c:pt idx="30">
                  <c:v>25.84010002467636</c:v>
                </c:pt>
                <c:pt idx="31">
                  <c:v>25.84010002467636</c:v>
                </c:pt>
                <c:pt idx="32">
                  <c:v>25.84010002467636</c:v>
                </c:pt>
                <c:pt idx="33">
                  <c:v>25.84010002467636</c:v>
                </c:pt>
                <c:pt idx="34">
                  <c:v>25.84010002467636</c:v>
                </c:pt>
                <c:pt idx="35">
                  <c:v>25.84010002467636</c:v>
                </c:pt>
                <c:pt idx="36">
                  <c:v>25.84010002467636</c:v>
                </c:pt>
                <c:pt idx="37">
                  <c:v>25.84010002467636</c:v>
                </c:pt>
                <c:pt idx="38">
                  <c:v>25.84010002467636</c:v>
                </c:pt>
                <c:pt idx="39">
                  <c:v>1526.206542727313</c:v>
                </c:pt>
                <c:pt idx="40">
                  <c:v>1526.206542727313</c:v>
                </c:pt>
                <c:pt idx="41">
                  <c:v>1526.206542727313</c:v>
                </c:pt>
                <c:pt idx="42">
                  <c:v>1526.206542727313</c:v>
                </c:pt>
                <c:pt idx="43">
                  <c:v>1526.206542727313</c:v>
                </c:pt>
                <c:pt idx="44">
                  <c:v>1526.206542727313</c:v>
                </c:pt>
                <c:pt idx="45">
                  <c:v>1526.206542727313</c:v>
                </c:pt>
                <c:pt idx="46">
                  <c:v>1526.206542727313</c:v>
                </c:pt>
                <c:pt idx="47">
                  <c:v>1526.206542727313</c:v>
                </c:pt>
                <c:pt idx="48">
                  <c:v>1526.206542727313</c:v>
                </c:pt>
                <c:pt idx="49">
                  <c:v>1526.206542727313</c:v>
                </c:pt>
                <c:pt idx="50">
                  <c:v>1526.206542727313</c:v>
                </c:pt>
                <c:pt idx="51">
                  <c:v>1526.206542727313</c:v>
                </c:pt>
                <c:pt idx="52">
                  <c:v>1526.206542727313</c:v>
                </c:pt>
                <c:pt idx="53">
                  <c:v>1526.206542727313</c:v>
                </c:pt>
                <c:pt idx="54">
                  <c:v>1526.206542727313</c:v>
                </c:pt>
                <c:pt idx="55">
                  <c:v>1526.206542727313</c:v>
                </c:pt>
                <c:pt idx="56">
                  <c:v>1526.206542727313</c:v>
                </c:pt>
                <c:pt idx="57">
                  <c:v>1526.206542727313</c:v>
                </c:pt>
                <c:pt idx="58">
                  <c:v>1526.206542727313</c:v>
                </c:pt>
                <c:pt idx="59">
                  <c:v>1526.206542727313</c:v>
                </c:pt>
                <c:pt idx="60">
                  <c:v>1526.206542727313</c:v>
                </c:pt>
                <c:pt idx="61">
                  <c:v>1526.206542727313</c:v>
                </c:pt>
                <c:pt idx="62">
                  <c:v>1526.206542727313</c:v>
                </c:pt>
                <c:pt idx="63">
                  <c:v>1526.206542727313</c:v>
                </c:pt>
                <c:pt idx="64">
                  <c:v>1526.206542727313</c:v>
                </c:pt>
                <c:pt idx="65">
                  <c:v>1526.206542727313</c:v>
                </c:pt>
                <c:pt idx="66">
                  <c:v>1526.206542727313</c:v>
                </c:pt>
                <c:pt idx="67">
                  <c:v>1526.206542727313</c:v>
                </c:pt>
                <c:pt idx="68">
                  <c:v>1526.206542727313</c:v>
                </c:pt>
                <c:pt idx="69">
                  <c:v>1526.206542727313</c:v>
                </c:pt>
                <c:pt idx="70">
                  <c:v>1526.206542727313</c:v>
                </c:pt>
                <c:pt idx="71">
                  <c:v>1526.206542727313</c:v>
                </c:pt>
                <c:pt idx="72">
                  <c:v>1526.206542727313</c:v>
                </c:pt>
                <c:pt idx="73">
                  <c:v>10861.04521672111</c:v>
                </c:pt>
                <c:pt idx="74">
                  <c:v>10861.04521672111</c:v>
                </c:pt>
                <c:pt idx="75">
                  <c:v>10861.04521672111</c:v>
                </c:pt>
                <c:pt idx="76">
                  <c:v>10861.04521672111</c:v>
                </c:pt>
                <c:pt idx="77">
                  <c:v>10861.04521672111</c:v>
                </c:pt>
                <c:pt idx="78">
                  <c:v>10861.04521672111</c:v>
                </c:pt>
                <c:pt idx="79">
                  <c:v>10861.04521672111</c:v>
                </c:pt>
                <c:pt idx="80">
                  <c:v>10861.04521672111</c:v>
                </c:pt>
                <c:pt idx="81">
                  <c:v>10861.04521672111</c:v>
                </c:pt>
                <c:pt idx="82">
                  <c:v>10861.04521672111</c:v>
                </c:pt>
                <c:pt idx="83">
                  <c:v>10861.04521672111</c:v>
                </c:pt>
                <c:pt idx="84">
                  <c:v>10861.04521672111</c:v>
                </c:pt>
                <c:pt idx="85">
                  <c:v>10861.04521672111</c:v>
                </c:pt>
                <c:pt idx="86">
                  <c:v>10861.04521672111</c:v>
                </c:pt>
                <c:pt idx="87">
                  <c:v>10861.04521672111</c:v>
                </c:pt>
                <c:pt idx="88">
                  <c:v>10861.04521672111</c:v>
                </c:pt>
                <c:pt idx="89">
                  <c:v>22116.43869665605</c:v>
                </c:pt>
                <c:pt idx="90">
                  <c:v>22116.43869665605</c:v>
                </c:pt>
                <c:pt idx="91">
                  <c:v>22116.43869665605</c:v>
                </c:pt>
                <c:pt idx="92">
                  <c:v>22116.43869665605</c:v>
                </c:pt>
                <c:pt idx="93">
                  <c:v>22116.43869665605</c:v>
                </c:pt>
                <c:pt idx="94">
                  <c:v>22116.43869665605</c:v>
                </c:pt>
                <c:pt idx="95">
                  <c:v>22116.43869665605</c:v>
                </c:pt>
                <c:pt idx="96">
                  <c:v>22116.43869665605</c:v>
                </c:pt>
                <c:pt idx="97">
                  <c:v>22116.43869665605</c:v>
                </c:pt>
                <c:pt idx="98">
                  <c:v>22116.43869665605</c:v>
                </c:pt>
                <c:pt idx="99">
                  <c:v>22116.43869665605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  <c:pt idx="10">
                  <c:v>600.961745113332</c:v>
                </c:pt>
                <c:pt idx="11">
                  <c:v>600.961745113332</c:v>
                </c:pt>
                <c:pt idx="12">
                  <c:v>600.961745113332</c:v>
                </c:pt>
                <c:pt idx="13">
                  <c:v>600.961745113332</c:v>
                </c:pt>
                <c:pt idx="14">
                  <c:v>600.961745113332</c:v>
                </c:pt>
                <c:pt idx="15">
                  <c:v>600.961745113332</c:v>
                </c:pt>
                <c:pt idx="16">
                  <c:v>600.961745113332</c:v>
                </c:pt>
                <c:pt idx="17">
                  <c:v>600.961745113332</c:v>
                </c:pt>
                <c:pt idx="18">
                  <c:v>600.961745113332</c:v>
                </c:pt>
                <c:pt idx="19">
                  <c:v>600.961745113332</c:v>
                </c:pt>
                <c:pt idx="20">
                  <c:v>600.961745113332</c:v>
                </c:pt>
                <c:pt idx="21">
                  <c:v>600.961745113332</c:v>
                </c:pt>
                <c:pt idx="22">
                  <c:v>600.961745113332</c:v>
                </c:pt>
                <c:pt idx="23">
                  <c:v>600.961745113332</c:v>
                </c:pt>
                <c:pt idx="24">
                  <c:v>600.961745113332</c:v>
                </c:pt>
                <c:pt idx="25">
                  <c:v>600.961745113332</c:v>
                </c:pt>
                <c:pt idx="26">
                  <c:v>600.961745113332</c:v>
                </c:pt>
                <c:pt idx="27">
                  <c:v>600.961745113332</c:v>
                </c:pt>
                <c:pt idx="28">
                  <c:v>600.961745113332</c:v>
                </c:pt>
                <c:pt idx="29">
                  <c:v>600.961745113332</c:v>
                </c:pt>
                <c:pt idx="30">
                  <c:v>600.961745113332</c:v>
                </c:pt>
                <c:pt idx="31">
                  <c:v>600.961745113332</c:v>
                </c:pt>
                <c:pt idx="32">
                  <c:v>600.961745113332</c:v>
                </c:pt>
                <c:pt idx="33">
                  <c:v>600.961745113332</c:v>
                </c:pt>
                <c:pt idx="34">
                  <c:v>600.961745113332</c:v>
                </c:pt>
                <c:pt idx="35">
                  <c:v>600.961745113332</c:v>
                </c:pt>
                <c:pt idx="36">
                  <c:v>600.961745113332</c:v>
                </c:pt>
                <c:pt idx="37">
                  <c:v>600.961745113332</c:v>
                </c:pt>
                <c:pt idx="38">
                  <c:v>600.961745113332</c:v>
                </c:pt>
                <c:pt idx="39">
                  <c:v>1095.569099432972</c:v>
                </c:pt>
                <c:pt idx="40">
                  <c:v>1095.569099432972</c:v>
                </c:pt>
                <c:pt idx="41">
                  <c:v>1095.569099432972</c:v>
                </c:pt>
                <c:pt idx="42">
                  <c:v>1095.569099432972</c:v>
                </c:pt>
                <c:pt idx="43">
                  <c:v>1095.569099432972</c:v>
                </c:pt>
                <c:pt idx="44">
                  <c:v>1095.569099432972</c:v>
                </c:pt>
                <c:pt idx="45">
                  <c:v>1095.569099432972</c:v>
                </c:pt>
                <c:pt idx="46">
                  <c:v>1095.569099432972</c:v>
                </c:pt>
                <c:pt idx="47">
                  <c:v>1095.569099432972</c:v>
                </c:pt>
                <c:pt idx="48">
                  <c:v>1095.569099432972</c:v>
                </c:pt>
                <c:pt idx="49">
                  <c:v>1095.569099432972</c:v>
                </c:pt>
                <c:pt idx="50">
                  <c:v>1095.569099432972</c:v>
                </c:pt>
                <c:pt idx="51">
                  <c:v>1095.569099432972</c:v>
                </c:pt>
                <c:pt idx="52">
                  <c:v>1095.569099432972</c:v>
                </c:pt>
                <c:pt idx="53">
                  <c:v>1095.569099432972</c:v>
                </c:pt>
                <c:pt idx="54">
                  <c:v>1095.569099432972</c:v>
                </c:pt>
                <c:pt idx="55">
                  <c:v>1095.569099432972</c:v>
                </c:pt>
                <c:pt idx="56">
                  <c:v>1095.569099432972</c:v>
                </c:pt>
                <c:pt idx="57">
                  <c:v>1095.569099432972</c:v>
                </c:pt>
                <c:pt idx="58">
                  <c:v>1095.569099432972</c:v>
                </c:pt>
                <c:pt idx="59">
                  <c:v>1095.569099432972</c:v>
                </c:pt>
                <c:pt idx="60">
                  <c:v>1095.569099432972</c:v>
                </c:pt>
                <c:pt idx="61">
                  <c:v>1095.569099432972</c:v>
                </c:pt>
                <c:pt idx="62">
                  <c:v>1095.569099432972</c:v>
                </c:pt>
                <c:pt idx="63">
                  <c:v>1095.569099432972</c:v>
                </c:pt>
                <c:pt idx="64">
                  <c:v>1095.569099432972</c:v>
                </c:pt>
                <c:pt idx="65">
                  <c:v>1095.569099432972</c:v>
                </c:pt>
                <c:pt idx="66">
                  <c:v>1095.569099432972</c:v>
                </c:pt>
                <c:pt idx="67">
                  <c:v>1095.569099432972</c:v>
                </c:pt>
                <c:pt idx="68">
                  <c:v>1095.569099432972</c:v>
                </c:pt>
                <c:pt idx="69">
                  <c:v>1095.569099432972</c:v>
                </c:pt>
                <c:pt idx="70">
                  <c:v>1095.569099432972</c:v>
                </c:pt>
                <c:pt idx="71">
                  <c:v>1095.569099432972</c:v>
                </c:pt>
                <c:pt idx="72">
                  <c:v>1095.569099432972</c:v>
                </c:pt>
                <c:pt idx="73">
                  <c:v>1916.634027010209</c:v>
                </c:pt>
                <c:pt idx="74">
                  <c:v>1916.634027010209</c:v>
                </c:pt>
                <c:pt idx="75">
                  <c:v>1916.634027010209</c:v>
                </c:pt>
                <c:pt idx="76">
                  <c:v>1916.634027010209</c:v>
                </c:pt>
                <c:pt idx="77">
                  <c:v>1916.634027010209</c:v>
                </c:pt>
                <c:pt idx="78">
                  <c:v>1916.634027010209</c:v>
                </c:pt>
                <c:pt idx="79">
                  <c:v>1916.634027010209</c:v>
                </c:pt>
                <c:pt idx="80">
                  <c:v>1916.634027010209</c:v>
                </c:pt>
                <c:pt idx="81">
                  <c:v>1916.634027010209</c:v>
                </c:pt>
                <c:pt idx="82">
                  <c:v>1916.634027010209</c:v>
                </c:pt>
                <c:pt idx="83">
                  <c:v>1916.634027010209</c:v>
                </c:pt>
                <c:pt idx="84">
                  <c:v>1916.634027010209</c:v>
                </c:pt>
                <c:pt idx="85">
                  <c:v>1916.634027010209</c:v>
                </c:pt>
                <c:pt idx="86">
                  <c:v>1916.634027010209</c:v>
                </c:pt>
                <c:pt idx="87">
                  <c:v>1916.634027010209</c:v>
                </c:pt>
                <c:pt idx="88">
                  <c:v>1916.634027010209</c:v>
                </c:pt>
                <c:pt idx="89">
                  <c:v>2192.285756553512</c:v>
                </c:pt>
                <c:pt idx="90">
                  <c:v>2192.285756553512</c:v>
                </c:pt>
                <c:pt idx="91">
                  <c:v>2192.285756553512</c:v>
                </c:pt>
                <c:pt idx="92">
                  <c:v>2192.285756553512</c:v>
                </c:pt>
                <c:pt idx="93">
                  <c:v>2192.285756553512</c:v>
                </c:pt>
                <c:pt idx="94">
                  <c:v>2192.285756553512</c:v>
                </c:pt>
                <c:pt idx="95">
                  <c:v>2192.285756553512</c:v>
                </c:pt>
                <c:pt idx="96">
                  <c:v>2192.285756553512</c:v>
                </c:pt>
                <c:pt idx="97">
                  <c:v>2192.285756553512</c:v>
                </c:pt>
                <c:pt idx="98">
                  <c:v>2192.285756553512</c:v>
                </c:pt>
                <c:pt idx="99">
                  <c:v>2192.285756553512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  <c:pt idx="10">
                  <c:v>3045.440360051142</c:v>
                </c:pt>
                <c:pt idx="11">
                  <c:v>3045.440360051142</c:v>
                </c:pt>
                <c:pt idx="12">
                  <c:v>3045.440360051142</c:v>
                </c:pt>
                <c:pt idx="13">
                  <c:v>3045.440360051142</c:v>
                </c:pt>
                <c:pt idx="14">
                  <c:v>3045.440360051142</c:v>
                </c:pt>
                <c:pt idx="15">
                  <c:v>3045.440360051142</c:v>
                </c:pt>
                <c:pt idx="16">
                  <c:v>3045.440360051142</c:v>
                </c:pt>
                <c:pt idx="17">
                  <c:v>3045.440360051142</c:v>
                </c:pt>
                <c:pt idx="18">
                  <c:v>3045.440360051142</c:v>
                </c:pt>
                <c:pt idx="19">
                  <c:v>3045.440360051142</c:v>
                </c:pt>
                <c:pt idx="20">
                  <c:v>3045.440360051142</c:v>
                </c:pt>
                <c:pt idx="21">
                  <c:v>3045.440360051142</c:v>
                </c:pt>
                <c:pt idx="22">
                  <c:v>3045.440360051142</c:v>
                </c:pt>
                <c:pt idx="23">
                  <c:v>3045.440360051142</c:v>
                </c:pt>
                <c:pt idx="24">
                  <c:v>3045.440360051142</c:v>
                </c:pt>
                <c:pt idx="25">
                  <c:v>3045.440360051142</c:v>
                </c:pt>
                <c:pt idx="26">
                  <c:v>3045.440360051142</c:v>
                </c:pt>
                <c:pt idx="27">
                  <c:v>3045.440360051142</c:v>
                </c:pt>
                <c:pt idx="28">
                  <c:v>3045.440360051142</c:v>
                </c:pt>
                <c:pt idx="29">
                  <c:v>3045.440360051142</c:v>
                </c:pt>
                <c:pt idx="30">
                  <c:v>3045.440360051142</c:v>
                </c:pt>
                <c:pt idx="31">
                  <c:v>3045.440360051142</c:v>
                </c:pt>
                <c:pt idx="32">
                  <c:v>3045.440360051142</c:v>
                </c:pt>
                <c:pt idx="33">
                  <c:v>3045.440360051142</c:v>
                </c:pt>
                <c:pt idx="34">
                  <c:v>3045.440360051142</c:v>
                </c:pt>
                <c:pt idx="35">
                  <c:v>3045.440360051142</c:v>
                </c:pt>
                <c:pt idx="36">
                  <c:v>3045.440360051142</c:v>
                </c:pt>
                <c:pt idx="37">
                  <c:v>3045.440360051142</c:v>
                </c:pt>
                <c:pt idx="38">
                  <c:v>3045.440360051142</c:v>
                </c:pt>
                <c:pt idx="39">
                  <c:v>10048.51762705629</c:v>
                </c:pt>
                <c:pt idx="40">
                  <c:v>10048.51762705629</c:v>
                </c:pt>
                <c:pt idx="41">
                  <c:v>10048.51762705629</c:v>
                </c:pt>
                <c:pt idx="42">
                  <c:v>10048.51762705629</c:v>
                </c:pt>
                <c:pt idx="43">
                  <c:v>10048.51762705629</c:v>
                </c:pt>
                <c:pt idx="44">
                  <c:v>10048.51762705629</c:v>
                </c:pt>
                <c:pt idx="45">
                  <c:v>10048.51762705629</c:v>
                </c:pt>
                <c:pt idx="46">
                  <c:v>10048.51762705629</c:v>
                </c:pt>
                <c:pt idx="47">
                  <c:v>10048.51762705629</c:v>
                </c:pt>
                <c:pt idx="48">
                  <c:v>10048.51762705629</c:v>
                </c:pt>
                <c:pt idx="49">
                  <c:v>10048.51762705629</c:v>
                </c:pt>
                <c:pt idx="50">
                  <c:v>10048.51762705629</c:v>
                </c:pt>
                <c:pt idx="51">
                  <c:v>10048.51762705629</c:v>
                </c:pt>
                <c:pt idx="52">
                  <c:v>10048.51762705629</c:v>
                </c:pt>
                <c:pt idx="53">
                  <c:v>10048.51762705629</c:v>
                </c:pt>
                <c:pt idx="54">
                  <c:v>10048.51762705629</c:v>
                </c:pt>
                <c:pt idx="55">
                  <c:v>10048.51762705629</c:v>
                </c:pt>
                <c:pt idx="56">
                  <c:v>10048.51762705629</c:v>
                </c:pt>
                <c:pt idx="57">
                  <c:v>10048.51762705629</c:v>
                </c:pt>
                <c:pt idx="58">
                  <c:v>10048.51762705629</c:v>
                </c:pt>
                <c:pt idx="59">
                  <c:v>10048.51762705629</c:v>
                </c:pt>
                <c:pt idx="60">
                  <c:v>10048.51762705629</c:v>
                </c:pt>
                <c:pt idx="61">
                  <c:v>10048.51762705629</c:v>
                </c:pt>
                <c:pt idx="62">
                  <c:v>10048.51762705629</c:v>
                </c:pt>
                <c:pt idx="63">
                  <c:v>10048.51762705629</c:v>
                </c:pt>
                <c:pt idx="64">
                  <c:v>10048.51762705629</c:v>
                </c:pt>
                <c:pt idx="65">
                  <c:v>10048.51762705629</c:v>
                </c:pt>
                <c:pt idx="66">
                  <c:v>10048.51762705629</c:v>
                </c:pt>
                <c:pt idx="67">
                  <c:v>10048.51762705629</c:v>
                </c:pt>
                <c:pt idx="68">
                  <c:v>10048.51762705629</c:v>
                </c:pt>
                <c:pt idx="69">
                  <c:v>10048.51762705629</c:v>
                </c:pt>
                <c:pt idx="70">
                  <c:v>10048.51762705629</c:v>
                </c:pt>
                <c:pt idx="71">
                  <c:v>10048.51762705629</c:v>
                </c:pt>
                <c:pt idx="72">
                  <c:v>10048.51762705629</c:v>
                </c:pt>
                <c:pt idx="73">
                  <c:v>21797.09117727802</c:v>
                </c:pt>
                <c:pt idx="74">
                  <c:v>21797.09117727802</c:v>
                </c:pt>
                <c:pt idx="75">
                  <c:v>21797.09117727802</c:v>
                </c:pt>
                <c:pt idx="76">
                  <c:v>21797.09117727802</c:v>
                </c:pt>
                <c:pt idx="77">
                  <c:v>21797.09117727802</c:v>
                </c:pt>
                <c:pt idx="78">
                  <c:v>21797.09117727802</c:v>
                </c:pt>
                <c:pt idx="79">
                  <c:v>21797.09117727802</c:v>
                </c:pt>
                <c:pt idx="80">
                  <c:v>21797.09117727802</c:v>
                </c:pt>
                <c:pt idx="81">
                  <c:v>21797.09117727802</c:v>
                </c:pt>
                <c:pt idx="82">
                  <c:v>21797.09117727802</c:v>
                </c:pt>
                <c:pt idx="83">
                  <c:v>21797.09117727802</c:v>
                </c:pt>
                <c:pt idx="84">
                  <c:v>21797.09117727802</c:v>
                </c:pt>
                <c:pt idx="85">
                  <c:v>21797.09117727802</c:v>
                </c:pt>
                <c:pt idx="86">
                  <c:v>21797.09117727802</c:v>
                </c:pt>
                <c:pt idx="87">
                  <c:v>21797.09117727802</c:v>
                </c:pt>
                <c:pt idx="88">
                  <c:v>21797.09117727802</c:v>
                </c:pt>
                <c:pt idx="89">
                  <c:v>31324.70731659016</c:v>
                </c:pt>
                <c:pt idx="90">
                  <c:v>31324.70731659016</c:v>
                </c:pt>
                <c:pt idx="91">
                  <c:v>31324.70731659016</c:v>
                </c:pt>
                <c:pt idx="92">
                  <c:v>31324.70731659016</c:v>
                </c:pt>
                <c:pt idx="93">
                  <c:v>31324.70731659016</c:v>
                </c:pt>
                <c:pt idx="94">
                  <c:v>31324.70731659016</c:v>
                </c:pt>
                <c:pt idx="95">
                  <c:v>31324.70731659016</c:v>
                </c:pt>
                <c:pt idx="96">
                  <c:v>31324.70731659016</c:v>
                </c:pt>
                <c:pt idx="97">
                  <c:v>31324.70731659016</c:v>
                </c:pt>
                <c:pt idx="98">
                  <c:v>31324.70731659016</c:v>
                </c:pt>
                <c:pt idx="99">
                  <c:v>31324.70731659016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121.2080495528232</c:v>
                </c:pt>
                <c:pt idx="40">
                  <c:v>121.2080495528232</c:v>
                </c:pt>
                <c:pt idx="41">
                  <c:v>121.2080495528232</c:v>
                </c:pt>
                <c:pt idx="42">
                  <c:v>121.2080495528232</c:v>
                </c:pt>
                <c:pt idx="43">
                  <c:v>121.2080495528232</c:v>
                </c:pt>
                <c:pt idx="44">
                  <c:v>121.2080495528232</c:v>
                </c:pt>
                <c:pt idx="45">
                  <c:v>121.2080495528232</c:v>
                </c:pt>
                <c:pt idx="46">
                  <c:v>121.2080495528232</c:v>
                </c:pt>
                <c:pt idx="47">
                  <c:v>121.2080495528232</c:v>
                </c:pt>
                <c:pt idx="48">
                  <c:v>121.2080495528232</c:v>
                </c:pt>
                <c:pt idx="49">
                  <c:v>121.2080495528232</c:v>
                </c:pt>
                <c:pt idx="50">
                  <c:v>121.2080495528232</c:v>
                </c:pt>
                <c:pt idx="51">
                  <c:v>121.2080495528232</c:v>
                </c:pt>
                <c:pt idx="52">
                  <c:v>121.2080495528232</c:v>
                </c:pt>
                <c:pt idx="53">
                  <c:v>121.2080495528232</c:v>
                </c:pt>
                <c:pt idx="54">
                  <c:v>121.2080495528232</c:v>
                </c:pt>
                <c:pt idx="55">
                  <c:v>121.2080495528232</c:v>
                </c:pt>
                <c:pt idx="56">
                  <c:v>121.2080495528232</c:v>
                </c:pt>
                <c:pt idx="57">
                  <c:v>121.2080495528232</c:v>
                </c:pt>
                <c:pt idx="58">
                  <c:v>121.2080495528232</c:v>
                </c:pt>
                <c:pt idx="59">
                  <c:v>121.2080495528232</c:v>
                </c:pt>
                <c:pt idx="60">
                  <c:v>121.2080495528232</c:v>
                </c:pt>
                <c:pt idx="61">
                  <c:v>121.2080495528232</c:v>
                </c:pt>
                <c:pt idx="62">
                  <c:v>121.2080495528232</c:v>
                </c:pt>
                <c:pt idx="63">
                  <c:v>121.2080495528232</c:v>
                </c:pt>
                <c:pt idx="64">
                  <c:v>121.2080495528232</c:v>
                </c:pt>
                <c:pt idx="65">
                  <c:v>121.2080495528232</c:v>
                </c:pt>
                <c:pt idx="66">
                  <c:v>121.2080495528232</c:v>
                </c:pt>
                <c:pt idx="67">
                  <c:v>121.2080495528232</c:v>
                </c:pt>
                <c:pt idx="68">
                  <c:v>121.2080495528232</c:v>
                </c:pt>
                <c:pt idx="69">
                  <c:v>121.2080495528232</c:v>
                </c:pt>
                <c:pt idx="70">
                  <c:v>121.2080495528232</c:v>
                </c:pt>
                <c:pt idx="71">
                  <c:v>121.2080495528232</c:v>
                </c:pt>
                <c:pt idx="72">
                  <c:v>121.2080495528232</c:v>
                </c:pt>
                <c:pt idx="73">
                  <c:v>85.1170584985181</c:v>
                </c:pt>
                <c:pt idx="74">
                  <c:v>85.1170584985181</c:v>
                </c:pt>
                <c:pt idx="75">
                  <c:v>85.1170584985181</c:v>
                </c:pt>
                <c:pt idx="76">
                  <c:v>85.1170584985181</c:v>
                </c:pt>
                <c:pt idx="77">
                  <c:v>85.1170584985181</c:v>
                </c:pt>
                <c:pt idx="78">
                  <c:v>85.1170584985181</c:v>
                </c:pt>
                <c:pt idx="79">
                  <c:v>85.1170584985181</c:v>
                </c:pt>
                <c:pt idx="80">
                  <c:v>85.1170584985181</c:v>
                </c:pt>
                <c:pt idx="81">
                  <c:v>85.1170584985181</c:v>
                </c:pt>
                <c:pt idx="82">
                  <c:v>85.1170584985181</c:v>
                </c:pt>
                <c:pt idx="83">
                  <c:v>85.1170584985181</c:v>
                </c:pt>
                <c:pt idx="84">
                  <c:v>85.1170584985181</c:v>
                </c:pt>
                <c:pt idx="85">
                  <c:v>85.1170584985181</c:v>
                </c:pt>
                <c:pt idx="86">
                  <c:v>85.1170584985181</c:v>
                </c:pt>
                <c:pt idx="87">
                  <c:v>85.1170584985181</c:v>
                </c:pt>
                <c:pt idx="88">
                  <c:v>85.1170584985181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  <c:pt idx="10">
                  <c:v>5317.155575988115</c:v>
                </c:pt>
                <c:pt idx="11">
                  <c:v>5317.155575988115</c:v>
                </c:pt>
                <c:pt idx="12">
                  <c:v>5317.155575988115</c:v>
                </c:pt>
                <c:pt idx="13">
                  <c:v>5317.155575988115</c:v>
                </c:pt>
                <c:pt idx="14">
                  <c:v>5317.155575988115</c:v>
                </c:pt>
                <c:pt idx="15">
                  <c:v>5317.155575988115</c:v>
                </c:pt>
                <c:pt idx="16">
                  <c:v>5317.155575988115</c:v>
                </c:pt>
                <c:pt idx="17">
                  <c:v>5317.155575988115</c:v>
                </c:pt>
                <c:pt idx="18">
                  <c:v>5317.155575988115</c:v>
                </c:pt>
                <c:pt idx="19">
                  <c:v>5317.155575988115</c:v>
                </c:pt>
                <c:pt idx="20">
                  <c:v>5317.155575988115</c:v>
                </c:pt>
                <c:pt idx="21">
                  <c:v>5317.155575988115</c:v>
                </c:pt>
                <c:pt idx="22">
                  <c:v>5317.155575988115</c:v>
                </c:pt>
                <c:pt idx="23">
                  <c:v>5317.155575988115</c:v>
                </c:pt>
                <c:pt idx="24">
                  <c:v>5317.155575988115</c:v>
                </c:pt>
                <c:pt idx="25">
                  <c:v>5317.155575988115</c:v>
                </c:pt>
                <c:pt idx="26">
                  <c:v>5317.155575988115</c:v>
                </c:pt>
                <c:pt idx="27">
                  <c:v>5317.155575988115</c:v>
                </c:pt>
                <c:pt idx="28">
                  <c:v>5317.155575988115</c:v>
                </c:pt>
                <c:pt idx="29">
                  <c:v>5317.155575988115</c:v>
                </c:pt>
                <c:pt idx="30">
                  <c:v>5317.155575988115</c:v>
                </c:pt>
                <c:pt idx="31">
                  <c:v>5317.155575988115</c:v>
                </c:pt>
                <c:pt idx="32">
                  <c:v>5317.155575988115</c:v>
                </c:pt>
                <c:pt idx="33">
                  <c:v>5317.155575988115</c:v>
                </c:pt>
                <c:pt idx="34">
                  <c:v>5317.155575988115</c:v>
                </c:pt>
                <c:pt idx="35">
                  <c:v>5317.155575988115</c:v>
                </c:pt>
                <c:pt idx="36">
                  <c:v>5317.155575988115</c:v>
                </c:pt>
                <c:pt idx="37">
                  <c:v>5317.155575988115</c:v>
                </c:pt>
                <c:pt idx="38">
                  <c:v>5317.155575988115</c:v>
                </c:pt>
                <c:pt idx="39">
                  <c:v>2477.368319826115</c:v>
                </c:pt>
                <c:pt idx="40">
                  <c:v>2477.368319826115</c:v>
                </c:pt>
                <c:pt idx="41">
                  <c:v>2477.368319826115</c:v>
                </c:pt>
                <c:pt idx="42">
                  <c:v>2477.368319826115</c:v>
                </c:pt>
                <c:pt idx="43">
                  <c:v>2477.368319826115</c:v>
                </c:pt>
                <c:pt idx="44">
                  <c:v>2477.368319826115</c:v>
                </c:pt>
                <c:pt idx="45">
                  <c:v>2477.368319826115</c:v>
                </c:pt>
                <c:pt idx="46">
                  <c:v>2477.368319826115</c:v>
                </c:pt>
                <c:pt idx="47">
                  <c:v>2477.368319826115</c:v>
                </c:pt>
                <c:pt idx="48">
                  <c:v>2477.368319826115</c:v>
                </c:pt>
                <c:pt idx="49">
                  <c:v>2477.368319826115</c:v>
                </c:pt>
                <c:pt idx="50">
                  <c:v>2477.368319826115</c:v>
                </c:pt>
                <c:pt idx="51">
                  <c:v>2477.368319826115</c:v>
                </c:pt>
                <c:pt idx="52">
                  <c:v>2477.368319826115</c:v>
                </c:pt>
                <c:pt idx="53">
                  <c:v>2477.368319826115</c:v>
                </c:pt>
                <c:pt idx="54">
                  <c:v>2477.368319826115</c:v>
                </c:pt>
                <c:pt idx="55">
                  <c:v>2477.368319826115</c:v>
                </c:pt>
                <c:pt idx="56">
                  <c:v>2477.368319826115</c:v>
                </c:pt>
                <c:pt idx="57">
                  <c:v>2477.368319826115</c:v>
                </c:pt>
                <c:pt idx="58">
                  <c:v>2477.368319826115</c:v>
                </c:pt>
                <c:pt idx="59">
                  <c:v>2477.368319826115</c:v>
                </c:pt>
                <c:pt idx="60">
                  <c:v>2477.368319826115</c:v>
                </c:pt>
                <c:pt idx="61">
                  <c:v>2477.368319826115</c:v>
                </c:pt>
                <c:pt idx="62">
                  <c:v>2477.368319826115</c:v>
                </c:pt>
                <c:pt idx="63">
                  <c:v>2477.368319826115</c:v>
                </c:pt>
                <c:pt idx="64">
                  <c:v>2477.368319826115</c:v>
                </c:pt>
                <c:pt idx="65">
                  <c:v>2477.368319826115</c:v>
                </c:pt>
                <c:pt idx="66">
                  <c:v>2477.368319826115</c:v>
                </c:pt>
                <c:pt idx="67">
                  <c:v>2477.368319826115</c:v>
                </c:pt>
                <c:pt idx="68">
                  <c:v>2477.368319826115</c:v>
                </c:pt>
                <c:pt idx="69">
                  <c:v>2477.368319826115</c:v>
                </c:pt>
                <c:pt idx="70">
                  <c:v>2477.368319826115</c:v>
                </c:pt>
                <c:pt idx="71">
                  <c:v>2477.368319826115</c:v>
                </c:pt>
                <c:pt idx="72">
                  <c:v>2477.368319826115</c:v>
                </c:pt>
                <c:pt idx="73">
                  <c:v>59625.59134945731</c:v>
                </c:pt>
                <c:pt idx="74">
                  <c:v>59625.59134945731</c:v>
                </c:pt>
                <c:pt idx="75">
                  <c:v>59625.59134945731</c:v>
                </c:pt>
                <c:pt idx="76">
                  <c:v>59625.59134945731</c:v>
                </c:pt>
                <c:pt idx="77">
                  <c:v>59625.59134945731</c:v>
                </c:pt>
                <c:pt idx="78">
                  <c:v>59625.59134945731</c:v>
                </c:pt>
                <c:pt idx="79">
                  <c:v>59625.59134945731</c:v>
                </c:pt>
                <c:pt idx="80">
                  <c:v>59625.59134945731</c:v>
                </c:pt>
                <c:pt idx="81">
                  <c:v>59625.59134945731</c:v>
                </c:pt>
                <c:pt idx="82">
                  <c:v>59625.59134945731</c:v>
                </c:pt>
                <c:pt idx="83">
                  <c:v>59625.59134945731</c:v>
                </c:pt>
                <c:pt idx="84">
                  <c:v>59625.59134945731</c:v>
                </c:pt>
                <c:pt idx="85">
                  <c:v>59625.59134945731</c:v>
                </c:pt>
                <c:pt idx="86">
                  <c:v>59625.59134945731</c:v>
                </c:pt>
                <c:pt idx="87">
                  <c:v>59625.59134945731</c:v>
                </c:pt>
                <c:pt idx="88">
                  <c:v>59625.59134945731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28209.65477523853</c:v>
                </c:pt>
                <c:pt idx="74">
                  <c:v>28209.65477523853</c:v>
                </c:pt>
                <c:pt idx="75">
                  <c:v>28209.65477523853</c:v>
                </c:pt>
                <c:pt idx="76">
                  <c:v>28209.65477523853</c:v>
                </c:pt>
                <c:pt idx="77">
                  <c:v>28209.65477523853</c:v>
                </c:pt>
                <c:pt idx="78">
                  <c:v>28209.65477523853</c:v>
                </c:pt>
                <c:pt idx="79">
                  <c:v>28209.65477523853</c:v>
                </c:pt>
                <c:pt idx="80">
                  <c:v>28209.65477523853</c:v>
                </c:pt>
                <c:pt idx="81">
                  <c:v>28209.65477523853</c:v>
                </c:pt>
                <c:pt idx="82">
                  <c:v>28209.65477523853</c:v>
                </c:pt>
                <c:pt idx="83">
                  <c:v>28209.65477523853</c:v>
                </c:pt>
                <c:pt idx="84">
                  <c:v>28209.65477523853</c:v>
                </c:pt>
                <c:pt idx="85">
                  <c:v>28209.65477523853</c:v>
                </c:pt>
                <c:pt idx="86">
                  <c:v>28209.65477523853</c:v>
                </c:pt>
                <c:pt idx="87">
                  <c:v>28209.65477523853</c:v>
                </c:pt>
                <c:pt idx="88">
                  <c:v>28209.65477523853</c:v>
                </c:pt>
                <c:pt idx="89">
                  <c:v>154408.6582878384</c:v>
                </c:pt>
                <c:pt idx="90">
                  <c:v>154408.6582878384</c:v>
                </c:pt>
                <c:pt idx="91">
                  <c:v>154408.6582878384</c:v>
                </c:pt>
                <c:pt idx="92">
                  <c:v>154408.6582878384</c:v>
                </c:pt>
                <c:pt idx="93">
                  <c:v>154408.6582878384</c:v>
                </c:pt>
                <c:pt idx="94">
                  <c:v>154408.6582878384</c:v>
                </c:pt>
                <c:pt idx="95">
                  <c:v>154408.6582878384</c:v>
                </c:pt>
                <c:pt idx="96">
                  <c:v>154408.6582878384</c:v>
                </c:pt>
                <c:pt idx="97">
                  <c:v>154408.6582878384</c:v>
                </c:pt>
                <c:pt idx="98">
                  <c:v>154408.6582878384</c:v>
                </c:pt>
                <c:pt idx="99">
                  <c:v>154408.6582878384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  <c:pt idx="10">
                  <c:v>1575.015620551702</c:v>
                </c:pt>
                <c:pt idx="11">
                  <c:v>1575.015620551702</c:v>
                </c:pt>
                <c:pt idx="12">
                  <c:v>1575.015620551702</c:v>
                </c:pt>
                <c:pt idx="13">
                  <c:v>1575.015620551702</c:v>
                </c:pt>
                <c:pt idx="14">
                  <c:v>1575.015620551702</c:v>
                </c:pt>
                <c:pt idx="15">
                  <c:v>1575.015620551702</c:v>
                </c:pt>
                <c:pt idx="16">
                  <c:v>1575.015620551702</c:v>
                </c:pt>
                <c:pt idx="17">
                  <c:v>1575.015620551702</c:v>
                </c:pt>
                <c:pt idx="18">
                  <c:v>1575.015620551702</c:v>
                </c:pt>
                <c:pt idx="19">
                  <c:v>1575.015620551702</c:v>
                </c:pt>
                <c:pt idx="20">
                  <c:v>1575.015620551702</c:v>
                </c:pt>
                <c:pt idx="21">
                  <c:v>1575.015620551702</c:v>
                </c:pt>
                <c:pt idx="22">
                  <c:v>1575.015620551702</c:v>
                </c:pt>
                <c:pt idx="23">
                  <c:v>1575.015620551702</c:v>
                </c:pt>
                <c:pt idx="24">
                  <c:v>1575.015620551702</c:v>
                </c:pt>
                <c:pt idx="25">
                  <c:v>1575.015620551702</c:v>
                </c:pt>
                <c:pt idx="26">
                  <c:v>1575.015620551702</c:v>
                </c:pt>
                <c:pt idx="27">
                  <c:v>1575.015620551702</c:v>
                </c:pt>
                <c:pt idx="28">
                  <c:v>1575.015620551702</c:v>
                </c:pt>
                <c:pt idx="29">
                  <c:v>1575.015620551702</c:v>
                </c:pt>
                <c:pt idx="30">
                  <c:v>1575.015620551702</c:v>
                </c:pt>
                <c:pt idx="31">
                  <c:v>1575.015620551702</c:v>
                </c:pt>
                <c:pt idx="32">
                  <c:v>1575.015620551702</c:v>
                </c:pt>
                <c:pt idx="33">
                  <c:v>1575.015620551702</c:v>
                </c:pt>
                <c:pt idx="34">
                  <c:v>1575.015620551702</c:v>
                </c:pt>
                <c:pt idx="35">
                  <c:v>1575.015620551702</c:v>
                </c:pt>
                <c:pt idx="36">
                  <c:v>1575.015620551702</c:v>
                </c:pt>
                <c:pt idx="37">
                  <c:v>1575.015620551702</c:v>
                </c:pt>
                <c:pt idx="38">
                  <c:v>1575.015620551702</c:v>
                </c:pt>
                <c:pt idx="39">
                  <c:v>1148.448889985616</c:v>
                </c:pt>
                <c:pt idx="40">
                  <c:v>1148.448889985616</c:v>
                </c:pt>
                <c:pt idx="41">
                  <c:v>1148.448889985616</c:v>
                </c:pt>
                <c:pt idx="42">
                  <c:v>1148.448889985616</c:v>
                </c:pt>
                <c:pt idx="43">
                  <c:v>1148.448889985616</c:v>
                </c:pt>
                <c:pt idx="44">
                  <c:v>1148.448889985616</c:v>
                </c:pt>
                <c:pt idx="45">
                  <c:v>1148.448889985616</c:v>
                </c:pt>
                <c:pt idx="46">
                  <c:v>1148.448889985616</c:v>
                </c:pt>
                <c:pt idx="47">
                  <c:v>1148.448889985616</c:v>
                </c:pt>
                <c:pt idx="48">
                  <c:v>1148.448889985616</c:v>
                </c:pt>
                <c:pt idx="49">
                  <c:v>1148.448889985616</c:v>
                </c:pt>
                <c:pt idx="50">
                  <c:v>1148.448889985616</c:v>
                </c:pt>
                <c:pt idx="51">
                  <c:v>1148.448889985616</c:v>
                </c:pt>
                <c:pt idx="52">
                  <c:v>1148.448889985616</c:v>
                </c:pt>
                <c:pt idx="53">
                  <c:v>1148.448889985616</c:v>
                </c:pt>
                <c:pt idx="54">
                  <c:v>1148.448889985616</c:v>
                </c:pt>
                <c:pt idx="55">
                  <c:v>1148.448889985616</c:v>
                </c:pt>
                <c:pt idx="56">
                  <c:v>1148.448889985616</c:v>
                </c:pt>
                <c:pt idx="57">
                  <c:v>1148.448889985616</c:v>
                </c:pt>
                <c:pt idx="58">
                  <c:v>1148.448889985616</c:v>
                </c:pt>
                <c:pt idx="59">
                  <c:v>1148.448889985616</c:v>
                </c:pt>
                <c:pt idx="60">
                  <c:v>1148.448889985616</c:v>
                </c:pt>
                <c:pt idx="61">
                  <c:v>1148.448889985616</c:v>
                </c:pt>
                <c:pt idx="62">
                  <c:v>1148.448889985616</c:v>
                </c:pt>
                <c:pt idx="63">
                  <c:v>1148.448889985616</c:v>
                </c:pt>
                <c:pt idx="64">
                  <c:v>1148.448889985616</c:v>
                </c:pt>
                <c:pt idx="65">
                  <c:v>1148.448889985616</c:v>
                </c:pt>
                <c:pt idx="66">
                  <c:v>1148.448889985616</c:v>
                </c:pt>
                <c:pt idx="67">
                  <c:v>1148.448889985616</c:v>
                </c:pt>
                <c:pt idx="68">
                  <c:v>1148.448889985616</c:v>
                </c:pt>
                <c:pt idx="69">
                  <c:v>1148.448889985616</c:v>
                </c:pt>
                <c:pt idx="70">
                  <c:v>1148.448889985616</c:v>
                </c:pt>
                <c:pt idx="71">
                  <c:v>1148.448889985616</c:v>
                </c:pt>
                <c:pt idx="72">
                  <c:v>1148.448889985616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60961.88831309465</c:v>
                </c:pt>
                <c:pt idx="90">
                  <c:v>60961.88831309465</c:v>
                </c:pt>
                <c:pt idx="91">
                  <c:v>60961.88831309465</c:v>
                </c:pt>
                <c:pt idx="92">
                  <c:v>60961.88831309465</c:v>
                </c:pt>
                <c:pt idx="93">
                  <c:v>60961.88831309465</c:v>
                </c:pt>
                <c:pt idx="94">
                  <c:v>60961.88831309465</c:v>
                </c:pt>
                <c:pt idx="95">
                  <c:v>60961.88831309465</c:v>
                </c:pt>
                <c:pt idx="96">
                  <c:v>60961.88831309465</c:v>
                </c:pt>
                <c:pt idx="97">
                  <c:v>60961.88831309465</c:v>
                </c:pt>
                <c:pt idx="98">
                  <c:v>60961.88831309465</c:v>
                </c:pt>
                <c:pt idx="99">
                  <c:v>60961.88831309465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  <c:pt idx="10">
                  <c:v>2542.666846672839</c:v>
                </c:pt>
                <c:pt idx="11">
                  <c:v>2542.666846672839</c:v>
                </c:pt>
                <c:pt idx="12">
                  <c:v>2542.666846672839</c:v>
                </c:pt>
                <c:pt idx="13">
                  <c:v>2542.666846672839</c:v>
                </c:pt>
                <c:pt idx="14">
                  <c:v>2542.666846672839</c:v>
                </c:pt>
                <c:pt idx="15">
                  <c:v>2542.666846672839</c:v>
                </c:pt>
                <c:pt idx="16">
                  <c:v>2542.666846672839</c:v>
                </c:pt>
                <c:pt idx="17">
                  <c:v>2542.666846672839</c:v>
                </c:pt>
                <c:pt idx="18">
                  <c:v>2542.666846672839</c:v>
                </c:pt>
                <c:pt idx="19">
                  <c:v>2542.666846672839</c:v>
                </c:pt>
                <c:pt idx="20">
                  <c:v>2542.666846672839</c:v>
                </c:pt>
                <c:pt idx="21">
                  <c:v>2542.666846672839</c:v>
                </c:pt>
                <c:pt idx="22">
                  <c:v>2542.666846672839</c:v>
                </c:pt>
                <c:pt idx="23">
                  <c:v>2542.666846672839</c:v>
                </c:pt>
                <c:pt idx="24">
                  <c:v>2542.666846672839</c:v>
                </c:pt>
                <c:pt idx="25">
                  <c:v>2542.666846672839</c:v>
                </c:pt>
                <c:pt idx="26">
                  <c:v>2542.666846672839</c:v>
                </c:pt>
                <c:pt idx="27">
                  <c:v>2542.666846672839</c:v>
                </c:pt>
                <c:pt idx="28">
                  <c:v>2542.666846672839</c:v>
                </c:pt>
                <c:pt idx="29">
                  <c:v>2542.666846672839</c:v>
                </c:pt>
                <c:pt idx="30">
                  <c:v>2542.666846672839</c:v>
                </c:pt>
                <c:pt idx="31">
                  <c:v>2542.666846672839</c:v>
                </c:pt>
                <c:pt idx="32">
                  <c:v>2542.666846672839</c:v>
                </c:pt>
                <c:pt idx="33">
                  <c:v>2542.666846672839</c:v>
                </c:pt>
                <c:pt idx="34">
                  <c:v>2542.666846672839</c:v>
                </c:pt>
                <c:pt idx="35">
                  <c:v>2542.666846672839</c:v>
                </c:pt>
                <c:pt idx="36">
                  <c:v>2542.666846672839</c:v>
                </c:pt>
                <c:pt idx="37">
                  <c:v>2542.666846672839</c:v>
                </c:pt>
                <c:pt idx="38">
                  <c:v>2542.666846672839</c:v>
                </c:pt>
                <c:pt idx="39">
                  <c:v>2592.638932611427</c:v>
                </c:pt>
                <c:pt idx="40">
                  <c:v>2592.638932611427</c:v>
                </c:pt>
                <c:pt idx="41">
                  <c:v>2592.638932611427</c:v>
                </c:pt>
                <c:pt idx="42">
                  <c:v>2592.638932611427</c:v>
                </c:pt>
                <c:pt idx="43">
                  <c:v>2592.638932611427</c:v>
                </c:pt>
                <c:pt idx="44">
                  <c:v>2592.638932611427</c:v>
                </c:pt>
                <c:pt idx="45">
                  <c:v>2592.638932611427</c:v>
                </c:pt>
                <c:pt idx="46">
                  <c:v>2592.638932611427</c:v>
                </c:pt>
                <c:pt idx="47">
                  <c:v>2592.638932611427</c:v>
                </c:pt>
                <c:pt idx="48">
                  <c:v>2592.638932611427</c:v>
                </c:pt>
                <c:pt idx="49">
                  <c:v>2592.638932611427</c:v>
                </c:pt>
                <c:pt idx="50">
                  <c:v>2592.638932611427</c:v>
                </c:pt>
                <c:pt idx="51">
                  <c:v>2592.638932611427</c:v>
                </c:pt>
                <c:pt idx="52">
                  <c:v>2592.638932611427</c:v>
                </c:pt>
                <c:pt idx="53">
                  <c:v>2592.638932611427</c:v>
                </c:pt>
                <c:pt idx="54">
                  <c:v>2592.638932611427</c:v>
                </c:pt>
                <c:pt idx="55">
                  <c:v>2592.638932611427</c:v>
                </c:pt>
                <c:pt idx="56">
                  <c:v>2592.638932611427</c:v>
                </c:pt>
                <c:pt idx="57">
                  <c:v>2592.638932611427</c:v>
                </c:pt>
                <c:pt idx="58">
                  <c:v>2592.638932611427</c:v>
                </c:pt>
                <c:pt idx="59">
                  <c:v>2592.638932611427</c:v>
                </c:pt>
                <c:pt idx="60">
                  <c:v>2592.638932611427</c:v>
                </c:pt>
                <c:pt idx="61">
                  <c:v>2592.638932611427</c:v>
                </c:pt>
                <c:pt idx="62">
                  <c:v>2592.638932611427</c:v>
                </c:pt>
                <c:pt idx="63">
                  <c:v>2592.638932611427</c:v>
                </c:pt>
                <c:pt idx="64">
                  <c:v>2592.638932611427</c:v>
                </c:pt>
                <c:pt idx="65">
                  <c:v>2592.638932611427</c:v>
                </c:pt>
                <c:pt idx="66">
                  <c:v>2592.638932611427</c:v>
                </c:pt>
                <c:pt idx="67">
                  <c:v>2592.638932611427</c:v>
                </c:pt>
                <c:pt idx="68">
                  <c:v>2592.638932611427</c:v>
                </c:pt>
                <c:pt idx="69">
                  <c:v>2592.638932611427</c:v>
                </c:pt>
                <c:pt idx="70">
                  <c:v>2592.638932611427</c:v>
                </c:pt>
                <c:pt idx="71">
                  <c:v>2592.638932611427</c:v>
                </c:pt>
                <c:pt idx="72">
                  <c:v>2592.638932611427</c:v>
                </c:pt>
                <c:pt idx="73">
                  <c:v>2307.402851627442</c:v>
                </c:pt>
                <c:pt idx="74">
                  <c:v>2307.402851627442</c:v>
                </c:pt>
                <c:pt idx="75">
                  <c:v>2307.402851627442</c:v>
                </c:pt>
                <c:pt idx="76">
                  <c:v>2307.402851627442</c:v>
                </c:pt>
                <c:pt idx="77">
                  <c:v>2307.402851627442</c:v>
                </c:pt>
                <c:pt idx="78">
                  <c:v>2307.402851627442</c:v>
                </c:pt>
                <c:pt idx="79">
                  <c:v>2307.402851627442</c:v>
                </c:pt>
                <c:pt idx="80">
                  <c:v>2307.402851627442</c:v>
                </c:pt>
                <c:pt idx="81">
                  <c:v>2307.402851627442</c:v>
                </c:pt>
                <c:pt idx="82">
                  <c:v>2307.402851627442</c:v>
                </c:pt>
                <c:pt idx="83">
                  <c:v>2307.402851627442</c:v>
                </c:pt>
                <c:pt idx="84">
                  <c:v>2307.402851627442</c:v>
                </c:pt>
                <c:pt idx="85">
                  <c:v>2307.402851627442</c:v>
                </c:pt>
                <c:pt idx="86">
                  <c:v>2307.402851627442</c:v>
                </c:pt>
                <c:pt idx="87">
                  <c:v>2307.402851627442</c:v>
                </c:pt>
                <c:pt idx="88">
                  <c:v>2307.402851627442</c:v>
                </c:pt>
                <c:pt idx="89">
                  <c:v>403.9561828804129</c:v>
                </c:pt>
                <c:pt idx="90">
                  <c:v>403.9561828804129</c:v>
                </c:pt>
                <c:pt idx="91">
                  <c:v>403.9561828804129</c:v>
                </c:pt>
                <c:pt idx="92">
                  <c:v>403.9561828804129</c:v>
                </c:pt>
                <c:pt idx="93">
                  <c:v>403.9561828804129</c:v>
                </c:pt>
                <c:pt idx="94">
                  <c:v>403.9561828804129</c:v>
                </c:pt>
                <c:pt idx="95">
                  <c:v>403.9561828804129</c:v>
                </c:pt>
                <c:pt idx="96">
                  <c:v>403.9561828804129</c:v>
                </c:pt>
                <c:pt idx="97">
                  <c:v>403.9561828804129</c:v>
                </c:pt>
                <c:pt idx="98">
                  <c:v>403.9561828804129</c:v>
                </c:pt>
                <c:pt idx="99">
                  <c:v>403.9561828804129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23585.85891776174</c:v>
                </c:pt>
                <c:pt idx="1">
                  <c:v>23585.85891776174</c:v>
                </c:pt>
                <c:pt idx="2">
                  <c:v>23585.85891776174</c:v>
                </c:pt>
                <c:pt idx="3">
                  <c:v>23585.85891776174</c:v>
                </c:pt>
                <c:pt idx="4">
                  <c:v>23585.85891776174</c:v>
                </c:pt>
                <c:pt idx="5">
                  <c:v>23585.85891776174</c:v>
                </c:pt>
                <c:pt idx="6">
                  <c:v>23585.85891776174</c:v>
                </c:pt>
                <c:pt idx="7">
                  <c:v>23585.85891776174</c:v>
                </c:pt>
                <c:pt idx="8">
                  <c:v>23585.85891776174</c:v>
                </c:pt>
                <c:pt idx="9">
                  <c:v>23585.85891776174</c:v>
                </c:pt>
                <c:pt idx="10">
                  <c:v>23585.85891776174</c:v>
                </c:pt>
                <c:pt idx="11">
                  <c:v>23585.85891776174</c:v>
                </c:pt>
                <c:pt idx="12">
                  <c:v>23585.85891776174</c:v>
                </c:pt>
                <c:pt idx="13">
                  <c:v>23585.85891776174</c:v>
                </c:pt>
                <c:pt idx="14">
                  <c:v>23585.85891776174</c:v>
                </c:pt>
                <c:pt idx="15">
                  <c:v>23585.85891776174</c:v>
                </c:pt>
                <c:pt idx="16">
                  <c:v>23585.85891776174</c:v>
                </c:pt>
                <c:pt idx="17">
                  <c:v>23585.85891776174</c:v>
                </c:pt>
                <c:pt idx="18">
                  <c:v>23585.85891776174</c:v>
                </c:pt>
                <c:pt idx="19">
                  <c:v>23585.85891776174</c:v>
                </c:pt>
                <c:pt idx="20">
                  <c:v>23585.85891776174</c:v>
                </c:pt>
                <c:pt idx="21">
                  <c:v>23585.85891776174</c:v>
                </c:pt>
                <c:pt idx="22">
                  <c:v>23585.85891776174</c:v>
                </c:pt>
                <c:pt idx="23">
                  <c:v>23585.85891776174</c:v>
                </c:pt>
                <c:pt idx="24">
                  <c:v>23585.85891776174</c:v>
                </c:pt>
                <c:pt idx="25">
                  <c:v>23585.85891776174</c:v>
                </c:pt>
                <c:pt idx="26">
                  <c:v>23585.85891776174</c:v>
                </c:pt>
                <c:pt idx="27">
                  <c:v>23585.85891776174</c:v>
                </c:pt>
                <c:pt idx="28">
                  <c:v>23585.85891776174</c:v>
                </c:pt>
                <c:pt idx="29">
                  <c:v>23585.85891776174</c:v>
                </c:pt>
                <c:pt idx="30">
                  <c:v>23585.85891776174</c:v>
                </c:pt>
                <c:pt idx="31">
                  <c:v>23585.85891776174</c:v>
                </c:pt>
                <c:pt idx="32">
                  <c:v>23585.85891776174</c:v>
                </c:pt>
                <c:pt idx="33">
                  <c:v>23585.85891776174</c:v>
                </c:pt>
                <c:pt idx="34">
                  <c:v>23585.85891776174</c:v>
                </c:pt>
                <c:pt idx="35">
                  <c:v>23585.85891776174</c:v>
                </c:pt>
                <c:pt idx="36">
                  <c:v>23585.85891776174</c:v>
                </c:pt>
                <c:pt idx="37">
                  <c:v>23585.85891776174</c:v>
                </c:pt>
                <c:pt idx="38">
                  <c:v>23585.85891776174</c:v>
                </c:pt>
                <c:pt idx="39">
                  <c:v>31271.44295367262</c:v>
                </c:pt>
                <c:pt idx="40">
                  <c:v>31271.44295367262</c:v>
                </c:pt>
                <c:pt idx="41">
                  <c:v>31271.44295367262</c:v>
                </c:pt>
                <c:pt idx="42">
                  <c:v>31271.44295367262</c:v>
                </c:pt>
                <c:pt idx="43">
                  <c:v>31271.44295367262</c:v>
                </c:pt>
                <c:pt idx="44">
                  <c:v>31271.44295367262</c:v>
                </c:pt>
                <c:pt idx="45">
                  <c:v>31271.44295367262</c:v>
                </c:pt>
                <c:pt idx="46">
                  <c:v>31271.44295367262</c:v>
                </c:pt>
                <c:pt idx="47">
                  <c:v>31271.44295367262</c:v>
                </c:pt>
                <c:pt idx="48">
                  <c:v>31271.44295367262</c:v>
                </c:pt>
                <c:pt idx="49">
                  <c:v>31271.44295367262</c:v>
                </c:pt>
                <c:pt idx="50">
                  <c:v>31271.44295367262</c:v>
                </c:pt>
                <c:pt idx="51">
                  <c:v>31271.44295367262</c:v>
                </c:pt>
                <c:pt idx="52">
                  <c:v>31271.44295367262</c:v>
                </c:pt>
                <c:pt idx="53">
                  <c:v>31271.44295367262</c:v>
                </c:pt>
                <c:pt idx="54">
                  <c:v>31271.44295367262</c:v>
                </c:pt>
                <c:pt idx="55">
                  <c:v>31271.44295367262</c:v>
                </c:pt>
                <c:pt idx="56">
                  <c:v>31271.44295367262</c:v>
                </c:pt>
                <c:pt idx="57">
                  <c:v>31271.44295367262</c:v>
                </c:pt>
                <c:pt idx="58">
                  <c:v>31271.44295367262</c:v>
                </c:pt>
                <c:pt idx="59">
                  <c:v>31271.44295367262</c:v>
                </c:pt>
                <c:pt idx="60">
                  <c:v>31271.44295367262</c:v>
                </c:pt>
                <c:pt idx="61">
                  <c:v>31271.44295367262</c:v>
                </c:pt>
                <c:pt idx="62">
                  <c:v>31271.44295367262</c:v>
                </c:pt>
                <c:pt idx="63">
                  <c:v>31271.44295367262</c:v>
                </c:pt>
                <c:pt idx="64">
                  <c:v>31271.44295367262</c:v>
                </c:pt>
                <c:pt idx="65">
                  <c:v>31271.44295367262</c:v>
                </c:pt>
                <c:pt idx="66">
                  <c:v>31271.44295367262</c:v>
                </c:pt>
                <c:pt idx="67">
                  <c:v>31271.44295367262</c:v>
                </c:pt>
                <c:pt idx="68">
                  <c:v>31271.44295367262</c:v>
                </c:pt>
                <c:pt idx="69">
                  <c:v>31271.44295367262</c:v>
                </c:pt>
                <c:pt idx="70">
                  <c:v>31271.44295367262</c:v>
                </c:pt>
                <c:pt idx="71">
                  <c:v>31271.44295367262</c:v>
                </c:pt>
                <c:pt idx="72">
                  <c:v>31271.44295367262</c:v>
                </c:pt>
                <c:pt idx="73">
                  <c:v>9343.217663344205</c:v>
                </c:pt>
                <c:pt idx="74">
                  <c:v>9343.217663344205</c:v>
                </c:pt>
                <c:pt idx="75">
                  <c:v>9343.217663344205</c:v>
                </c:pt>
                <c:pt idx="76">
                  <c:v>9343.217663344205</c:v>
                </c:pt>
                <c:pt idx="77">
                  <c:v>9343.217663344205</c:v>
                </c:pt>
                <c:pt idx="78">
                  <c:v>9343.217663344205</c:v>
                </c:pt>
                <c:pt idx="79">
                  <c:v>9343.217663344205</c:v>
                </c:pt>
                <c:pt idx="80">
                  <c:v>9343.217663344205</c:v>
                </c:pt>
                <c:pt idx="81">
                  <c:v>9343.217663344205</c:v>
                </c:pt>
                <c:pt idx="82">
                  <c:v>9343.217663344205</c:v>
                </c:pt>
                <c:pt idx="83">
                  <c:v>9343.217663344205</c:v>
                </c:pt>
                <c:pt idx="84">
                  <c:v>9343.217663344205</c:v>
                </c:pt>
                <c:pt idx="85">
                  <c:v>9343.217663344205</c:v>
                </c:pt>
                <c:pt idx="86">
                  <c:v>9343.217663344205</c:v>
                </c:pt>
                <c:pt idx="87">
                  <c:v>9343.217663344205</c:v>
                </c:pt>
                <c:pt idx="88">
                  <c:v>9343.217663344205</c:v>
                </c:pt>
                <c:pt idx="89">
                  <c:v>11264.23818657181</c:v>
                </c:pt>
                <c:pt idx="90">
                  <c:v>11264.23818657181</c:v>
                </c:pt>
                <c:pt idx="91">
                  <c:v>11264.23818657181</c:v>
                </c:pt>
                <c:pt idx="92">
                  <c:v>11264.23818657181</c:v>
                </c:pt>
                <c:pt idx="93">
                  <c:v>11264.23818657181</c:v>
                </c:pt>
                <c:pt idx="94">
                  <c:v>11264.23818657181</c:v>
                </c:pt>
                <c:pt idx="95">
                  <c:v>11264.23818657181</c:v>
                </c:pt>
                <c:pt idx="96">
                  <c:v>11264.23818657181</c:v>
                </c:pt>
                <c:pt idx="97">
                  <c:v>11264.23818657181</c:v>
                </c:pt>
                <c:pt idx="98">
                  <c:v>11264.23818657181</c:v>
                </c:pt>
                <c:pt idx="99">
                  <c:v>11264.23818657181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348.6362701742048</c:v>
                </c:pt>
                <c:pt idx="40">
                  <c:v>348.6362701742048</c:v>
                </c:pt>
                <c:pt idx="41">
                  <c:v>348.6362701742048</c:v>
                </c:pt>
                <c:pt idx="42">
                  <c:v>348.6362701742048</c:v>
                </c:pt>
                <c:pt idx="43">
                  <c:v>348.6362701742048</c:v>
                </c:pt>
                <c:pt idx="44">
                  <c:v>348.6362701742048</c:v>
                </c:pt>
                <c:pt idx="45">
                  <c:v>348.6362701742048</c:v>
                </c:pt>
                <c:pt idx="46">
                  <c:v>348.6362701742048</c:v>
                </c:pt>
                <c:pt idx="47">
                  <c:v>348.6362701742048</c:v>
                </c:pt>
                <c:pt idx="48">
                  <c:v>348.6362701742048</c:v>
                </c:pt>
                <c:pt idx="49">
                  <c:v>348.6362701742048</c:v>
                </c:pt>
                <c:pt idx="50">
                  <c:v>348.6362701742048</c:v>
                </c:pt>
                <c:pt idx="51">
                  <c:v>348.6362701742048</c:v>
                </c:pt>
                <c:pt idx="52">
                  <c:v>348.6362701742048</c:v>
                </c:pt>
                <c:pt idx="53">
                  <c:v>348.6362701742048</c:v>
                </c:pt>
                <c:pt idx="54">
                  <c:v>348.6362701742048</c:v>
                </c:pt>
                <c:pt idx="55">
                  <c:v>348.6362701742048</c:v>
                </c:pt>
                <c:pt idx="56">
                  <c:v>348.6362701742048</c:v>
                </c:pt>
                <c:pt idx="57">
                  <c:v>348.6362701742048</c:v>
                </c:pt>
                <c:pt idx="58">
                  <c:v>348.6362701742048</c:v>
                </c:pt>
                <c:pt idx="59">
                  <c:v>348.6362701742048</c:v>
                </c:pt>
                <c:pt idx="60">
                  <c:v>348.6362701742048</c:v>
                </c:pt>
                <c:pt idx="61">
                  <c:v>348.6362701742048</c:v>
                </c:pt>
                <c:pt idx="62">
                  <c:v>348.6362701742048</c:v>
                </c:pt>
                <c:pt idx="63">
                  <c:v>348.6362701742048</c:v>
                </c:pt>
                <c:pt idx="64">
                  <c:v>348.6362701742048</c:v>
                </c:pt>
                <c:pt idx="65">
                  <c:v>348.6362701742048</c:v>
                </c:pt>
                <c:pt idx="66">
                  <c:v>348.6362701742048</c:v>
                </c:pt>
                <c:pt idx="67">
                  <c:v>348.6362701742048</c:v>
                </c:pt>
                <c:pt idx="68">
                  <c:v>348.6362701742048</c:v>
                </c:pt>
                <c:pt idx="69">
                  <c:v>348.6362701742048</c:v>
                </c:pt>
                <c:pt idx="70">
                  <c:v>348.6362701742048</c:v>
                </c:pt>
                <c:pt idx="71">
                  <c:v>348.6362701742048</c:v>
                </c:pt>
                <c:pt idx="72">
                  <c:v>348.6362701742048</c:v>
                </c:pt>
                <c:pt idx="73">
                  <c:v>6257.874563799174</c:v>
                </c:pt>
                <c:pt idx="74">
                  <c:v>6257.874563799174</c:v>
                </c:pt>
                <c:pt idx="75">
                  <c:v>6257.874563799174</c:v>
                </c:pt>
                <c:pt idx="76">
                  <c:v>6257.874563799174</c:v>
                </c:pt>
                <c:pt idx="77">
                  <c:v>6257.874563799174</c:v>
                </c:pt>
                <c:pt idx="78">
                  <c:v>6257.874563799174</c:v>
                </c:pt>
                <c:pt idx="79">
                  <c:v>6257.874563799174</c:v>
                </c:pt>
                <c:pt idx="80">
                  <c:v>6257.874563799174</c:v>
                </c:pt>
                <c:pt idx="81">
                  <c:v>6257.874563799174</c:v>
                </c:pt>
                <c:pt idx="82">
                  <c:v>6257.874563799174</c:v>
                </c:pt>
                <c:pt idx="83">
                  <c:v>6257.874563799174</c:v>
                </c:pt>
                <c:pt idx="84">
                  <c:v>6257.874563799174</c:v>
                </c:pt>
                <c:pt idx="85">
                  <c:v>6257.874563799174</c:v>
                </c:pt>
                <c:pt idx="86">
                  <c:v>6257.874563799174</c:v>
                </c:pt>
                <c:pt idx="87">
                  <c:v>6257.874563799174</c:v>
                </c:pt>
                <c:pt idx="88">
                  <c:v>6257.874563799174</c:v>
                </c:pt>
                <c:pt idx="89">
                  <c:v>22950.35795316505</c:v>
                </c:pt>
                <c:pt idx="90">
                  <c:v>22950.35795316505</c:v>
                </c:pt>
                <c:pt idx="91">
                  <c:v>22950.35795316505</c:v>
                </c:pt>
                <c:pt idx="92">
                  <c:v>22950.35795316505</c:v>
                </c:pt>
                <c:pt idx="93">
                  <c:v>22950.35795316505</c:v>
                </c:pt>
                <c:pt idx="94">
                  <c:v>22950.35795316505</c:v>
                </c:pt>
                <c:pt idx="95">
                  <c:v>22950.35795316505</c:v>
                </c:pt>
                <c:pt idx="96">
                  <c:v>22950.35795316505</c:v>
                </c:pt>
                <c:pt idx="97">
                  <c:v>22950.35795316505</c:v>
                </c:pt>
                <c:pt idx="98">
                  <c:v>22950.35795316505</c:v>
                </c:pt>
                <c:pt idx="99">
                  <c:v>22950.35795316505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5110088"/>
        <c:axId val="-208510666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31035.99249196373</c:v>
                </c:pt>
                <c:pt idx="1">
                  <c:v>31035.99249196373</c:v>
                </c:pt>
                <c:pt idx="2">
                  <c:v>31035.99249196373</c:v>
                </c:pt>
                <c:pt idx="3">
                  <c:v>31035.99249196373</c:v>
                </c:pt>
                <c:pt idx="4">
                  <c:v>31035.99249196373</c:v>
                </c:pt>
                <c:pt idx="5">
                  <c:v>31035.99249196373</c:v>
                </c:pt>
                <c:pt idx="6">
                  <c:v>31035.99249196373</c:v>
                </c:pt>
                <c:pt idx="7">
                  <c:v>31035.99249196373</c:v>
                </c:pt>
                <c:pt idx="8">
                  <c:v>31035.99249196373</c:v>
                </c:pt>
                <c:pt idx="9">
                  <c:v>31035.99249196373</c:v>
                </c:pt>
                <c:pt idx="10">
                  <c:v>31035.99249196373</c:v>
                </c:pt>
                <c:pt idx="11">
                  <c:v>31035.99249196373</c:v>
                </c:pt>
                <c:pt idx="12">
                  <c:v>31035.99249196373</c:v>
                </c:pt>
                <c:pt idx="13">
                  <c:v>31035.99249196373</c:v>
                </c:pt>
                <c:pt idx="14">
                  <c:v>31035.99249196373</c:v>
                </c:pt>
                <c:pt idx="15">
                  <c:v>31035.99249196373</c:v>
                </c:pt>
                <c:pt idx="16">
                  <c:v>31035.99249196373</c:v>
                </c:pt>
                <c:pt idx="17">
                  <c:v>31035.99249196373</c:v>
                </c:pt>
                <c:pt idx="18">
                  <c:v>31035.99249196373</c:v>
                </c:pt>
                <c:pt idx="19">
                  <c:v>31035.99249196373</c:v>
                </c:pt>
                <c:pt idx="20">
                  <c:v>31035.99249196373</c:v>
                </c:pt>
                <c:pt idx="21">
                  <c:v>31035.99249196373</c:v>
                </c:pt>
                <c:pt idx="22">
                  <c:v>31035.99249196373</c:v>
                </c:pt>
                <c:pt idx="23">
                  <c:v>31035.99249196373</c:v>
                </c:pt>
                <c:pt idx="24">
                  <c:v>31035.99249196373</c:v>
                </c:pt>
                <c:pt idx="25">
                  <c:v>31035.99249196373</c:v>
                </c:pt>
                <c:pt idx="26">
                  <c:v>31035.99249196373</c:v>
                </c:pt>
                <c:pt idx="27">
                  <c:v>31035.99249196373</c:v>
                </c:pt>
                <c:pt idx="28">
                  <c:v>31035.99249196373</c:v>
                </c:pt>
                <c:pt idx="29">
                  <c:v>31035.99249196373</c:v>
                </c:pt>
                <c:pt idx="30">
                  <c:v>31035.99249196373</c:v>
                </c:pt>
                <c:pt idx="31">
                  <c:v>31035.99249196373</c:v>
                </c:pt>
                <c:pt idx="32">
                  <c:v>31035.99249196373</c:v>
                </c:pt>
                <c:pt idx="33">
                  <c:v>31035.99249196373</c:v>
                </c:pt>
                <c:pt idx="34">
                  <c:v>31035.99249196373</c:v>
                </c:pt>
                <c:pt idx="35">
                  <c:v>31035.99249196373</c:v>
                </c:pt>
                <c:pt idx="36">
                  <c:v>31035.99249196373</c:v>
                </c:pt>
                <c:pt idx="37">
                  <c:v>31035.99249196373</c:v>
                </c:pt>
                <c:pt idx="38">
                  <c:v>31035.99249196373</c:v>
                </c:pt>
                <c:pt idx="39">
                  <c:v>31035.99249196373</c:v>
                </c:pt>
                <c:pt idx="40">
                  <c:v>31035.99249196373</c:v>
                </c:pt>
                <c:pt idx="41">
                  <c:v>31035.99249196373</c:v>
                </c:pt>
                <c:pt idx="42">
                  <c:v>31035.99249196373</c:v>
                </c:pt>
                <c:pt idx="43">
                  <c:v>31035.99249196373</c:v>
                </c:pt>
                <c:pt idx="44">
                  <c:v>31035.99249196373</c:v>
                </c:pt>
                <c:pt idx="45">
                  <c:v>31035.99249196373</c:v>
                </c:pt>
                <c:pt idx="46">
                  <c:v>31035.99249196373</c:v>
                </c:pt>
                <c:pt idx="47">
                  <c:v>31035.99249196373</c:v>
                </c:pt>
                <c:pt idx="48">
                  <c:v>31035.99249196373</c:v>
                </c:pt>
                <c:pt idx="49">
                  <c:v>31035.99249196373</c:v>
                </c:pt>
                <c:pt idx="50">
                  <c:v>31035.99249196373</c:v>
                </c:pt>
                <c:pt idx="51">
                  <c:v>31035.99249196373</c:v>
                </c:pt>
                <c:pt idx="52">
                  <c:v>31035.99249196373</c:v>
                </c:pt>
                <c:pt idx="53">
                  <c:v>31035.99249196373</c:v>
                </c:pt>
                <c:pt idx="54">
                  <c:v>31035.99249196373</c:v>
                </c:pt>
                <c:pt idx="55">
                  <c:v>31035.99249196373</c:v>
                </c:pt>
                <c:pt idx="56">
                  <c:v>31035.99249196373</c:v>
                </c:pt>
                <c:pt idx="57">
                  <c:v>31035.99249196373</c:v>
                </c:pt>
                <c:pt idx="58">
                  <c:v>31035.99249196373</c:v>
                </c:pt>
                <c:pt idx="59">
                  <c:v>31035.99249196373</c:v>
                </c:pt>
                <c:pt idx="60">
                  <c:v>31035.99249196373</c:v>
                </c:pt>
                <c:pt idx="61">
                  <c:v>31035.99249196373</c:v>
                </c:pt>
                <c:pt idx="62">
                  <c:v>31035.99249196373</c:v>
                </c:pt>
                <c:pt idx="63">
                  <c:v>31035.99249196373</c:v>
                </c:pt>
                <c:pt idx="64">
                  <c:v>31035.99249196373</c:v>
                </c:pt>
                <c:pt idx="65">
                  <c:v>31035.99249196373</c:v>
                </c:pt>
                <c:pt idx="66">
                  <c:v>31035.99249196373</c:v>
                </c:pt>
                <c:pt idx="67">
                  <c:v>31035.99249196373</c:v>
                </c:pt>
                <c:pt idx="68">
                  <c:v>31035.99249196373</c:v>
                </c:pt>
                <c:pt idx="69">
                  <c:v>31035.99249196373</c:v>
                </c:pt>
                <c:pt idx="70">
                  <c:v>31035.99249196373</c:v>
                </c:pt>
                <c:pt idx="71">
                  <c:v>31035.99249196373</c:v>
                </c:pt>
                <c:pt idx="72">
                  <c:v>31035.99249196373</c:v>
                </c:pt>
                <c:pt idx="73">
                  <c:v>31035.99249196376</c:v>
                </c:pt>
                <c:pt idx="74">
                  <c:v>31035.99249196376</c:v>
                </c:pt>
                <c:pt idx="75">
                  <c:v>31035.99249196376</c:v>
                </c:pt>
                <c:pt idx="76">
                  <c:v>31035.99249196376</c:v>
                </c:pt>
                <c:pt idx="77">
                  <c:v>31035.99249196376</c:v>
                </c:pt>
                <c:pt idx="78">
                  <c:v>31035.99249196376</c:v>
                </c:pt>
                <c:pt idx="79">
                  <c:v>31035.99249196376</c:v>
                </c:pt>
                <c:pt idx="80">
                  <c:v>31035.99249196376</c:v>
                </c:pt>
                <c:pt idx="81">
                  <c:v>31035.99249196376</c:v>
                </c:pt>
                <c:pt idx="82">
                  <c:v>31035.99249196376</c:v>
                </c:pt>
                <c:pt idx="83">
                  <c:v>31035.99249196376</c:v>
                </c:pt>
                <c:pt idx="84">
                  <c:v>31035.99249196376</c:v>
                </c:pt>
                <c:pt idx="85">
                  <c:v>31035.99249196376</c:v>
                </c:pt>
                <c:pt idx="86">
                  <c:v>31035.99249196376</c:v>
                </c:pt>
                <c:pt idx="87">
                  <c:v>31035.99249196376</c:v>
                </c:pt>
                <c:pt idx="88">
                  <c:v>31035.99249196376</c:v>
                </c:pt>
                <c:pt idx="89">
                  <c:v>31035.22776537979</c:v>
                </c:pt>
                <c:pt idx="90">
                  <c:v>31035.22776537979</c:v>
                </c:pt>
                <c:pt idx="91">
                  <c:v>31035.22776537979</c:v>
                </c:pt>
                <c:pt idx="92">
                  <c:v>31035.22776537979</c:v>
                </c:pt>
                <c:pt idx="93">
                  <c:v>31035.22776537979</c:v>
                </c:pt>
                <c:pt idx="94">
                  <c:v>31035.22776537979</c:v>
                </c:pt>
                <c:pt idx="95">
                  <c:v>31035.22776537979</c:v>
                </c:pt>
                <c:pt idx="96">
                  <c:v>31035.22776537979</c:v>
                </c:pt>
                <c:pt idx="97">
                  <c:v>31035.22776537979</c:v>
                </c:pt>
                <c:pt idx="98">
                  <c:v>31035.22776537979</c:v>
                </c:pt>
                <c:pt idx="99">
                  <c:v>31035.22776537979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110088"/>
        <c:axId val="-208510666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43492.29037853</c:v>
                </c:pt>
                <c:pt idx="8">
                  <c:v>44056.8010724455</c:v>
                </c:pt>
                <c:pt idx="9">
                  <c:v>44621.31176636098</c:v>
                </c:pt>
                <c:pt idx="10">
                  <c:v>45185.82246027647</c:v>
                </c:pt>
                <c:pt idx="11">
                  <c:v>45750.33315419195</c:v>
                </c:pt>
                <c:pt idx="12">
                  <c:v>46314.84384810744</c:v>
                </c:pt>
                <c:pt idx="13">
                  <c:v>46879.35454202293</c:v>
                </c:pt>
                <c:pt idx="14">
                  <c:v>47443.86523593842</c:v>
                </c:pt>
                <c:pt idx="15">
                  <c:v>48008.37592985391</c:v>
                </c:pt>
                <c:pt idx="16">
                  <c:v>48572.88662376939</c:v>
                </c:pt>
                <c:pt idx="17">
                  <c:v>49137.39731768489</c:v>
                </c:pt>
                <c:pt idx="18">
                  <c:v>49701.90801160037</c:v>
                </c:pt>
                <c:pt idx="19">
                  <c:v>50266.41870551586</c:v>
                </c:pt>
                <c:pt idx="20">
                  <c:v>50830.92939943135</c:v>
                </c:pt>
                <c:pt idx="21">
                  <c:v>51395.44009334684</c:v>
                </c:pt>
                <c:pt idx="22">
                  <c:v>51959.95078726233</c:v>
                </c:pt>
                <c:pt idx="23">
                  <c:v>52524.46148117782</c:v>
                </c:pt>
                <c:pt idx="24">
                  <c:v>53088.9721750933</c:v>
                </c:pt>
                <c:pt idx="25">
                  <c:v>53653.48286900878</c:v>
                </c:pt>
                <c:pt idx="26">
                  <c:v>54217.99356292428</c:v>
                </c:pt>
                <c:pt idx="27">
                  <c:v>54782.50425683977</c:v>
                </c:pt>
                <c:pt idx="28">
                  <c:v>55347.01495075526</c:v>
                </c:pt>
                <c:pt idx="29">
                  <c:v>55911.52564467075</c:v>
                </c:pt>
                <c:pt idx="30">
                  <c:v>56476.03633858624</c:v>
                </c:pt>
                <c:pt idx="31">
                  <c:v>57040.54703250172</c:v>
                </c:pt>
                <c:pt idx="32">
                  <c:v>57605.05772641721</c:v>
                </c:pt>
                <c:pt idx="33">
                  <c:v>58169.5684203327</c:v>
                </c:pt>
                <c:pt idx="34">
                  <c:v>58734.0791142482</c:v>
                </c:pt>
                <c:pt idx="35">
                  <c:v>59298.58980816368</c:v>
                </c:pt>
                <c:pt idx="36">
                  <c:v>59863.10050207916</c:v>
                </c:pt>
                <c:pt idx="37">
                  <c:v>60427.61119599466</c:v>
                </c:pt>
                <c:pt idx="38">
                  <c:v>60992.12188991014</c:v>
                </c:pt>
                <c:pt idx="39">
                  <c:v>61556.63258382563</c:v>
                </c:pt>
                <c:pt idx="40">
                  <c:v>62121.14327774112</c:v>
                </c:pt>
                <c:pt idx="41">
                  <c:v>62685.6539716566</c:v>
                </c:pt>
                <c:pt idx="42">
                  <c:v>63250.1646655721</c:v>
                </c:pt>
                <c:pt idx="43">
                  <c:v>63814.67535948757</c:v>
                </c:pt>
                <c:pt idx="44">
                  <c:v>66371.11646873748</c:v>
                </c:pt>
                <c:pt idx="45">
                  <c:v>69591.53438309886</c:v>
                </c:pt>
                <c:pt idx="46">
                  <c:v>72811.95229746023</c:v>
                </c:pt>
                <c:pt idx="47">
                  <c:v>76032.37021182159</c:v>
                </c:pt>
                <c:pt idx="48">
                  <c:v>79252.78812618296</c:v>
                </c:pt>
                <c:pt idx="49">
                  <c:v>82473.20604054433</c:v>
                </c:pt>
                <c:pt idx="50">
                  <c:v>85693.6239549057</c:v>
                </c:pt>
                <c:pt idx="51">
                  <c:v>88914.04186926708</c:v>
                </c:pt>
                <c:pt idx="52">
                  <c:v>92134.45978362845</c:v>
                </c:pt>
                <c:pt idx="53">
                  <c:v>95354.8776979898</c:v>
                </c:pt>
                <c:pt idx="54">
                  <c:v>98575.29561235118</c:v>
                </c:pt>
                <c:pt idx="55">
                  <c:v>101795.7135267126</c:v>
                </c:pt>
                <c:pt idx="56">
                  <c:v>105016.1314410739</c:v>
                </c:pt>
                <c:pt idx="57">
                  <c:v>108236.5493554353</c:v>
                </c:pt>
                <c:pt idx="58">
                  <c:v>111456.9672697967</c:v>
                </c:pt>
                <c:pt idx="59">
                  <c:v>114677.385184158</c:v>
                </c:pt>
                <c:pt idx="60">
                  <c:v>117897.8030985194</c:v>
                </c:pt>
                <c:pt idx="61">
                  <c:v>121118.2210128808</c:v>
                </c:pt>
                <c:pt idx="62">
                  <c:v>124338.6389272422</c:v>
                </c:pt>
                <c:pt idx="63">
                  <c:v>127559.0568416035</c:v>
                </c:pt>
                <c:pt idx="64">
                  <c:v>130779.4747559649</c:v>
                </c:pt>
                <c:pt idx="65">
                  <c:v>133999.8926703263</c:v>
                </c:pt>
                <c:pt idx="66">
                  <c:v>137220.3105846876</c:v>
                </c:pt>
                <c:pt idx="67">
                  <c:v>140440.728499049</c:v>
                </c:pt>
                <c:pt idx="68">
                  <c:v>143661.1464134104</c:v>
                </c:pt>
                <c:pt idx="69">
                  <c:v>153520.7894290611</c:v>
                </c:pt>
                <c:pt idx="70">
                  <c:v>165593.507478475</c:v>
                </c:pt>
                <c:pt idx="71">
                  <c:v>177666.2255278888</c:v>
                </c:pt>
                <c:pt idx="72">
                  <c:v>189738.9435773027</c:v>
                </c:pt>
                <c:pt idx="73">
                  <c:v>201811.6616267166</c:v>
                </c:pt>
                <c:pt idx="74">
                  <c:v>213884.3796761304</c:v>
                </c:pt>
                <c:pt idx="75">
                  <c:v>225957.0977255443</c:v>
                </c:pt>
                <c:pt idx="76">
                  <c:v>238029.8157749581</c:v>
                </c:pt>
                <c:pt idx="77">
                  <c:v>250102.533824372</c:v>
                </c:pt>
                <c:pt idx="78">
                  <c:v>262175.2518737859</c:v>
                </c:pt>
                <c:pt idx="79">
                  <c:v>274247.9699231997</c:v>
                </c:pt>
                <c:pt idx="80">
                  <c:v>286320.6879726136</c:v>
                </c:pt>
                <c:pt idx="81">
                  <c:v>298393.4060220275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110088"/>
        <c:axId val="-2085106664"/>
      </c:scatterChart>
      <c:catAx>
        <c:axId val="-208511008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510666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851066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511008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  <c:pt idx="10">
                  <c:v>1637.861248379045</c:v>
                </c:pt>
                <c:pt idx="11">
                  <c:v>1637.861248379045</c:v>
                </c:pt>
                <c:pt idx="12">
                  <c:v>1637.861248379045</c:v>
                </c:pt>
                <c:pt idx="13">
                  <c:v>1637.861248379045</c:v>
                </c:pt>
                <c:pt idx="14">
                  <c:v>1637.861248379045</c:v>
                </c:pt>
                <c:pt idx="15">
                  <c:v>1637.861248379045</c:v>
                </c:pt>
                <c:pt idx="16">
                  <c:v>1637.861248379045</c:v>
                </c:pt>
                <c:pt idx="17">
                  <c:v>1637.861248379045</c:v>
                </c:pt>
                <c:pt idx="18">
                  <c:v>1637.861248379045</c:v>
                </c:pt>
                <c:pt idx="19">
                  <c:v>1637.861248379045</c:v>
                </c:pt>
                <c:pt idx="20">
                  <c:v>1649.320293711618</c:v>
                </c:pt>
                <c:pt idx="21">
                  <c:v>1695.15647504191</c:v>
                </c:pt>
                <c:pt idx="22">
                  <c:v>1740.9926563722</c:v>
                </c:pt>
                <c:pt idx="23">
                  <c:v>1786.828837702491</c:v>
                </c:pt>
                <c:pt idx="24">
                  <c:v>1832.665019032782</c:v>
                </c:pt>
                <c:pt idx="25">
                  <c:v>1878.501200363073</c:v>
                </c:pt>
                <c:pt idx="26">
                  <c:v>1924.337381693364</c:v>
                </c:pt>
                <c:pt idx="27">
                  <c:v>1970.173563023655</c:v>
                </c:pt>
                <c:pt idx="28">
                  <c:v>2016.009744353946</c:v>
                </c:pt>
                <c:pt idx="29">
                  <c:v>2061.845925684237</c:v>
                </c:pt>
                <c:pt idx="30">
                  <c:v>2107.682107014528</c:v>
                </c:pt>
                <c:pt idx="31">
                  <c:v>2153.518288344819</c:v>
                </c:pt>
                <c:pt idx="32">
                  <c:v>2199.35446967511</c:v>
                </c:pt>
                <c:pt idx="33">
                  <c:v>2245.1906510054</c:v>
                </c:pt>
                <c:pt idx="34">
                  <c:v>2291.026832335691</c:v>
                </c:pt>
                <c:pt idx="35">
                  <c:v>2336.863013665983</c:v>
                </c:pt>
                <c:pt idx="36">
                  <c:v>2382.699194996273</c:v>
                </c:pt>
                <c:pt idx="37">
                  <c:v>2428.535376326564</c:v>
                </c:pt>
                <c:pt idx="38">
                  <c:v>2474.371557656855</c:v>
                </c:pt>
                <c:pt idx="39">
                  <c:v>2520.207738987147</c:v>
                </c:pt>
                <c:pt idx="40">
                  <c:v>2566.043920317437</c:v>
                </c:pt>
                <c:pt idx="41">
                  <c:v>2611.880101647728</c:v>
                </c:pt>
                <c:pt idx="42">
                  <c:v>2657.71628297802</c:v>
                </c:pt>
                <c:pt idx="43">
                  <c:v>2703.55246430831</c:v>
                </c:pt>
                <c:pt idx="44">
                  <c:v>2749.388645638601</c:v>
                </c:pt>
                <c:pt idx="45">
                  <c:v>2795.224826968893</c:v>
                </c:pt>
                <c:pt idx="46">
                  <c:v>2841.061008299183</c:v>
                </c:pt>
                <c:pt idx="47">
                  <c:v>2886.897189629474</c:v>
                </c:pt>
                <c:pt idx="48">
                  <c:v>2932.733370959765</c:v>
                </c:pt>
                <c:pt idx="49">
                  <c:v>2978.569552290056</c:v>
                </c:pt>
                <c:pt idx="50">
                  <c:v>3024.405733620347</c:v>
                </c:pt>
                <c:pt idx="51">
                  <c:v>3070.241914950638</c:v>
                </c:pt>
                <c:pt idx="52">
                  <c:v>3116.07809628093</c:v>
                </c:pt>
                <c:pt idx="53">
                  <c:v>3161.91427761122</c:v>
                </c:pt>
                <c:pt idx="54">
                  <c:v>3207.750458941511</c:v>
                </c:pt>
                <c:pt idx="55">
                  <c:v>3253.586640271802</c:v>
                </c:pt>
                <c:pt idx="56">
                  <c:v>3299.422821602093</c:v>
                </c:pt>
                <c:pt idx="57">
                  <c:v>3298.277478524381</c:v>
                </c:pt>
                <c:pt idx="58">
                  <c:v>3281.47162731067</c:v>
                </c:pt>
                <c:pt idx="59">
                  <c:v>3264.665776096958</c:v>
                </c:pt>
                <c:pt idx="60">
                  <c:v>3247.859924883245</c:v>
                </c:pt>
                <c:pt idx="61">
                  <c:v>3231.054073669534</c:v>
                </c:pt>
                <c:pt idx="62">
                  <c:v>3214.248222455822</c:v>
                </c:pt>
                <c:pt idx="63">
                  <c:v>3197.44237124211</c:v>
                </c:pt>
                <c:pt idx="64">
                  <c:v>3180.636520028398</c:v>
                </c:pt>
                <c:pt idx="65">
                  <c:v>3163.830668814686</c:v>
                </c:pt>
                <c:pt idx="66">
                  <c:v>3147.024817600974</c:v>
                </c:pt>
                <c:pt idx="67">
                  <c:v>3130.218966387262</c:v>
                </c:pt>
                <c:pt idx="68">
                  <c:v>3113.41311517355</c:v>
                </c:pt>
                <c:pt idx="69">
                  <c:v>3096.607263959838</c:v>
                </c:pt>
                <c:pt idx="70">
                  <c:v>3079.801412746126</c:v>
                </c:pt>
                <c:pt idx="71">
                  <c:v>3062.995561532414</c:v>
                </c:pt>
                <c:pt idx="72">
                  <c:v>3046.189710318702</c:v>
                </c:pt>
                <c:pt idx="73">
                  <c:v>3029.38385910499</c:v>
                </c:pt>
                <c:pt idx="74">
                  <c:v>3012.578007891278</c:v>
                </c:pt>
                <c:pt idx="75">
                  <c:v>2995.772156677566</c:v>
                </c:pt>
                <c:pt idx="76">
                  <c:v>2978.966305463854</c:v>
                </c:pt>
                <c:pt idx="77">
                  <c:v>2962.160454250143</c:v>
                </c:pt>
                <c:pt idx="78">
                  <c:v>2945.35460303643</c:v>
                </c:pt>
                <c:pt idx="79">
                  <c:v>2928.548751822719</c:v>
                </c:pt>
                <c:pt idx="80">
                  <c:v>2911.742900609006</c:v>
                </c:pt>
                <c:pt idx="81">
                  <c:v>2894.937049395295</c:v>
                </c:pt>
                <c:pt idx="82">
                  <c:v>2831.551046544423</c:v>
                </c:pt>
                <c:pt idx="83">
                  <c:v>2752.638326481167</c:v>
                </c:pt>
                <c:pt idx="84">
                  <c:v>2673.725606417909</c:v>
                </c:pt>
                <c:pt idx="85">
                  <c:v>2594.812886354652</c:v>
                </c:pt>
                <c:pt idx="86">
                  <c:v>2515.900166291394</c:v>
                </c:pt>
                <c:pt idx="87">
                  <c:v>2436.987446228138</c:v>
                </c:pt>
                <c:pt idx="88">
                  <c:v>2358.07472616488</c:v>
                </c:pt>
                <c:pt idx="89">
                  <c:v>2279.162006101623</c:v>
                </c:pt>
                <c:pt idx="90">
                  <c:v>2200.249286038366</c:v>
                </c:pt>
                <c:pt idx="91">
                  <c:v>2121.336565975108</c:v>
                </c:pt>
                <c:pt idx="92">
                  <c:v>2042.423845911851</c:v>
                </c:pt>
                <c:pt idx="93">
                  <c:v>1963.511125848594</c:v>
                </c:pt>
                <c:pt idx="94">
                  <c:v>1884.598405785337</c:v>
                </c:pt>
                <c:pt idx="95">
                  <c:v>1825.413865737894</c:v>
                </c:pt>
                <c:pt idx="96">
                  <c:v>1825.413865737894</c:v>
                </c:pt>
                <c:pt idx="97">
                  <c:v>1825.413865737894</c:v>
                </c:pt>
                <c:pt idx="98">
                  <c:v>1825.413865737894</c:v>
                </c:pt>
                <c:pt idx="99">
                  <c:v>1825.413865737894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25.84010002467636</c:v>
                </c:pt>
                <c:pt idx="1">
                  <c:v>25.84010002467636</c:v>
                </c:pt>
                <c:pt idx="2">
                  <c:v>25.84010002467636</c:v>
                </c:pt>
                <c:pt idx="3">
                  <c:v>25.84010002467636</c:v>
                </c:pt>
                <c:pt idx="4">
                  <c:v>25.84010002467636</c:v>
                </c:pt>
                <c:pt idx="5">
                  <c:v>25.84010002467636</c:v>
                </c:pt>
                <c:pt idx="6">
                  <c:v>25.84010002467636</c:v>
                </c:pt>
                <c:pt idx="7">
                  <c:v>25.84010002467636</c:v>
                </c:pt>
                <c:pt idx="8">
                  <c:v>25.84010002467636</c:v>
                </c:pt>
                <c:pt idx="9">
                  <c:v>25.84010002467636</c:v>
                </c:pt>
                <c:pt idx="10">
                  <c:v>25.84010002467636</c:v>
                </c:pt>
                <c:pt idx="11">
                  <c:v>25.84010002467636</c:v>
                </c:pt>
                <c:pt idx="12">
                  <c:v>25.84010002467636</c:v>
                </c:pt>
                <c:pt idx="13">
                  <c:v>25.84010002467636</c:v>
                </c:pt>
                <c:pt idx="14">
                  <c:v>25.84010002467636</c:v>
                </c:pt>
                <c:pt idx="15">
                  <c:v>25.84010002467636</c:v>
                </c:pt>
                <c:pt idx="16">
                  <c:v>25.84010002467636</c:v>
                </c:pt>
                <c:pt idx="17">
                  <c:v>25.84010002467636</c:v>
                </c:pt>
                <c:pt idx="18">
                  <c:v>25.84010002467636</c:v>
                </c:pt>
                <c:pt idx="19">
                  <c:v>25.84010002467636</c:v>
                </c:pt>
                <c:pt idx="20">
                  <c:v>36.116582508941</c:v>
                </c:pt>
                <c:pt idx="21">
                  <c:v>77.22251244599953</c:v>
                </c:pt>
                <c:pt idx="22">
                  <c:v>118.3284423830581</c:v>
                </c:pt>
                <c:pt idx="23">
                  <c:v>159.4343723201166</c:v>
                </c:pt>
                <c:pt idx="24">
                  <c:v>200.5403022571752</c:v>
                </c:pt>
                <c:pt idx="25">
                  <c:v>241.6462321942337</c:v>
                </c:pt>
                <c:pt idx="26">
                  <c:v>282.7521621312922</c:v>
                </c:pt>
                <c:pt idx="27">
                  <c:v>323.8580920683507</c:v>
                </c:pt>
                <c:pt idx="28">
                  <c:v>364.9640220054093</c:v>
                </c:pt>
                <c:pt idx="29">
                  <c:v>406.0699519424679</c:v>
                </c:pt>
                <c:pt idx="30">
                  <c:v>447.1758818795264</c:v>
                </c:pt>
                <c:pt idx="31">
                  <c:v>488.2818118165849</c:v>
                </c:pt>
                <c:pt idx="32">
                  <c:v>529.3877417536434</c:v>
                </c:pt>
                <c:pt idx="33">
                  <c:v>570.493671690702</c:v>
                </c:pt>
                <c:pt idx="34">
                  <c:v>611.5996016277605</c:v>
                </c:pt>
                <c:pt idx="35">
                  <c:v>652.705531564819</c:v>
                </c:pt>
                <c:pt idx="36">
                  <c:v>693.8114615018776</c:v>
                </c:pt>
                <c:pt idx="37">
                  <c:v>734.9173914389362</c:v>
                </c:pt>
                <c:pt idx="38">
                  <c:v>776.0233213759947</c:v>
                </c:pt>
                <c:pt idx="39">
                  <c:v>817.1292513130533</c:v>
                </c:pt>
                <c:pt idx="40">
                  <c:v>858.2351812501117</c:v>
                </c:pt>
                <c:pt idx="41">
                  <c:v>899.3411111871702</c:v>
                </c:pt>
                <c:pt idx="42">
                  <c:v>940.4470411242288</c:v>
                </c:pt>
                <c:pt idx="43">
                  <c:v>981.5529710612873</c:v>
                </c:pt>
                <c:pt idx="44">
                  <c:v>1022.658900998346</c:v>
                </c:pt>
                <c:pt idx="45">
                  <c:v>1063.764830935404</c:v>
                </c:pt>
                <c:pt idx="46">
                  <c:v>1104.870760872463</c:v>
                </c:pt>
                <c:pt idx="47">
                  <c:v>1145.976690809521</c:v>
                </c:pt>
                <c:pt idx="48">
                  <c:v>1187.08262074658</c:v>
                </c:pt>
                <c:pt idx="49">
                  <c:v>1228.188550683639</c:v>
                </c:pt>
                <c:pt idx="50">
                  <c:v>1269.294480620697</c:v>
                </c:pt>
                <c:pt idx="51">
                  <c:v>1310.400410557756</c:v>
                </c:pt>
                <c:pt idx="52">
                  <c:v>1351.506340494814</c:v>
                </c:pt>
                <c:pt idx="53">
                  <c:v>1392.612270431873</c:v>
                </c:pt>
                <c:pt idx="54">
                  <c:v>1433.718200368931</c:v>
                </c:pt>
                <c:pt idx="55">
                  <c:v>1474.82413030599</c:v>
                </c:pt>
                <c:pt idx="56">
                  <c:v>1515.930060243049</c:v>
                </c:pt>
                <c:pt idx="57">
                  <c:v>1806.251702947127</c:v>
                </c:pt>
                <c:pt idx="58">
                  <c:v>2179.645249906879</c:v>
                </c:pt>
                <c:pt idx="59">
                  <c:v>2553.038796866631</c:v>
                </c:pt>
                <c:pt idx="60">
                  <c:v>2926.432343826383</c:v>
                </c:pt>
                <c:pt idx="61">
                  <c:v>3299.825890786135</c:v>
                </c:pt>
                <c:pt idx="62">
                  <c:v>3673.219437745887</c:v>
                </c:pt>
                <c:pt idx="63">
                  <c:v>4046.612984705639</c:v>
                </c:pt>
                <c:pt idx="64">
                  <c:v>4420.00653166539</c:v>
                </c:pt>
                <c:pt idx="65">
                  <c:v>4793.400078625143</c:v>
                </c:pt>
                <c:pt idx="66">
                  <c:v>5166.793625584894</c:v>
                </c:pt>
                <c:pt idx="67">
                  <c:v>5540.187172544646</c:v>
                </c:pt>
                <c:pt idx="68">
                  <c:v>5913.580719504398</c:v>
                </c:pt>
                <c:pt idx="69">
                  <c:v>6286.97426646415</c:v>
                </c:pt>
                <c:pt idx="70">
                  <c:v>6660.367813423902</c:v>
                </c:pt>
                <c:pt idx="71">
                  <c:v>7033.761360383654</c:v>
                </c:pt>
                <c:pt idx="72">
                  <c:v>7407.154907343406</c:v>
                </c:pt>
                <c:pt idx="73">
                  <c:v>7780.548454303158</c:v>
                </c:pt>
                <c:pt idx="74">
                  <c:v>8153.94200126291</c:v>
                </c:pt>
                <c:pt idx="75">
                  <c:v>8527.335548222663</c:v>
                </c:pt>
                <c:pt idx="76">
                  <c:v>8900.729095182414</c:v>
                </c:pt>
                <c:pt idx="77">
                  <c:v>9274.122642142167</c:v>
                </c:pt>
                <c:pt idx="78">
                  <c:v>9647.516189101918</c:v>
                </c:pt>
                <c:pt idx="79">
                  <c:v>10020.90973606167</c:v>
                </c:pt>
                <c:pt idx="80">
                  <c:v>10394.30328302142</c:v>
                </c:pt>
                <c:pt idx="81">
                  <c:v>10767.69682998117</c:v>
                </c:pt>
                <c:pt idx="82">
                  <c:v>11486.34485449528</c:v>
                </c:pt>
                <c:pt idx="83">
                  <c:v>12320.07770486083</c:v>
                </c:pt>
                <c:pt idx="84">
                  <c:v>13153.81055522638</c:v>
                </c:pt>
                <c:pt idx="85">
                  <c:v>13987.54340559193</c:v>
                </c:pt>
                <c:pt idx="86">
                  <c:v>14821.27625595748</c:v>
                </c:pt>
                <c:pt idx="87">
                  <c:v>15655.00910632303</c:v>
                </c:pt>
                <c:pt idx="88">
                  <c:v>16488.74195668858</c:v>
                </c:pt>
                <c:pt idx="89">
                  <c:v>17322.47480705413</c:v>
                </c:pt>
                <c:pt idx="90">
                  <c:v>18156.20765741968</c:v>
                </c:pt>
                <c:pt idx="91">
                  <c:v>18989.94050778523</c:v>
                </c:pt>
                <c:pt idx="92">
                  <c:v>19823.67335815078</c:v>
                </c:pt>
                <c:pt idx="93">
                  <c:v>20657.40620851633</c:v>
                </c:pt>
                <c:pt idx="94">
                  <c:v>21491.13905888188</c:v>
                </c:pt>
                <c:pt idx="95">
                  <c:v>22116.43869665605</c:v>
                </c:pt>
                <c:pt idx="96">
                  <c:v>22116.43869665605</c:v>
                </c:pt>
                <c:pt idx="97">
                  <c:v>22116.43869665605</c:v>
                </c:pt>
                <c:pt idx="98">
                  <c:v>22116.43869665605</c:v>
                </c:pt>
                <c:pt idx="99">
                  <c:v>22116.43869665605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  <c:pt idx="10">
                  <c:v>600.961745113332</c:v>
                </c:pt>
                <c:pt idx="11">
                  <c:v>600.961745113332</c:v>
                </c:pt>
                <c:pt idx="12">
                  <c:v>600.961745113332</c:v>
                </c:pt>
                <c:pt idx="13">
                  <c:v>600.961745113332</c:v>
                </c:pt>
                <c:pt idx="14">
                  <c:v>600.961745113332</c:v>
                </c:pt>
                <c:pt idx="15">
                  <c:v>600.961745113332</c:v>
                </c:pt>
                <c:pt idx="16">
                  <c:v>600.961745113332</c:v>
                </c:pt>
                <c:pt idx="17">
                  <c:v>600.961745113332</c:v>
                </c:pt>
                <c:pt idx="18">
                  <c:v>600.961745113332</c:v>
                </c:pt>
                <c:pt idx="19">
                  <c:v>600.961745113332</c:v>
                </c:pt>
                <c:pt idx="20">
                  <c:v>604.3494667182611</c:v>
                </c:pt>
                <c:pt idx="21">
                  <c:v>617.9003531379771</c:v>
                </c:pt>
                <c:pt idx="22">
                  <c:v>631.4512395576932</c:v>
                </c:pt>
                <c:pt idx="23">
                  <c:v>645.0021259774095</c:v>
                </c:pt>
                <c:pt idx="24">
                  <c:v>658.5530123971256</c:v>
                </c:pt>
                <c:pt idx="25">
                  <c:v>672.1038988168418</c:v>
                </c:pt>
                <c:pt idx="26">
                  <c:v>685.654785236558</c:v>
                </c:pt>
                <c:pt idx="27">
                  <c:v>699.205671656274</c:v>
                </c:pt>
                <c:pt idx="28">
                  <c:v>712.7565580759903</c:v>
                </c:pt>
                <c:pt idx="29">
                  <c:v>726.3074444957064</c:v>
                </c:pt>
                <c:pt idx="30">
                  <c:v>739.8583309154226</c:v>
                </c:pt>
                <c:pt idx="31">
                  <c:v>753.4092173351387</c:v>
                </c:pt>
                <c:pt idx="32">
                  <c:v>766.9601037548548</c:v>
                </c:pt>
                <c:pt idx="33">
                  <c:v>780.510990174571</c:v>
                </c:pt>
                <c:pt idx="34">
                  <c:v>794.0618765942871</c:v>
                </c:pt>
                <c:pt idx="35">
                  <c:v>807.6127630140033</c:v>
                </c:pt>
                <c:pt idx="36">
                  <c:v>821.1636494337195</c:v>
                </c:pt>
                <c:pt idx="37">
                  <c:v>834.7145358534357</c:v>
                </c:pt>
                <c:pt idx="38">
                  <c:v>848.2654222731517</c:v>
                </c:pt>
                <c:pt idx="39">
                  <c:v>861.816308692868</c:v>
                </c:pt>
                <c:pt idx="40">
                  <c:v>875.3671951125841</c:v>
                </c:pt>
                <c:pt idx="41">
                  <c:v>888.9180815323002</c:v>
                </c:pt>
                <c:pt idx="42">
                  <c:v>902.4689679520163</c:v>
                </c:pt>
                <c:pt idx="43">
                  <c:v>916.0198543717325</c:v>
                </c:pt>
                <c:pt idx="44">
                  <c:v>929.5707407914488</c:v>
                </c:pt>
                <c:pt idx="45">
                  <c:v>943.1216272111649</c:v>
                </c:pt>
                <c:pt idx="46">
                  <c:v>956.672513630881</c:v>
                </c:pt>
                <c:pt idx="47">
                  <c:v>970.223400050597</c:v>
                </c:pt>
                <c:pt idx="48">
                  <c:v>983.7742864703133</c:v>
                </c:pt>
                <c:pt idx="49">
                  <c:v>997.3251728900295</c:v>
                </c:pt>
                <c:pt idx="50">
                  <c:v>1010.876059309746</c:v>
                </c:pt>
                <c:pt idx="51">
                  <c:v>1024.426945729462</c:v>
                </c:pt>
                <c:pt idx="52">
                  <c:v>1037.977832149178</c:v>
                </c:pt>
                <c:pt idx="53">
                  <c:v>1051.528718568894</c:v>
                </c:pt>
                <c:pt idx="54">
                  <c:v>1065.07960498861</c:v>
                </c:pt>
                <c:pt idx="55">
                  <c:v>1078.630491408326</c:v>
                </c:pt>
                <c:pt idx="56">
                  <c:v>1092.181377828043</c:v>
                </c:pt>
                <c:pt idx="57">
                  <c:v>1120.201047260289</c:v>
                </c:pt>
                <c:pt idx="58">
                  <c:v>1153.043644363378</c:v>
                </c:pt>
                <c:pt idx="59">
                  <c:v>1185.886241466468</c:v>
                </c:pt>
                <c:pt idx="60">
                  <c:v>1218.728838569557</c:v>
                </c:pt>
                <c:pt idx="61">
                  <c:v>1251.571435672647</c:v>
                </c:pt>
                <c:pt idx="62">
                  <c:v>1284.414032775736</c:v>
                </c:pt>
                <c:pt idx="63">
                  <c:v>1317.256629878826</c:v>
                </c:pt>
                <c:pt idx="64">
                  <c:v>1350.099226981915</c:v>
                </c:pt>
                <c:pt idx="65">
                  <c:v>1382.941824085005</c:v>
                </c:pt>
                <c:pt idx="66">
                  <c:v>1415.784421188094</c:v>
                </c:pt>
                <c:pt idx="67">
                  <c:v>1448.627018291184</c:v>
                </c:pt>
                <c:pt idx="68">
                  <c:v>1481.469615394273</c:v>
                </c:pt>
                <c:pt idx="69">
                  <c:v>1514.312212497362</c:v>
                </c:pt>
                <c:pt idx="70">
                  <c:v>1547.154809600452</c:v>
                </c:pt>
                <c:pt idx="71">
                  <c:v>1579.997406703541</c:v>
                </c:pt>
                <c:pt idx="72">
                  <c:v>1612.840003806631</c:v>
                </c:pt>
                <c:pt idx="73">
                  <c:v>1645.68260090972</c:v>
                </c:pt>
                <c:pt idx="74">
                  <c:v>1678.52519801281</c:v>
                </c:pt>
                <c:pt idx="75">
                  <c:v>1711.367795115899</c:v>
                </c:pt>
                <c:pt idx="76">
                  <c:v>1744.210392218989</c:v>
                </c:pt>
                <c:pt idx="77">
                  <c:v>1777.052989322078</c:v>
                </c:pt>
                <c:pt idx="78">
                  <c:v>1809.895586425168</c:v>
                </c:pt>
                <c:pt idx="79">
                  <c:v>1842.738183528257</c:v>
                </c:pt>
                <c:pt idx="80">
                  <c:v>1875.580780631347</c:v>
                </c:pt>
                <c:pt idx="81">
                  <c:v>1908.423377734436</c:v>
                </c:pt>
                <c:pt idx="82">
                  <c:v>1931.948011984837</c:v>
                </c:pt>
                <c:pt idx="83">
                  <c:v>1952.366658617674</c:v>
                </c:pt>
                <c:pt idx="84">
                  <c:v>1972.785305250511</c:v>
                </c:pt>
                <c:pt idx="85">
                  <c:v>1993.203951883349</c:v>
                </c:pt>
                <c:pt idx="86">
                  <c:v>2013.622598516186</c:v>
                </c:pt>
                <c:pt idx="87">
                  <c:v>2034.041245149023</c:v>
                </c:pt>
                <c:pt idx="88">
                  <c:v>2054.45989178186</c:v>
                </c:pt>
                <c:pt idx="89">
                  <c:v>2074.878538414698</c:v>
                </c:pt>
                <c:pt idx="90">
                  <c:v>2095.297185047535</c:v>
                </c:pt>
                <c:pt idx="91">
                  <c:v>2115.715831680372</c:v>
                </c:pt>
                <c:pt idx="92">
                  <c:v>2136.134478313209</c:v>
                </c:pt>
                <c:pt idx="93">
                  <c:v>2156.553124946046</c:v>
                </c:pt>
                <c:pt idx="94">
                  <c:v>2176.971771578883</c:v>
                </c:pt>
                <c:pt idx="95">
                  <c:v>2192.285756553512</c:v>
                </c:pt>
                <c:pt idx="96">
                  <c:v>2192.285756553512</c:v>
                </c:pt>
                <c:pt idx="97">
                  <c:v>2192.285756553512</c:v>
                </c:pt>
                <c:pt idx="98">
                  <c:v>2192.285756553512</c:v>
                </c:pt>
                <c:pt idx="99">
                  <c:v>2192.285756553512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  <c:pt idx="10">
                  <c:v>3045.440360051142</c:v>
                </c:pt>
                <c:pt idx="11">
                  <c:v>3045.440360051142</c:v>
                </c:pt>
                <c:pt idx="12">
                  <c:v>3045.440360051142</c:v>
                </c:pt>
                <c:pt idx="13">
                  <c:v>3045.440360051142</c:v>
                </c:pt>
                <c:pt idx="14">
                  <c:v>3045.440360051142</c:v>
                </c:pt>
                <c:pt idx="15">
                  <c:v>3045.440360051142</c:v>
                </c:pt>
                <c:pt idx="16">
                  <c:v>3045.440360051142</c:v>
                </c:pt>
                <c:pt idx="17">
                  <c:v>3045.440360051142</c:v>
                </c:pt>
                <c:pt idx="18">
                  <c:v>3045.440360051142</c:v>
                </c:pt>
                <c:pt idx="19">
                  <c:v>3045.440360051142</c:v>
                </c:pt>
                <c:pt idx="20">
                  <c:v>3093.406642701862</c:v>
                </c:pt>
                <c:pt idx="21">
                  <c:v>3285.271773304743</c:v>
                </c:pt>
                <c:pt idx="22">
                  <c:v>3477.136903907624</c:v>
                </c:pt>
                <c:pt idx="23">
                  <c:v>3669.002034510504</c:v>
                </c:pt>
                <c:pt idx="24">
                  <c:v>3860.867165113385</c:v>
                </c:pt>
                <c:pt idx="25">
                  <c:v>4052.732295716266</c:v>
                </c:pt>
                <c:pt idx="26">
                  <c:v>4244.597426319146</c:v>
                </c:pt>
                <c:pt idx="27">
                  <c:v>4436.462556922027</c:v>
                </c:pt>
                <c:pt idx="28">
                  <c:v>4628.327687524908</c:v>
                </c:pt>
                <c:pt idx="29">
                  <c:v>4820.192818127788</c:v>
                </c:pt>
                <c:pt idx="30">
                  <c:v>5012.05794873067</c:v>
                </c:pt>
                <c:pt idx="31">
                  <c:v>5203.92307933355</c:v>
                </c:pt>
                <c:pt idx="32">
                  <c:v>5395.788209936431</c:v>
                </c:pt>
                <c:pt idx="33">
                  <c:v>5587.653340539311</c:v>
                </c:pt>
                <c:pt idx="34">
                  <c:v>5779.518471142193</c:v>
                </c:pt>
                <c:pt idx="35">
                  <c:v>5971.383601745073</c:v>
                </c:pt>
                <c:pt idx="36">
                  <c:v>6163.248732347955</c:v>
                </c:pt>
                <c:pt idx="37">
                  <c:v>6355.113862950834</c:v>
                </c:pt>
                <c:pt idx="38">
                  <c:v>6546.978993553716</c:v>
                </c:pt>
                <c:pt idx="39">
                  <c:v>6738.844124156596</c:v>
                </c:pt>
                <c:pt idx="40">
                  <c:v>6930.709254759476</c:v>
                </c:pt>
                <c:pt idx="41">
                  <c:v>7122.574385362357</c:v>
                </c:pt>
                <c:pt idx="42">
                  <c:v>7314.439515965239</c:v>
                </c:pt>
                <c:pt idx="43">
                  <c:v>7506.30464656812</c:v>
                </c:pt>
                <c:pt idx="44">
                  <c:v>7698.169777171</c:v>
                </c:pt>
                <c:pt idx="45">
                  <c:v>7890.03490777388</c:v>
                </c:pt>
                <c:pt idx="46">
                  <c:v>8081.900038376761</c:v>
                </c:pt>
                <c:pt idx="47">
                  <c:v>8273.76516897964</c:v>
                </c:pt>
                <c:pt idx="48">
                  <c:v>8465.63029958252</c:v>
                </c:pt>
                <c:pt idx="49">
                  <c:v>8657.495430185401</c:v>
                </c:pt>
                <c:pt idx="50">
                  <c:v>8849.360560788284</c:v>
                </c:pt>
                <c:pt idx="51">
                  <c:v>9041.225691391164</c:v>
                </c:pt>
                <c:pt idx="52">
                  <c:v>9233.090821994045</c:v>
                </c:pt>
                <c:pt idx="53">
                  <c:v>9424.955952596927</c:v>
                </c:pt>
                <c:pt idx="54">
                  <c:v>9616.821083199807</c:v>
                </c:pt>
                <c:pt idx="55">
                  <c:v>9808.686213802688</c:v>
                </c:pt>
                <c:pt idx="56">
                  <c:v>10000.55134440557</c:v>
                </c:pt>
                <c:pt idx="57">
                  <c:v>10400.97483356294</c:v>
                </c:pt>
                <c:pt idx="58">
                  <c:v>10870.91777557181</c:v>
                </c:pt>
                <c:pt idx="59">
                  <c:v>11340.86071758068</c:v>
                </c:pt>
                <c:pt idx="60">
                  <c:v>11810.80365958955</c:v>
                </c:pt>
                <c:pt idx="61">
                  <c:v>12280.74660159842</c:v>
                </c:pt>
                <c:pt idx="62">
                  <c:v>12750.68954360729</c:v>
                </c:pt>
                <c:pt idx="63">
                  <c:v>13220.63248561616</c:v>
                </c:pt>
                <c:pt idx="64">
                  <c:v>13690.57542762503</c:v>
                </c:pt>
                <c:pt idx="65">
                  <c:v>14160.5183696339</c:v>
                </c:pt>
                <c:pt idx="66">
                  <c:v>14630.46131164276</c:v>
                </c:pt>
                <c:pt idx="67">
                  <c:v>15100.40425365164</c:v>
                </c:pt>
                <c:pt idx="68">
                  <c:v>15570.3471956605</c:v>
                </c:pt>
                <c:pt idx="69">
                  <c:v>16040.29013766937</c:v>
                </c:pt>
                <c:pt idx="70">
                  <c:v>16510.23307967824</c:v>
                </c:pt>
                <c:pt idx="71">
                  <c:v>16980.17602168711</c:v>
                </c:pt>
                <c:pt idx="72">
                  <c:v>17450.11896369598</c:v>
                </c:pt>
                <c:pt idx="73">
                  <c:v>17920.06190570485</c:v>
                </c:pt>
                <c:pt idx="74">
                  <c:v>18390.00484771372</c:v>
                </c:pt>
                <c:pt idx="75">
                  <c:v>18859.94778972258</c:v>
                </c:pt>
                <c:pt idx="76">
                  <c:v>19329.89073173146</c:v>
                </c:pt>
                <c:pt idx="77">
                  <c:v>19799.83367374033</c:v>
                </c:pt>
                <c:pt idx="78">
                  <c:v>20269.7766157492</c:v>
                </c:pt>
                <c:pt idx="79">
                  <c:v>20739.71955775807</c:v>
                </c:pt>
                <c:pt idx="80">
                  <c:v>21209.66249976694</c:v>
                </c:pt>
                <c:pt idx="81">
                  <c:v>21679.60544177581</c:v>
                </c:pt>
                <c:pt idx="82">
                  <c:v>22326.40318501758</c:v>
                </c:pt>
                <c:pt idx="83">
                  <c:v>23032.15252867034</c:v>
                </c:pt>
                <c:pt idx="84">
                  <c:v>23737.90187232309</c:v>
                </c:pt>
                <c:pt idx="85">
                  <c:v>24443.65121597584</c:v>
                </c:pt>
                <c:pt idx="86">
                  <c:v>25149.40055962859</c:v>
                </c:pt>
                <c:pt idx="87">
                  <c:v>25855.14990328134</c:v>
                </c:pt>
                <c:pt idx="88">
                  <c:v>26560.89924693409</c:v>
                </c:pt>
                <c:pt idx="89">
                  <c:v>27266.64859058684</c:v>
                </c:pt>
                <c:pt idx="90">
                  <c:v>27972.39793423959</c:v>
                </c:pt>
                <c:pt idx="91">
                  <c:v>28678.14727789235</c:v>
                </c:pt>
                <c:pt idx="92">
                  <c:v>29383.8966215451</c:v>
                </c:pt>
                <c:pt idx="93">
                  <c:v>30089.64596519784</c:v>
                </c:pt>
                <c:pt idx="94">
                  <c:v>30795.3953088506</c:v>
                </c:pt>
                <c:pt idx="95">
                  <c:v>31324.70731659016</c:v>
                </c:pt>
                <c:pt idx="96">
                  <c:v>31324.70731659016</c:v>
                </c:pt>
                <c:pt idx="97">
                  <c:v>31324.70731659016</c:v>
                </c:pt>
                <c:pt idx="98">
                  <c:v>31324.70731659016</c:v>
                </c:pt>
                <c:pt idx="99">
                  <c:v>31324.70731659016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0.830192120224816</c:v>
                </c:pt>
                <c:pt idx="21">
                  <c:v>4.150960601124082</c:v>
                </c:pt>
                <c:pt idx="22">
                  <c:v>7.471729082023347</c:v>
                </c:pt>
                <c:pt idx="23">
                  <c:v>10.79249756292261</c:v>
                </c:pt>
                <c:pt idx="24">
                  <c:v>14.11326604382188</c:v>
                </c:pt>
                <c:pt idx="25">
                  <c:v>17.43403452472115</c:v>
                </c:pt>
                <c:pt idx="26">
                  <c:v>20.75480300562041</c:v>
                </c:pt>
                <c:pt idx="27">
                  <c:v>24.07557148651968</c:v>
                </c:pt>
                <c:pt idx="28">
                  <c:v>27.39633996741894</c:v>
                </c:pt>
                <c:pt idx="29">
                  <c:v>30.71710844831821</c:v>
                </c:pt>
                <c:pt idx="30">
                  <c:v>34.03787692921748</c:v>
                </c:pt>
                <c:pt idx="31">
                  <c:v>37.35864541011674</c:v>
                </c:pt>
                <c:pt idx="32">
                  <c:v>40.679413891016</c:v>
                </c:pt>
                <c:pt idx="33">
                  <c:v>44.00018237191527</c:v>
                </c:pt>
                <c:pt idx="34">
                  <c:v>47.32095085281453</c:v>
                </c:pt>
                <c:pt idx="35">
                  <c:v>50.6417193337138</c:v>
                </c:pt>
                <c:pt idx="36">
                  <c:v>53.96248781461307</c:v>
                </c:pt>
                <c:pt idx="37">
                  <c:v>57.28325629551233</c:v>
                </c:pt>
                <c:pt idx="38">
                  <c:v>60.60402477641161</c:v>
                </c:pt>
                <c:pt idx="39">
                  <c:v>63.92479325731087</c:v>
                </c:pt>
                <c:pt idx="40">
                  <c:v>67.24556173821012</c:v>
                </c:pt>
                <c:pt idx="41">
                  <c:v>70.5663302191094</c:v>
                </c:pt>
                <c:pt idx="42">
                  <c:v>73.88709870000866</c:v>
                </c:pt>
                <c:pt idx="43">
                  <c:v>77.20786718090792</c:v>
                </c:pt>
                <c:pt idx="44">
                  <c:v>80.52863566180718</c:v>
                </c:pt>
                <c:pt idx="45">
                  <c:v>83.84940414270646</c:v>
                </c:pt>
                <c:pt idx="46">
                  <c:v>87.17017262360572</c:v>
                </c:pt>
                <c:pt idx="47">
                  <c:v>90.49094110450498</c:v>
                </c:pt>
                <c:pt idx="48">
                  <c:v>93.81170958540425</c:v>
                </c:pt>
                <c:pt idx="49">
                  <c:v>97.13247806630352</c:v>
                </c:pt>
                <c:pt idx="50">
                  <c:v>100.4532465472028</c:v>
                </c:pt>
                <c:pt idx="51">
                  <c:v>103.7740150281021</c:v>
                </c:pt>
                <c:pt idx="52">
                  <c:v>107.0947835090013</c:v>
                </c:pt>
                <c:pt idx="53">
                  <c:v>110.4155519899006</c:v>
                </c:pt>
                <c:pt idx="54">
                  <c:v>113.7363204707999</c:v>
                </c:pt>
                <c:pt idx="55">
                  <c:v>117.0570889516991</c:v>
                </c:pt>
                <c:pt idx="56">
                  <c:v>120.3778574325984</c:v>
                </c:pt>
                <c:pt idx="57">
                  <c:v>120.125319821194</c:v>
                </c:pt>
                <c:pt idx="58">
                  <c:v>118.6816801790218</c:v>
                </c:pt>
                <c:pt idx="59">
                  <c:v>117.2380405368496</c:v>
                </c:pt>
                <c:pt idx="60">
                  <c:v>115.7944008946774</c:v>
                </c:pt>
                <c:pt idx="61">
                  <c:v>114.3507612525052</c:v>
                </c:pt>
                <c:pt idx="62">
                  <c:v>112.907121610333</c:v>
                </c:pt>
                <c:pt idx="63">
                  <c:v>111.4634819681608</c:v>
                </c:pt>
                <c:pt idx="64">
                  <c:v>110.0198423259886</c:v>
                </c:pt>
                <c:pt idx="65">
                  <c:v>108.5762026838164</c:v>
                </c:pt>
                <c:pt idx="66">
                  <c:v>107.1325630416442</c:v>
                </c:pt>
                <c:pt idx="67">
                  <c:v>105.688923399472</c:v>
                </c:pt>
                <c:pt idx="68">
                  <c:v>104.2452837572998</c:v>
                </c:pt>
                <c:pt idx="69">
                  <c:v>102.8016441151276</c:v>
                </c:pt>
                <c:pt idx="70">
                  <c:v>101.3580044729554</c:v>
                </c:pt>
                <c:pt idx="71">
                  <c:v>99.91436483078318</c:v>
                </c:pt>
                <c:pt idx="72">
                  <c:v>98.47072518861098</c:v>
                </c:pt>
                <c:pt idx="73">
                  <c:v>97.02708554643877</c:v>
                </c:pt>
                <c:pt idx="74">
                  <c:v>95.58344590426657</c:v>
                </c:pt>
                <c:pt idx="75">
                  <c:v>94.13980626209437</c:v>
                </c:pt>
                <c:pt idx="76">
                  <c:v>92.69616661992216</c:v>
                </c:pt>
                <c:pt idx="77">
                  <c:v>91.25252697774997</c:v>
                </c:pt>
                <c:pt idx="78">
                  <c:v>89.80888733557775</c:v>
                </c:pt>
                <c:pt idx="79">
                  <c:v>88.36524769340555</c:v>
                </c:pt>
                <c:pt idx="80">
                  <c:v>86.92160805123334</c:v>
                </c:pt>
                <c:pt idx="81">
                  <c:v>85.47796840906113</c:v>
                </c:pt>
                <c:pt idx="82">
                  <c:v>80.38833302637819</c:v>
                </c:pt>
                <c:pt idx="83">
                  <c:v>74.08336573019167</c:v>
                </c:pt>
                <c:pt idx="84">
                  <c:v>67.77839843400514</c:v>
                </c:pt>
                <c:pt idx="85">
                  <c:v>61.47343113781862</c:v>
                </c:pt>
                <c:pt idx="86">
                  <c:v>55.16846384163209</c:v>
                </c:pt>
                <c:pt idx="87">
                  <c:v>48.86349654544557</c:v>
                </c:pt>
                <c:pt idx="88">
                  <c:v>42.55852924925904</c:v>
                </c:pt>
                <c:pt idx="89">
                  <c:v>36.25356195307252</c:v>
                </c:pt>
                <c:pt idx="90">
                  <c:v>29.94859465688599</c:v>
                </c:pt>
                <c:pt idx="91">
                  <c:v>23.64362736069947</c:v>
                </c:pt>
                <c:pt idx="92">
                  <c:v>17.33866006451295</c:v>
                </c:pt>
                <c:pt idx="93">
                  <c:v>11.03369276832642</c:v>
                </c:pt>
                <c:pt idx="94">
                  <c:v>4.728725472139885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  <c:pt idx="10">
                  <c:v>5317.155575988115</c:v>
                </c:pt>
                <c:pt idx="11">
                  <c:v>5317.155575988115</c:v>
                </c:pt>
                <c:pt idx="12">
                  <c:v>5317.155575988115</c:v>
                </c:pt>
                <c:pt idx="13">
                  <c:v>5317.155575988115</c:v>
                </c:pt>
                <c:pt idx="14">
                  <c:v>5317.155575988115</c:v>
                </c:pt>
                <c:pt idx="15">
                  <c:v>5317.155575988115</c:v>
                </c:pt>
                <c:pt idx="16">
                  <c:v>5317.155575988115</c:v>
                </c:pt>
                <c:pt idx="17">
                  <c:v>5317.155575988115</c:v>
                </c:pt>
                <c:pt idx="18">
                  <c:v>5317.155575988115</c:v>
                </c:pt>
                <c:pt idx="19">
                  <c:v>5317.155575988115</c:v>
                </c:pt>
                <c:pt idx="20">
                  <c:v>5297.704978343169</c:v>
                </c:pt>
                <c:pt idx="21">
                  <c:v>5219.902587763388</c:v>
                </c:pt>
                <c:pt idx="22">
                  <c:v>5142.100197183607</c:v>
                </c:pt>
                <c:pt idx="23">
                  <c:v>5064.297806603826</c:v>
                </c:pt>
                <c:pt idx="24">
                  <c:v>4986.495416024046</c:v>
                </c:pt>
                <c:pt idx="25">
                  <c:v>4908.693025444266</c:v>
                </c:pt>
                <c:pt idx="26">
                  <c:v>4830.890634864485</c:v>
                </c:pt>
                <c:pt idx="27">
                  <c:v>4753.088244284704</c:v>
                </c:pt>
                <c:pt idx="28">
                  <c:v>4675.285853704923</c:v>
                </c:pt>
                <c:pt idx="29">
                  <c:v>4597.483463125142</c:v>
                </c:pt>
                <c:pt idx="30">
                  <c:v>4519.681072545361</c:v>
                </c:pt>
                <c:pt idx="31">
                  <c:v>4441.87868196558</c:v>
                </c:pt>
                <c:pt idx="32">
                  <c:v>4364.0762913858</c:v>
                </c:pt>
                <c:pt idx="33">
                  <c:v>4286.273900806019</c:v>
                </c:pt>
                <c:pt idx="34">
                  <c:v>4208.471510226238</c:v>
                </c:pt>
                <c:pt idx="35">
                  <c:v>4130.669119646457</c:v>
                </c:pt>
                <c:pt idx="36">
                  <c:v>4052.866729066676</c:v>
                </c:pt>
                <c:pt idx="37">
                  <c:v>3975.064338486895</c:v>
                </c:pt>
                <c:pt idx="38">
                  <c:v>3897.261947907115</c:v>
                </c:pt>
                <c:pt idx="39">
                  <c:v>3819.459557327333</c:v>
                </c:pt>
                <c:pt idx="40">
                  <c:v>3741.657166747553</c:v>
                </c:pt>
                <c:pt idx="41">
                  <c:v>3663.854776167772</c:v>
                </c:pt>
                <c:pt idx="42">
                  <c:v>3586.052385587991</c:v>
                </c:pt>
                <c:pt idx="43">
                  <c:v>3508.249995008211</c:v>
                </c:pt>
                <c:pt idx="44">
                  <c:v>3430.44760442843</c:v>
                </c:pt>
                <c:pt idx="45">
                  <c:v>3352.645213848649</c:v>
                </c:pt>
                <c:pt idx="46">
                  <c:v>3274.842823268868</c:v>
                </c:pt>
                <c:pt idx="47">
                  <c:v>3197.040432689088</c:v>
                </c:pt>
                <c:pt idx="48">
                  <c:v>3119.238042109307</c:v>
                </c:pt>
                <c:pt idx="49">
                  <c:v>3041.435651529526</c:v>
                </c:pt>
                <c:pt idx="50">
                  <c:v>2963.633260949745</c:v>
                </c:pt>
                <c:pt idx="51">
                  <c:v>2885.830870369964</c:v>
                </c:pt>
                <c:pt idx="52">
                  <c:v>2808.028479790183</c:v>
                </c:pt>
                <c:pt idx="53">
                  <c:v>2730.226089210402</c:v>
                </c:pt>
                <c:pt idx="54">
                  <c:v>2652.423698630621</c:v>
                </c:pt>
                <c:pt idx="55">
                  <c:v>2574.621308050841</c:v>
                </c:pt>
                <c:pt idx="56">
                  <c:v>2496.81891747106</c:v>
                </c:pt>
                <c:pt idx="57">
                  <c:v>4191.81501071505</c:v>
                </c:pt>
                <c:pt idx="58">
                  <c:v>6477.743931900299</c:v>
                </c:pt>
                <c:pt idx="59">
                  <c:v>8763.672853085547</c:v>
                </c:pt>
                <c:pt idx="60">
                  <c:v>11049.6017742708</c:v>
                </c:pt>
                <c:pt idx="61">
                  <c:v>13335.53069545604</c:v>
                </c:pt>
                <c:pt idx="62">
                  <c:v>15621.45961664129</c:v>
                </c:pt>
                <c:pt idx="63">
                  <c:v>17907.38853782654</c:v>
                </c:pt>
                <c:pt idx="64">
                  <c:v>20193.31745901179</c:v>
                </c:pt>
                <c:pt idx="65">
                  <c:v>22479.24638019703</c:v>
                </c:pt>
                <c:pt idx="66">
                  <c:v>24765.17530138228</c:v>
                </c:pt>
                <c:pt idx="67">
                  <c:v>27051.10422256753</c:v>
                </c:pt>
                <c:pt idx="68">
                  <c:v>29337.03314375278</c:v>
                </c:pt>
                <c:pt idx="69">
                  <c:v>31622.96206493802</c:v>
                </c:pt>
                <c:pt idx="70">
                  <c:v>33908.89098612328</c:v>
                </c:pt>
                <c:pt idx="71">
                  <c:v>36194.81990730851</c:v>
                </c:pt>
                <c:pt idx="72">
                  <c:v>38480.74882849376</c:v>
                </c:pt>
                <c:pt idx="73">
                  <c:v>40766.67774967902</c:v>
                </c:pt>
                <c:pt idx="74">
                  <c:v>43052.60667086426</c:v>
                </c:pt>
                <c:pt idx="75">
                  <c:v>45338.53559204951</c:v>
                </c:pt>
                <c:pt idx="76">
                  <c:v>47624.46451323476</c:v>
                </c:pt>
                <c:pt idx="77">
                  <c:v>49910.39343442001</c:v>
                </c:pt>
                <c:pt idx="78">
                  <c:v>52196.32235560525</c:v>
                </c:pt>
                <c:pt idx="79">
                  <c:v>54482.2512767905</c:v>
                </c:pt>
                <c:pt idx="80">
                  <c:v>56768.18019797575</c:v>
                </c:pt>
                <c:pt idx="81">
                  <c:v>59054.109119161</c:v>
                </c:pt>
                <c:pt idx="82">
                  <c:v>56313.05849670968</c:v>
                </c:pt>
                <c:pt idx="83">
                  <c:v>51896.3480263795</c:v>
                </c:pt>
                <c:pt idx="84">
                  <c:v>47479.63755604934</c:v>
                </c:pt>
                <c:pt idx="85">
                  <c:v>43062.92708571917</c:v>
                </c:pt>
                <c:pt idx="86">
                  <c:v>38646.216615389</c:v>
                </c:pt>
                <c:pt idx="87">
                  <c:v>34229.50614505882</c:v>
                </c:pt>
                <c:pt idx="88">
                  <c:v>29812.79567472865</c:v>
                </c:pt>
                <c:pt idx="89">
                  <c:v>25396.08520439849</c:v>
                </c:pt>
                <c:pt idx="90">
                  <c:v>20979.37473406831</c:v>
                </c:pt>
                <c:pt idx="91">
                  <c:v>16562.66426373814</c:v>
                </c:pt>
                <c:pt idx="92">
                  <c:v>12145.95379340797</c:v>
                </c:pt>
                <c:pt idx="93">
                  <c:v>7729.243323077796</c:v>
                </c:pt>
                <c:pt idx="94">
                  <c:v>3312.53285274763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846.2896432571558</c:v>
                </c:pt>
                <c:pt idx="58">
                  <c:v>1974.675834266697</c:v>
                </c:pt>
                <c:pt idx="59">
                  <c:v>3103.062025276238</c:v>
                </c:pt>
                <c:pt idx="60">
                  <c:v>4231.448216285778</c:v>
                </c:pt>
                <c:pt idx="61">
                  <c:v>5359.83440729532</c:v>
                </c:pt>
                <c:pt idx="62">
                  <c:v>6488.220598304861</c:v>
                </c:pt>
                <c:pt idx="63">
                  <c:v>7616.606789314403</c:v>
                </c:pt>
                <c:pt idx="64">
                  <c:v>8744.992980323943</c:v>
                </c:pt>
                <c:pt idx="65">
                  <c:v>9873.379171333485</c:v>
                </c:pt>
                <c:pt idx="66">
                  <c:v>11001.76536234303</c:v>
                </c:pt>
                <c:pt idx="67">
                  <c:v>12130.15155335257</c:v>
                </c:pt>
                <c:pt idx="68">
                  <c:v>13258.53774436211</c:v>
                </c:pt>
                <c:pt idx="69">
                  <c:v>14386.92393537165</c:v>
                </c:pt>
                <c:pt idx="70">
                  <c:v>15515.31012638119</c:v>
                </c:pt>
                <c:pt idx="71">
                  <c:v>16643.69631739073</c:v>
                </c:pt>
                <c:pt idx="72">
                  <c:v>17772.08250840027</c:v>
                </c:pt>
                <c:pt idx="73">
                  <c:v>18900.46869940981</c:v>
                </c:pt>
                <c:pt idx="74">
                  <c:v>20028.85489041936</c:v>
                </c:pt>
                <c:pt idx="75">
                  <c:v>21157.2410814289</c:v>
                </c:pt>
                <c:pt idx="76">
                  <c:v>22285.62727243844</c:v>
                </c:pt>
                <c:pt idx="77">
                  <c:v>23414.01346344798</c:v>
                </c:pt>
                <c:pt idx="78">
                  <c:v>24542.39965445752</c:v>
                </c:pt>
                <c:pt idx="79">
                  <c:v>25670.78584546705</c:v>
                </c:pt>
                <c:pt idx="80">
                  <c:v>26799.1720364766</c:v>
                </c:pt>
                <c:pt idx="81">
                  <c:v>27927.55822748614</c:v>
                </c:pt>
                <c:pt idx="82">
                  <c:v>35220.71052593852</c:v>
                </c:pt>
                <c:pt idx="83">
                  <c:v>44568.78486020517</c:v>
                </c:pt>
                <c:pt idx="84">
                  <c:v>53916.85919447182</c:v>
                </c:pt>
                <c:pt idx="85">
                  <c:v>63264.93352873849</c:v>
                </c:pt>
                <c:pt idx="86">
                  <c:v>72613.00786300514</c:v>
                </c:pt>
                <c:pt idx="87">
                  <c:v>81961.0821972718</c:v>
                </c:pt>
                <c:pt idx="88">
                  <c:v>91309.15653153845</c:v>
                </c:pt>
                <c:pt idx="89">
                  <c:v>100657.2308658051</c:v>
                </c:pt>
                <c:pt idx="90">
                  <c:v>110005.3052000718</c:v>
                </c:pt>
                <c:pt idx="91">
                  <c:v>119353.3795343384</c:v>
                </c:pt>
                <c:pt idx="92">
                  <c:v>128701.4538686051</c:v>
                </c:pt>
                <c:pt idx="93">
                  <c:v>138049.5282028717</c:v>
                </c:pt>
                <c:pt idx="94">
                  <c:v>147397.6025371384</c:v>
                </c:pt>
                <c:pt idx="95">
                  <c:v>154408.6582878384</c:v>
                </c:pt>
                <c:pt idx="96">
                  <c:v>154408.6582878384</c:v>
                </c:pt>
                <c:pt idx="97">
                  <c:v>154408.6582878384</c:v>
                </c:pt>
                <c:pt idx="98">
                  <c:v>154408.6582878384</c:v>
                </c:pt>
                <c:pt idx="99">
                  <c:v>154408.6582878384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  <c:pt idx="10">
                  <c:v>1575.015620551702</c:v>
                </c:pt>
                <c:pt idx="11">
                  <c:v>1575.015620551702</c:v>
                </c:pt>
                <c:pt idx="12">
                  <c:v>1575.015620551702</c:v>
                </c:pt>
                <c:pt idx="13">
                  <c:v>1575.015620551702</c:v>
                </c:pt>
                <c:pt idx="14">
                  <c:v>1575.015620551702</c:v>
                </c:pt>
                <c:pt idx="15">
                  <c:v>1575.015620551702</c:v>
                </c:pt>
                <c:pt idx="16">
                  <c:v>1575.015620551702</c:v>
                </c:pt>
                <c:pt idx="17">
                  <c:v>1575.015620551702</c:v>
                </c:pt>
                <c:pt idx="18">
                  <c:v>1575.015620551702</c:v>
                </c:pt>
                <c:pt idx="19">
                  <c:v>1575.015620551702</c:v>
                </c:pt>
                <c:pt idx="20">
                  <c:v>1572.093930616318</c:v>
                </c:pt>
                <c:pt idx="21">
                  <c:v>1560.407170874781</c:v>
                </c:pt>
                <c:pt idx="22">
                  <c:v>1548.720411133245</c:v>
                </c:pt>
                <c:pt idx="23">
                  <c:v>1537.033651391708</c:v>
                </c:pt>
                <c:pt idx="24">
                  <c:v>1525.346891650171</c:v>
                </c:pt>
                <c:pt idx="25">
                  <c:v>1513.660131908635</c:v>
                </c:pt>
                <c:pt idx="26">
                  <c:v>1501.973372167098</c:v>
                </c:pt>
                <c:pt idx="27">
                  <c:v>1490.286612425562</c:v>
                </c:pt>
                <c:pt idx="28">
                  <c:v>1478.599852684025</c:v>
                </c:pt>
                <c:pt idx="29">
                  <c:v>1466.913092942488</c:v>
                </c:pt>
                <c:pt idx="30">
                  <c:v>1455.226333200952</c:v>
                </c:pt>
                <c:pt idx="31">
                  <c:v>1443.539573459415</c:v>
                </c:pt>
                <c:pt idx="32">
                  <c:v>1431.852813717878</c:v>
                </c:pt>
                <c:pt idx="33">
                  <c:v>1420.166053976342</c:v>
                </c:pt>
                <c:pt idx="34">
                  <c:v>1408.479294234805</c:v>
                </c:pt>
                <c:pt idx="35">
                  <c:v>1396.792534493269</c:v>
                </c:pt>
                <c:pt idx="36">
                  <c:v>1385.105774751732</c:v>
                </c:pt>
                <c:pt idx="37">
                  <c:v>1373.419015010196</c:v>
                </c:pt>
                <c:pt idx="38">
                  <c:v>1361.732255268659</c:v>
                </c:pt>
                <c:pt idx="39">
                  <c:v>1350.045495527122</c:v>
                </c:pt>
                <c:pt idx="40">
                  <c:v>1338.358735785586</c:v>
                </c:pt>
                <c:pt idx="41">
                  <c:v>1326.671976044049</c:v>
                </c:pt>
                <c:pt idx="42">
                  <c:v>1314.985216302513</c:v>
                </c:pt>
                <c:pt idx="43">
                  <c:v>1303.298456560976</c:v>
                </c:pt>
                <c:pt idx="44">
                  <c:v>1291.611696819439</c:v>
                </c:pt>
                <c:pt idx="45">
                  <c:v>1279.924937077903</c:v>
                </c:pt>
                <c:pt idx="46">
                  <c:v>1268.238177336366</c:v>
                </c:pt>
                <c:pt idx="47">
                  <c:v>1256.55141759483</c:v>
                </c:pt>
                <c:pt idx="48">
                  <c:v>1244.864657853293</c:v>
                </c:pt>
                <c:pt idx="49">
                  <c:v>1233.177898111756</c:v>
                </c:pt>
                <c:pt idx="50">
                  <c:v>1221.49113837022</c:v>
                </c:pt>
                <c:pt idx="51">
                  <c:v>1209.804378628683</c:v>
                </c:pt>
                <c:pt idx="52">
                  <c:v>1198.117618887147</c:v>
                </c:pt>
                <c:pt idx="53">
                  <c:v>1186.43085914561</c:v>
                </c:pt>
                <c:pt idx="54">
                  <c:v>1174.744099404073</c:v>
                </c:pt>
                <c:pt idx="55">
                  <c:v>1163.057339662537</c:v>
                </c:pt>
                <c:pt idx="56">
                  <c:v>1151.370579921</c:v>
                </c:pt>
                <c:pt idx="57">
                  <c:v>1113.995423286048</c:v>
                </c:pt>
                <c:pt idx="58">
                  <c:v>1068.057467686623</c:v>
                </c:pt>
                <c:pt idx="59">
                  <c:v>1022.119512087198</c:v>
                </c:pt>
                <c:pt idx="60">
                  <c:v>976.1815564877736</c:v>
                </c:pt>
                <c:pt idx="61">
                  <c:v>930.243600888349</c:v>
                </c:pt>
                <c:pt idx="62">
                  <c:v>884.3056452889243</c:v>
                </c:pt>
                <c:pt idx="63">
                  <c:v>838.3676896894997</c:v>
                </c:pt>
                <c:pt idx="64">
                  <c:v>792.429734090075</c:v>
                </c:pt>
                <c:pt idx="65">
                  <c:v>746.4917784906504</c:v>
                </c:pt>
                <c:pt idx="66">
                  <c:v>700.5538228912258</c:v>
                </c:pt>
                <c:pt idx="67">
                  <c:v>654.6158672918011</c:v>
                </c:pt>
                <c:pt idx="68">
                  <c:v>608.6779116923764</c:v>
                </c:pt>
                <c:pt idx="69">
                  <c:v>562.7399560929518</c:v>
                </c:pt>
                <c:pt idx="70">
                  <c:v>516.8020004935272</c:v>
                </c:pt>
                <c:pt idx="71">
                  <c:v>470.8640448941025</c:v>
                </c:pt>
                <c:pt idx="72">
                  <c:v>424.926089294678</c:v>
                </c:pt>
                <c:pt idx="73">
                  <c:v>378.9881336952533</c:v>
                </c:pt>
                <c:pt idx="74">
                  <c:v>333.0501780958286</c:v>
                </c:pt>
                <c:pt idx="75">
                  <c:v>287.112222496404</c:v>
                </c:pt>
                <c:pt idx="76">
                  <c:v>241.1742668969795</c:v>
                </c:pt>
                <c:pt idx="77">
                  <c:v>195.2363112975547</c:v>
                </c:pt>
                <c:pt idx="78">
                  <c:v>149.2983556981301</c:v>
                </c:pt>
                <c:pt idx="79">
                  <c:v>103.3604000987054</c:v>
                </c:pt>
                <c:pt idx="80">
                  <c:v>57.4224444992808</c:v>
                </c:pt>
                <c:pt idx="81">
                  <c:v>11.48448889985616</c:v>
                </c:pt>
                <c:pt idx="82">
                  <c:v>3386.771572949703</c:v>
                </c:pt>
                <c:pt idx="83">
                  <c:v>7902.467003549307</c:v>
                </c:pt>
                <c:pt idx="84">
                  <c:v>12418.16243414891</c:v>
                </c:pt>
                <c:pt idx="85">
                  <c:v>16933.85786474852</c:v>
                </c:pt>
                <c:pt idx="86">
                  <c:v>21449.55329534812</c:v>
                </c:pt>
                <c:pt idx="87">
                  <c:v>25965.24872594772</c:v>
                </c:pt>
                <c:pt idx="88">
                  <c:v>30480.94415654733</c:v>
                </c:pt>
                <c:pt idx="89">
                  <c:v>34996.63958714693</c:v>
                </c:pt>
                <c:pt idx="90">
                  <c:v>39512.33501774653</c:v>
                </c:pt>
                <c:pt idx="91">
                  <c:v>44028.03044834613</c:v>
                </c:pt>
                <c:pt idx="92">
                  <c:v>48543.72587894574</c:v>
                </c:pt>
                <c:pt idx="93">
                  <c:v>53059.42130954535</c:v>
                </c:pt>
                <c:pt idx="94">
                  <c:v>57575.11674014495</c:v>
                </c:pt>
                <c:pt idx="95">
                  <c:v>60961.88831309465</c:v>
                </c:pt>
                <c:pt idx="96">
                  <c:v>60961.88831309465</c:v>
                </c:pt>
                <c:pt idx="97">
                  <c:v>60961.88831309465</c:v>
                </c:pt>
                <c:pt idx="98">
                  <c:v>60961.88831309465</c:v>
                </c:pt>
                <c:pt idx="99">
                  <c:v>60961.88831309465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  <c:pt idx="10">
                  <c:v>2542.666846672839</c:v>
                </c:pt>
                <c:pt idx="11">
                  <c:v>2542.666846672839</c:v>
                </c:pt>
                <c:pt idx="12">
                  <c:v>2542.666846672839</c:v>
                </c:pt>
                <c:pt idx="13">
                  <c:v>2542.666846672839</c:v>
                </c:pt>
                <c:pt idx="14">
                  <c:v>2542.666846672839</c:v>
                </c:pt>
                <c:pt idx="15">
                  <c:v>2542.666846672839</c:v>
                </c:pt>
                <c:pt idx="16">
                  <c:v>2542.666846672839</c:v>
                </c:pt>
                <c:pt idx="17">
                  <c:v>2542.666846672839</c:v>
                </c:pt>
                <c:pt idx="18">
                  <c:v>2542.666846672839</c:v>
                </c:pt>
                <c:pt idx="19">
                  <c:v>2542.666846672839</c:v>
                </c:pt>
                <c:pt idx="20">
                  <c:v>2543.009121234062</c:v>
                </c:pt>
                <c:pt idx="21">
                  <c:v>2544.378219478955</c:v>
                </c:pt>
                <c:pt idx="22">
                  <c:v>2545.747317723848</c:v>
                </c:pt>
                <c:pt idx="23">
                  <c:v>2547.116415968741</c:v>
                </c:pt>
                <c:pt idx="24">
                  <c:v>2548.485514213633</c:v>
                </c:pt>
                <c:pt idx="25">
                  <c:v>2549.854612458526</c:v>
                </c:pt>
                <c:pt idx="26">
                  <c:v>2551.223710703419</c:v>
                </c:pt>
                <c:pt idx="27">
                  <c:v>2552.592808948312</c:v>
                </c:pt>
                <c:pt idx="28">
                  <c:v>2553.961907193205</c:v>
                </c:pt>
                <c:pt idx="29">
                  <c:v>2555.331005438097</c:v>
                </c:pt>
                <c:pt idx="30">
                  <c:v>2556.70010368299</c:v>
                </c:pt>
                <c:pt idx="31">
                  <c:v>2558.069201927883</c:v>
                </c:pt>
                <c:pt idx="32">
                  <c:v>2559.438300172776</c:v>
                </c:pt>
                <c:pt idx="33">
                  <c:v>2560.807398417669</c:v>
                </c:pt>
                <c:pt idx="34">
                  <c:v>2562.176496662561</c:v>
                </c:pt>
                <c:pt idx="35">
                  <c:v>2563.545594907454</c:v>
                </c:pt>
                <c:pt idx="36">
                  <c:v>2564.914693152347</c:v>
                </c:pt>
                <c:pt idx="37">
                  <c:v>2566.28379139724</c:v>
                </c:pt>
                <c:pt idx="38">
                  <c:v>2567.652889642133</c:v>
                </c:pt>
                <c:pt idx="39">
                  <c:v>2569.021987887026</c:v>
                </c:pt>
                <c:pt idx="40">
                  <c:v>2570.391086131918</c:v>
                </c:pt>
                <c:pt idx="41">
                  <c:v>2571.760184376811</c:v>
                </c:pt>
                <c:pt idx="42">
                  <c:v>2573.129282621704</c:v>
                </c:pt>
                <c:pt idx="43">
                  <c:v>2574.498380866597</c:v>
                </c:pt>
                <c:pt idx="44">
                  <c:v>2575.86747911149</c:v>
                </c:pt>
                <c:pt idx="45">
                  <c:v>2577.236577356382</c:v>
                </c:pt>
                <c:pt idx="46">
                  <c:v>2578.605675601275</c:v>
                </c:pt>
                <c:pt idx="47">
                  <c:v>2579.974773846168</c:v>
                </c:pt>
                <c:pt idx="48">
                  <c:v>2581.343872091061</c:v>
                </c:pt>
                <c:pt idx="49">
                  <c:v>2582.712970335954</c:v>
                </c:pt>
                <c:pt idx="50">
                  <c:v>2584.082068580847</c:v>
                </c:pt>
                <c:pt idx="51">
                  <c:v>2585.45116682574</c:v>
                </c:pt>
                <c:pt idx="52">
                  <c:v>2586.820265070632</c:v>
                </c:pt>
                <c:pt idx="53">
                  <c:v>2588.189363315525</c:v>
                </c:pt>
                <c:pt idx="54">
                  <c:v>2589.558461560418</c:v>
                </c:pt>
                <c:pt idx="55">
                  <c:v>2590.927559805311</c:v>
                </c:pt>
                <c:pt idx="56">
                  <c:v>2592.296658050203</c:v>
                </c:pt>
                <c:pt idx="57">
                  <c:v>2584.081850181907</c:v>
                </c:pt>
                <c:pt idx="58">
                  <c:v>2572.672406942548</c:v>
                </c:pt>
                <c:pt idx="59">
                  <c:v>2561.262963703189</c:v>
                </c:pt>
                <c:pt idx="60">
                  <c:v>2549.85352046383</c:v>
                </c:pt>
                <c:pt idx="61">
                  <c:v>2538.44407722447</c:v>
                </c:pt>
                <c:pt idx="62">
                  <c:v>2527.03463398511</c:v>
                </c:pt>
                <c:pt idx="63">
                  <c:v>2515.625190745751</c:v>
                </c:pt>
                <c:pt idx="64">
                  <c:v>2504.215747506392</c:v>
                </c:pt>
                <c:pt idx="65">
                  <c:v>2492.806304267032</c:v>
                </c:pt>
                <c:pt idx="66">
                  <c:v>2481.396861027673</c:v>
                </c:pt>
                <c:pt idx="67">
                  <c:v>2469.987417788313</c:v>
                </c:pt>
                <c:pt idx="68">
                  <c:v>2458.577974548954</c:v>
                </c:pt>
                <c:pt idx="69">
                  <c:v>2447.168531309595</c:v>
                </c:pt>
                <c:pt idx="70">
                  <c:v>2435.759088070236</c:v>
                </c:pt>
                <c:pt idx="71">
                  <c:v>2424.349644830876</c:v>
                </c:pt>
                <c:pt idx="72">
                  <c:v>2412.940201591517</c:v>
                </c:pt>
                <c:pt idx="73">
                  <c:v>2401.530758352157</c:v>
                </c:pt>
                <c:pt idx="74">
                  <c:v>2390.121315112798</c:v>
                </c:pt>
                <c:pt idx="75">
                  <c:v>2378.711871873438</c:v>
                </c:pt>
                <c:pt idx="76">
                  <c:v>2367.30242863408</c:v>
                </c:pt>
                <c:pt idx="77">
                  <c:v>2355.89298539472</c:v>
                </c:pt>
                <c:pt idx="78">
                  <c:v>2344.48354215536</c:v>
                </c:pt>
                <c:pt idx="79">
                  <c:v>2333.074098916001</c:v>
                </c:pt>
                <c:pt idx="80">
                  <c:v>2321.664655676642</c:v>
                </c:pt>
                <c:pt idx="81">
                  <c:v>2310.255212437282</c:v>
                </c:pt>
                <c:pt idx="82">
                  <c:v>2201.65581447483</c:v>
                </c:pt>
                <c:pt idx="83">
                  <c:v>2060.659764938013</c:v>
                </c:pt>
                <c:pt idx="84">
                  <c:v>1919.663715401196</c:v>
                </c:pt>
                <c:pt idx="85">
                  <c:v>1778.667665864379</c:v>
                </c:pt>
                <c:pt idx="86">
                  <c:v>1637.671616327562</c:v>
                </c:pt>
                <c:pt idx="87">
                  <c:v>1496.675566790745</c:v>
                </c:pt>
                <c:pt idx="88">
                  <c:v>1355.679517253928</c:v>
                </c:pt>
                <c:pt idx="89">
                  <c:v>1214.68346771711</c:v>
                </c:pt>
                <c:pt idx="90">
                  <c:v>1073.687418180294</c:v>
                </c:pt>
                <c:pt idx="91">
                  <c:v>932.6913686434766</c:v>
                </c:pt>
                <c:pt idx="92">
                  <c:v>791.6953191066595</c:v>
                </c:pt>
                <c:pt idx="93">
                  <c:v>650.6992695698424</c:v>
                </c:pt>
                <c:pt idx="94">
                  <c:v>509.7032200330256</c:v>
                </c:pt>
                <c:pt idx="95">
                  <c:v>403.9561828804129</c:v>
                </c:pt>
                <c:pt idx="96">
                  <c:v>403.9561828804129</c:v>
                </c:pt>
                <c:pt idx="97">
                  <c:v>403.9561828804129</c:v>
                </c:pt>
                <c:pt idx="98">
                  <c:v>403.9561828804129</c:v>
                </c:pt>
                <c:pt idx="99">
                  <c:v>403.9561828804129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23585.85891776174</c:v>
                </c:pt>
                <c:pt idx="1">
                  <c:v>23585.85891776174</c:v>
                </c:pt>
                <c:pt idx="2">
                  <c:v>23585.85891776174</c:v>
                </c:pt>
                <c:pt idx="3">
                  <c:v>23585.85891776174</c:v>
                </c:pt>
                <c:pt idx="4">
                  <c:v>23585.85891776174</c:v>
                </c:pt>
                <c:pt idx="5">
                  <c:v>23585.85891776174</c:v>
                </c:pt>
                <c:pt idx="6">
                  <c:v>23585.85891776174</c:v>
                </c:pt>
                <c:pt idx="7">
                  <c:v>23585.85891776174</c:v>
                </c:pt>
                <c:pt idx="8">
                  <c:v>23585.85891776174</c:v>
                </c:pt>
                <c:pt idx="9">
                  <c:v>23585.85891776174</c:v>
                </c:pt>
                <c:pt idx="10">
                  <c:v>23585.85891776174</c:v>
                </c:pt>
                <c:pt idx="11">
                  <c:v>23585.85891776174</c:v>
                </c:pt>
                <c:pt idx="12">
                  <c:v>23585.85891776174</c:v>
                </c:pt>
                <c:pt idx="13">
                  <c:v>23585.85891776174</c:v>
                </c:pt>
                <c:pt idx="14">
                  <c:v>23585.85891776174</c:v>
                </c:pt>
                <c:pt idx="15">
                  <c:v>23585.85891776174</c:v>
                </c:pt>
                <c:pt idx="16">
                  <c:v>23585.85891776174</c:v>
                </c:pt>
                <c:pt idx="17">
                  <c:v>23585.85891776174</c:v>
                </c:pt>
                <c:pt idx="18">
                  <c:v>23585.85891776174</c:v>
                </c:pt>
                <c:pt idx="19">
                  <c:v>23585.85891776174</c:v>
                </c:pt>
                <c:pt idx="20">
                  <c:v>23638.49990430907</c:v>
                </c:pt>
                <c:pt idx="21">
                  <c:v>23849.06385049841</c:v>
                </c:pt>
                <c:pt idx="22">
                  <c:v>24059.62779668775</c:v>
                </c:pt>
                <c:pt idx="23">
                  <c:v>24270.19174287709</c:v>
                </c:pt>
                <c:pt idx="24">
                  <c:v>24480.75568906643</c:v>
                </c:pt>
                <c:pt idx="25">
                  <c:v>24691.31963525577</c:v>
                </c:pt>
                <c:pt idx="26">
                  <c:v>24901.8835814451</c:v>
                </c:pt>
                <c:pt idx="27">
                  <c:v>25112.44752763445</c:v>
                </c:pt>
                <c:pt idx="28">
                  <c:v>25323.01147382378</c:v>
                </c:pt>
                <c:pt idx="29">
                  <c:v>25533.57542001312</c:v>
                </c:pt>
                <c:pt idx="30">
                  <c:v>25744.13936620246</c:v>
                </c:pt>
                <c:pt idx="31">
                  <c:v>25954.7033123918</c:v>
                </c:pt>
                <c:pt idx="32">
                  <c:v>26165.26725858114</c:v>
                </c:pt>
                <c:pt idx="33">
                  <c:v>26375.83120477048</c:v>
                </c:pt>
                <c:pt idx="34">
                  <c:v>26586.39515095982</c:v>
                </c:pt>
                <c:pt idx="35">
                  <c:v>26796.95909714916</c:v>
                </c:pt>
                <c:pt idx="36">
                  <c:v>27007.5230433385</c:v>
                </c:pt>
                <c:pt idx="37">
                  <c:v>27218.08698952784</c:v>
                </c:pt>
                <c:pt idx="38">
                  <c:v>27428.65093571718</c:v>
                </c:pt>
                <c:pt idx="39">
                  <c:v>27639.21488190652</c:v>
                </c:pt>
                <c:pt idx="40">
                  <c:v>27849.77882809586</c:v>
                </c:pt>
                <c:pt idx="41">
                  <c:v>28060.34277428519</c:v>
                </c:pt>
                <c:pt idx="42">
                  <c:v>28270.90672047453</c:v>
                </c:pt>
                <c:pt idx="43">
                  <c:v>28481.47066666387</c:v>
                </c:pt>
                <c:pt idx="44">
                  <c:v>28692.03461285321</c:v>
                </c:pt>
                <c:pt idx="45">
                  <c:v>28902.59855904255</c:v>
                </c:pt>
                <c:pt idx="46">
                  <c:v>29113.1625052319</c:v>
                </c:pt>
                <c:pt idx="47">
                  <c:v>29323.72645142123</c:v>
                </c:pt>
                <c:pt idx="48">
                  <c:v>29534.29039761057</c:v>
                </c:pt>
                <c:pt idx="49">
                  <c:v>29744.85434379991</c:v>
                </c:pt>
                <c:pt idx="50">
                  <c:v>29955.41828998925</c:v>
                </c:pt>
                <c:pt idx="51">
                  <c:v>30165.98223617858</c:v>
                </c:pt>
                <c:pt idx="52">
                  <c:v>30376.54618236793</c:v>
                </c:pt>
                <c:pt idx="53">
                  <c:v>30587.11012855727</c:v>
                </c:pt>
                <c:pt idx="54">
                  <c:v>30797.6740747466</c:v>
                </c:pt>
                <c:pt idx="55">
                  <c:v>31008.23802093594</c:v>
                </c:pt>
                <c:pt idx="56">
                  <c:v>31218.80196712528</c:v>
                </c:pt>
                <c:pt idx="57">
                  <c:v>30613.59619496276</c:v>
                </c:pt>
                <c:pt idx="58">
                  <c:v>29736.46718334963</c:v>
                </c:pt>
                <c:pt idx="59">
                  <c:v>28859.3381717365</c:v>
                </c:pt>
                <c:pt idx="60">
                  <c:v>27982.20916012336</c:v>
                </c:pt>
                <c:pt idx="61">
                  <c:v>27105.08014851022</c:v>
                </c:pt>
                <c:pt idx="62">
                  <c:v>26227.95113689708</c:v>
                </c:pt>
                <c:pt idx="63">
                  <c:v>25350.82212528395</c:v>
                </c:pt>
                <c:pt idx="64">
                  <c:v>24473.69311367081</c:v>
                </c:pt>
                <c:pt idx="65">
                  <c:v>23596.56410205767</c:v>
                </c:pt>
                <c:pt idx="66">
                  <c:v>22719.43509044454</c:v>
                </c:pt>
                <c:pt idx="67">
                  <c:v>21842.3060788314</c:v>
                </c:pt>
                <c:pt idx="68">
                  <c:v>20965.17706721826</c:v>
                </c:pt>
                <c:pt idx="69">
                  <c:v>20088.04805560513</c:v>
                </c:pt>
                <c:pt idx="70">
                  <c:v>19210.91904399199</c:v>
                </c:pt>
                <c:pt idx="71">
                  <c:v>18333.79003237886</c:v>
                </c:pt>
                <c:pt idx="72">
                  <c:v>17456.66102076572</c:v>
                </c:pt>
                <c:pt idx="73">
                  <c:v>16579.53200915258</c:v>
                </c:pt>
                <c:pt idx="74">
                  <c:v>15702.40299753945</c:v>
                </c:pt>
                <c:pt idx="75">
                  <c:v>14825.27398592631</c:v>
                </c:pt>
                <c:pt idx="76">
                  <c:v>13948.14497431317</c:v>
                </c:pt>
                <c:pt idx="77">
                  <c:v>13071.01596270004</c:v>
                </c:pt>
                <c:pt idx="78">
                  <c:v>12193.8869510869</c:v>
                </c:pt>
                <c:pt idx="79">
                  <c:v>11316.75793947376</c:v>
                </c:pt>
                <c:pt idx="80">
                  <c:v>10439.62892786063</c:v>
                </c:pt>
                <c:pt idx="81">
                  <c:v>9562.499916247492</c:v>
                </c:pt>
                <c:pt idx="82">
                  <c:v>9449.941025745738</c:v>
                </c:pt>
                <c:pt idx="83">
                  <c:v>9592.238842281118</c:v>
                </c:pt>
                <c:pt idx="84">
                  <c:v>9734.536658816496</c:v>
                </c:pt>
                <c:pt idx="85">
                  <c:v>9876.834475351874</c:v>
                </c:pt>
                <c:pt idx="86">
                  <c:v>10019.13229188725</c:v>
                </c:pt>
                <c:pt idx="87">
                  <c:v>10161.43010842263</c:v>
                </c:pt>
                <c:pt idx="88">
                  <c:v>10303.72792495801</c:v>
                </c:pt>
                <c:pt idx="89">
                  <c:v>10446.02574149339</c:v>
                </c:pt>
                <c:pt idx="90">
                  <c:v>10588.32355802877</c:v>
                </c:pt>
                <c:pt idx="91">
                  <c:v>10730.62137456415</c:v>
                </c:pt>
                <c:pt idx="92">
                  <c:v>10872.91919109952</c:v>
                </c:pt>
                <c:pt idx="93">
                  <c:v>11015.2170076349</c:v>
                </c:pt>
                <c:pt idx="94">
                  <c:v>11157.51482417028</c:v>
                </c:pt>
                <c:pt idx="95">
                  <c:v>11264.23818657181</c:v>
                </c:pt>
                <c:pt idx="96">
                  <c:v>11264.23818657181</c:v>
                </c:pt>
                <c:pt idx="97">
                  <c:v>11264.23818657181</c:v>
                </c:pt>
                <c:pt idx="98">
                  <c:v>11264.23818657181</c:v>
                </c:pt>
                <c:pt idx="99">
                  <c:v>11264.23818657181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2.38791965872743</c:v>
                </c:pt>
                <c:pt idx="21">
                  <c:v>11.93959829363715</c:v>
                </c:pt>
                <c:pt idx="22">
                  <c:v>21.49127692854687</c:v>
                </c:pt>
                <c:pt idx="23">
                  <c:v>31.0429555634566</c:v>
                </c:pt>
                <c:pt idx="24">
                  <c:v>40.59463419836631</c:v>
                </c:pt>
                <c:pt idx="25">
                  <c:v>50.14631283327603</c:v>
                </c:pt>
                <c:pt idx="26">
                  <c:v>59.69799146818576</c:v>
                </c:pt>
                <c:pt idx="27">
                  <c:v>69.24967010309547</c:v>
                </c:pt>
                <c:pt idx="28">
                  <c:v>78.8013487380052</c:v>
                </c:pt>
                <c:pt idx="29">
                  <c:v>88.35302737291492</c:v>
                </c:pt>
                <c:pt idx="30">
                  <c:v>97.90470600782464</c:v>
                </c:pt>
                <c:pt idx="31">
                  <c:v>107.4563846427344</c:v>
                </c:pt>
                <c:pt idx="32">
                  <c:v>117.0080632776441</c:v>
                </c:pt>
                <c:pt idx="33">
                  <c:v>126.5597419125538</c:v>
                </c:pt>
                <c:pt idx="34">
                  <c:v>136.1114205474635</c:v>
                </c:pt>
                <c:pt idx="35">
                  <c:v>145.6630991823732</c:v>
                </c:pt>
                <c:pt idx="36">
                  <c:v>155.214777817283</c:v>
                </c:pt>
                <c:pt idx="37">
                  <c:v>164.7664564521927</c:v>
                </c:pt>
                <c:pt idx="38">
                  <c:v>174.3181350871024</c:v>
                </c:pt>
                <c:pt idx="39">
                  <c:v>183.8698137220121</c:v>
                </c:pt>
                <c:pt idx="40">
                  <c:v>193.4214923569218</c:v>
                </c:pt>
                <c:pt idx="41">
                  <c:v>202.9731709918316</c:v>
                </c:pt>
                <c:pt idx="42">
                  <c:v>212.5248496267413</c:v>
                </c:pt>
                <c:pt idx="43">
                  <c:v>222.076528261651</c:v>
                </c:pt>
                <c:pt idx="44">
                  <c:v>231.6282068965607</c:v>
                </c:pt>
                <c:pt idx="45">
                  <c:v>241.1798855314705</c:v>
                </c:pt>
                <c:pt idx="46">
                  <c:v>250.7315641663801</c:v>
                </c:pt>
                <c:pt idx="47">
                  <c:v>260.2832428012899</c:v>
                </c:pt>
                <c:pt idx="48">
                  <c:v>269.8349214361996</c:v>
                </c:pt>
                <c:pt idx="49">
                  <c:v>279.3866000711093</c:v>
                </c:pt>
                <c:pt idx="50">
                  <c:v>288.938278706019</c:v>
                </c:pt>
                <c:pt idx="51">
                  <c:v>298.4899573409288</c:v>
                </c:pt>
                <c:pt idx="52">
                  <c:v>308.0416359758385</c:v>
                </c:pt>
                <c:pt idx="53">
                  <c:v>317.5933146107482</c:v>
                </c:pt>
                <c:pt idx="54">
                  <c:v>327.144993245658</c:v>
                </c:pt>
                <c:pt idx="55">
                  <c:v>336.6966718805676</c:v>
                </c:pt>
                <c:pt idx="56">
                  <c:v>346.2483505154774</c:v>
                </c:pt>
                <c:pt idx="57">
                  <c:v>525.9134189829539</c:v>
                </c:pt>
                <c:pt idx="58">
                  <c:v>762.2829507279526</c:v>
                </c:pt>
                <c:pt idx="59">
                  <c:v>998.6524824729515</c:v>
                </c:pt>
                <c:pt idx="60">
                  <c:v>1235.02201421795</c:v>
                </c:pt>
                <c:pt idx="61">
                  <c:v>1471.39154596295</c:v>
                </c:pt>
                <c:pt idx="62">
                  <c:v>1707.761077707948</c:v>
                </c:pt>
                <c:pt idx="63">
                  <c:v>1944.130609452947</c:v>
                </c:pt>
                <c:pt idx="64">
                  <c:v>2180.500141197946</c:v>
                </c:pt>
                <c:pt idx="65">
                  <c:v>2416.869672942944</c:v>
                </c:pt>
                <c:pt idx="66">
                  <c:v>2653.239204687943</c:v>
                </c:pt>
                <c:pt idx="67">
                  <c:v>2889.608736432941</c:v>
                </c:pt>
                <c:pt idx="68">
                  <c:v>3125.978268177941</c:v>
                </c:pt>
                <c:pt idx="69">
                  <c:v>3362.347799922939</c:v>
                </c:pt>
                <c:pt idx="70">
                  <c:v>3598.717331667938</c:v>
                </c:pt>
                <c:pt idx="71">
                  <c:v>3835.086863412937</c:v>
                </c:pt>
                <c:pt idx="72">
                  <c:v>4071.456395157936</c:v>
                </c:pt>
                <c:pt idx="73">
                  <c:v>4307.825926902934</c:v>
                </c:pt>
                <c:pt idx="74">
                  <c:v>4544.195458647933</c:v>
                </c:pt>
                <c:pt idx="75">
                  <c:v>4780.564990392932</c:v>
                </c:pt>
                <c:pt idx="76">
                  <c:v>5016.934522137931</c:v>
                </c:pt>
                <c:pt idx="77">
                  <c:v>5253.30405388293</c:v>
                </c:pt>
                <c:pt idx="78">
                  <c:v>5489.673585627928</c:v>
                </c:pt>
                <c:pt idx="79">
                  <c:v>5726.043117372927</c:v>
                </c:pt>
                <c:pt idx="80">
                  <c:v>5962.412649117925</c:v>
                </c:pt>
                <c:pt idx="81">
                  <c:v>6198.782180862925</c:v>
                </c:pt>
                <c:pt idx="82">
                  <c:v>7185.234752097278</c:v>
                </c:pt>
                <c:pt idx="83">
                  <c:v>8421.715003161416</c:v>
                </c:pt>
                <c:pt idx="84">
                  <c:v>9658.195254225557</c:v>
                </c:pt>
                <c:pt idx="85">
                  <c:v>10894.6755052897</c:v>
                </c:pt>
                <c:pt idx="86">
                  <c:v>12131.15575635383</c:v>
                </c:pt>
                <c:pt idx="87">
                  <c:v>13367.63600741797</c:v>
                </c:pt>
                <c:pt idx="88">
                  <c:v>14604.11625848211</c:v>
                </c:pt>
                <c:pt idx="89">
                  <c:v>15840.59650954625</c:v>
                </c:pt>
                <c:pt idx="90">
                  <c:v>17077.07676061039</c:v>
                </c:pt>
                <c:pt idx="91">
                  <c:v>18313.55701167453</c:v>
                </c:pt>
                <c:pt idx="92">
                  <c:v>19550.03726273866</c:v>
                </c:pt>
                <c:pt idx="93">
                  <c:v>20786.51751380281</c:v>
                </c:pt>
                <c:pt idx="94">
                  <c:v>22022.99776486694</c:v>
                </c:pt>
                <c:pt idx="95">
                  <c:v>22950.35795316505</c:v>
                </c:pt>
                <c:pt idx="96">
                  <c:v>22950.35795316505</c:v>
                </c:pt>
                <c:pt idx="97">
                  <c:v>22950.35795316505</c:v>
                </c:pt>
                <c:pt idx="98">
                  <c:v>22950.35795316505</c:v>
                </c:pt>
                <c:pt idx="99">
                  <c:v>22950.35795316505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5009400"/>
        <c:axId val="-208500602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31035.99249196373</c:v>
                </c:pt>
                <c:pt idx="1">
                  <c:v>31035.99249196373</c:v>
                </c:pt>
                <c:pt idx="2">
                  <c:v>31035.99249196373</c:v>
                </c:pt>
                <c:pt idx="3">
                  <c:v>31035.99249196373</c:v>
                </c:pt>
                <c:pt idx="4">
                  <c:v>31035.99249196373</c:v>
                </c:pt>
                <c:pt idx="5">
                  <c:v>31035.99249196373</c:v>
                </c:pt>
                <c:pt idx="6">
                  <c:v>31035.99249196373</c:v>
                </c:pt>
                <c:pt idx="7">
                  <c:v>31035.99249196373</c:v>
                </c:pt>
                <c:pt idx="8">
                  <c:v>31035.99249196373</c:v>
                </c:pt>
                <c:pt idx="9">
                  <c:v>31035.99249196373</c:v>
                </c:pt>
                <c:pt idx="10">
                  <c:v>31035.99249196373</c:v>
                </c:pt>
                <c:pt idx="11">
                  <c:v>31035.99249196373</c:v>
                </c:pt>
                <c:pt idx="12">
                  <c:v>31035.99249196373</c:v>
                </c:pt>
                <c:pt idx="13">
                  <c:v>31035.99249196373</c:v>
                </c:pt>
                <c:pt idx="14">
                  <c:v>31035.99249196373</c:v>
                </c:pt>
                <c:pt idx="15">
                  <c:v>31035.99249196373</c:v>
                </c:pt>
                <c:pt idx="16">
                  <c:v>31035.99249196373</c:v>
                </c:pt>
                <c:pt idx="17">
                  <c:v>31035.99249196373</c:v>
                </c:pt>
                <c:pt idx="18">
                  <c:v>31035.99249196373</c:v>
                </c:pt>
                <c:pt idx="19">
                  <c:v>31035.99249196373</c:v>
                </c:pt>
                <c:pt idx="20">
                  <c:v>31035.99249196373</c:v>
                </c:pt>
                <c:pt idx="21">
                  <c:v>31035.99249196373</c:v>
                </c:pt>
                <c:pt idx="22">
                  <c:v>31035.99249196373</c:v>
                </c:pt>
                <c:pt idx="23">
                  <c:v>31035.99249196373</c:v>
                </c:pt>
                <c:pt idx="24">
                  <c:v>31035.99249196373</c:v>
                </c:pt>
                <c:pt idx="25">
                  <c:v>31035.99249196373</c:v>
                </c:pt>
                <c:pt idx="26">
                  <c:v>31035.99249196373</c:v>
                </c:pt>
                <c:pt idx="27">
                  <c:v>31035.99249196373</c:v>
                </c:pt>
                <c:pt idx="28">
                  <c:v>31035.99249196373</c:v>
                </c:pt>
                <c:pt idx="29">
                  <c:v>31035.99249196373</c:v>
                </c:pt>
                <c:pt idx="30">
                  <c:v>31035.99249196373</c:v>
                </c:pt>
                <c:pt idx="31">
                  <c:v>31035.99249196373</c:v>
                </c:pt>
                <c:pt idx="32">
                  <c:v>31035.99249196373</c:v>
                </c:pt>
                <c:pt idx="33">
                  <c:v>31035.99249196373</c:v>
                </c:pt>
                <c:pt idx="34">
                  <c:v>31035.99249196373</c:v>
                </c:pt>
                <c:pt idx="35">
                  <c:v>31035.99249196373</c:v>
                </c:pt>
                <c:pt idx="36">
                  <c:v>31035.99249196373</c:v>
                </c:pt>
                <c:pt idx="37">
                  <c:v>31035.99249196373</c:v>
                </c:pt>
                <c:pt idx="38">
                  <c:v>31035.99249196373</c:v>
                </c:pt>
                <c:pt idx="39">
                  <c:v>31035.99249196373</c:v>
                </c:pt>
                <c:pt idx="40">
                  <c:v>31035.99249196373</c:v>
                </c:pt>
                <c:pt idx="41">
                  <c:v>31035.99249196373</c:v>
                </c:pt>
                <c:pt idx="42">
                  <c:v>31035.99249196373</c:v>
                </c:pt>
                <c:pt idx="43">
                  <c:v>31035.99249196373</c:v>
                </c:pt>
                <c:pt idx="44">
                  <c:v>31035.99249196373</c:v>
                </c:pt>
                <c:pt idx="45">
                  <c:v>31035.99249196373</c:v>
                </c:pt>
                <c:pt idx="46">
                  <c:v>31035.99249196373</c:v>
                </c:pt>
                <c:pt idx="47">
                  <c:v>31035.99249196373</c:v>
                </c:pt>
                <c:pt idx="48">
                  <c:v>31035.99249196373</c:v>
                </c:pt>
                <c:pt idx="49">
                  <c:v>31035.99249196373</c:v>
                </c:pt>
                <c:pt idx="50">
                  <c:v>31035.99249196373</c:v>
                </c:pt>
                <c:pt idx="51">
                  <c:v>31035.99249196373</c:v>
                </c:pt>
                <c:pt idx="52">
                  <c:v>31035.99249196373</c:v>
                </c:pt>
                <c:pt idx="53">
                  <c:v>31035.99249196373</c:v>
                </c:pt>
                <c:pt idx="54">
                  <c:v>31035.99249196373</c:v>
                </c:pt>
                <c:pt idx="55">
                  <c:v>31035.99249196373</c:v>
                </c:pt>
                <c:pt idx="56">
                  <c:v>31035.99249196373</c:v>
                </c:pt>
                <c:pt idx="57">
                  <c:v>31035.99249196373</c:v>
                </c:pt>
                <c:pt idx="58">
                  <c:v>31035.99249196373</c:v>
                </c:pt>
                <c:pt idx="59">
                  <c:v>31035.99249196373</c:v>
                </c:pt>
                <c:pt idx="60">
                  <c:v>31035.99249196373</c:v>
                </c:pt>
                <c:pt idx="61">
                  <c:v>31035.99249196373</c:v>
                </c:pt>
                <c:pt idx="62">
                  <c:v>31035.99249196373</c:v>
                </c:pt>
                <c:pt idx="63">
                  <c:v>31035.99249196373</c:v>
                </c:pt>
                <c:pt idx="64">
                  <c:v>31035.99249196373</c:v>
                </c:pt>
                <c:pt idx="65">
                  <c:v>31035.99249196373</c:v>
                </c:pt>
                <c:pt idx="66">
                  <c:v>31035.99249196373</c:v>
                </c:pt>
                <c:pt idx="67">
                  <c:v>31035.99249196373</c:v>
                </c:pt>
                <c:pt idx="68">
                  <c:v>31035.99249196373</c:v>
                </c:pt>
                <c:pt idx="69">
                  <c:v>31035.99249196373</c:v>
                </c:pt>
                <c:pt idx="70">
                  <c:v>31035.99249196373</c:v>
                </c:pt>
                <c:pt idx="71">
                  <c:v>31035.99249196373</c:v>
                </c:pt>
                <c:pt idx="72">
                  <c:v>31035.99249196373</c:v>
                </c:pt>
                <c:pt idx="73">
                  <c:v>31035.99249196376</c:v>
                </c:pt>
                <c:pt idx="74">
                  <c:v>31035.99249196376</c:v>
                </c:pt>
                <c:pt idx="75">
                  <c:v>31035.99249196376</c:v>
                </c:pt>
                <c:pt idx="76">
                  <c:v>31035.99249196376</c:v>
                </c:pt>
                <c:pt idx="77">
                  <c:v>31035.99249196376</c:v>
                </c:pt>
                <c:pt idx="78">
                  <c:v>31035.99249196376</c:v>
                </c:pt>
                <c:pt idx="79">
                  <c:v>31035.99249196376</c:v>
                </c:pt>
                <c:pt idx="80">
                  <c:v>31035.99249196376</c:v>
                </c:pt>
                <c:pt idx="81">
                  <c:v>31035.99249196376</c:v>
                </c:pt>
                <c:pt idx="82">
                  <c:v>31035.99249196376</c:v>
                </c:pt>
                <c:pt idx="83">
                  <c:v>31035.99249196376</c:v>
                </c:pt>
                <c:pt idx="84">
                  <c:v>31035.99249196376</c:v>
                </c:pt>
                <c:pt idx="85">
                  <c:v>31035.99249196376</c:v>
                </c:pt>
                <c:pt idx="86">
                  <c:v>31035.99249196376</c:v>
                </c:pt>
                <c:pt idx="87">
                  <c:v>31035.99249196376</c:v>
                </c:pt>
                <c:pt idx="88">
                  <c:v>31035.99249196376</c:v>
                </c:pt>
                <c:pt idx="89">
                  <c:v>31035.22776537979</c:v>
                </c:pt>
                <c:pt idx="90">
                  <c:v>31035.22776537979</c:v>
                </c:pt>
                <c:pt idx="91">
                  <c:v>31035.22776537979</c:v>
                </c:pt>
                <c:pt idx="92">
                  <c:v>31035.22776537979</c:v>
                </c:pt>
                <c:pt idx="93">
                  <c:v>31035.22776537979</c:v>
                </c:pt>
                <c:pt idx="94">
                  <c:v>31035.22776537979</c:v>
                </c:pt>
                <c:pt idx="95">
                  <c:v>31035.22776537979</c:v>
                </c:pt>
                <c:pt idx="96">
                  <c:v>31035.22776537979</c:v>
                </c:pt>
                <c:pt idx="97">
                  <c:v>31035.22776537979</c:v>
                </c:pt>
                <c:pt idx="98">
                  <c:v>31035.22776537979</c:v>
                </c:pt>
                <c:pt idx="99">
                  <c:v>31035.22776537979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009400"/>
        <c:axId val="-2085006024"/>
      </c:lineChart>
      <c:catAx>
        <c:axId val="-20850094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50060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850060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500940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45.83618133029097</c:v>
                </c:pt>
                <c:pt idx="1">
                  <c:v>-16.80585121371196</c:v>
                </c:pt>
                <c:pt idx="2">
                  <c:v>-78.91272006325723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41.10592993705854</c:v>
                </c:pt>
                <c:pt idx="1">
                  <c:v>373.393546959752</c:v>
                </c:pt>
                <c:pt idx="2">
                  <c:v>833.7328503655504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3.320768480899266</c:v>
                </c:pt>
                <c:pt idx="1">
                  <c:v>-1.443639642172204</c:v>
                </c:pt>
                <c:pt idx="2">
                  <c:v>-6.304967296186525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1.369098244892821</c:v>
                </c:pt>
                <c:pt idx="1">
                  <c:v>-11.40944323935937</c:v>
                </c:pt>
                <c:pt idx="2">
                  <c:v>-140.996049536817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210.5639461893392</c:v>
                </c:pt>
                <c:pt idx="1">
                  <c:v>-877.1290116131364</c:v>
                </c:pt>
                <c:pt idx="2">
                  <c:v>142.2978165353785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829256"/>
        <c:axId val="-208482591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13.55088641971615</c:v>
                </c:pt>
                <c:pt idx="1">
                  <c:v>32.84259710308948</c:v>
                </c:pt>
                <c:pt idx="2">
                  <c:v>20.41864663283727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191.8651306028807</c:v>
                </c:pt>
                <c:pt idx="1">
                  <c:v>469.9429420088694</c:v>
                </c:pt>
                <c:pt idx="2">
                  <c:v>705.7493436527508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-77.80239057978082</c:v>
                </c:pt>
                <c:pt idx="1">
                  <c:v>2285.928921185248</c:v>
                </c:pt>
                <c:pt idx="2">
                  <c:v>-4416.710470330171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1128.386191009541</c:v>
                </c:pt>
                <c:pt idx="2">
                  <c:v>9348.074334266656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-11.6867597415366</c:v>
                </c:pt>
                <c:pt idx="1">
                  <c:v>-45.93795559942464</c:v>
                </c:pt>
                <c:pt idx="2">
                  <c:v>4515.695430599604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9.55167863490972</c:v>
                </c:pt>
                <c:pt idx="1">
                  <c:v>236.3695317449988</c:v>
                </c:pt>
                <c:pt idx="2">
                  <c:v>1236.480251064139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822296"/>
        <c:axId val="-2084819400"/>
      </c:scatterChart>
      <c:valAx>
        <c:axId val="-208482925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4825912"/>
        <c:crosses val="autoZero"/>
        <c:crossBetween val="midCat"/>
      </c:valAx>
      <c:valAx>
        <c:axId val="-20848259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4829256"/>
        <c:crosses val="autoZero"/>
        <c:crossBetween val="midCat"/>
      </c:valAx>
      <c:valAx>
        <c:axId val="-208482229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84819400"/>
        <c:crosses val="autoZero"/>
        <c:crossBetween val="midCat"/>
      </c:valAx>
      <c:valAx>
        <c:axId val="-208481940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482229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  <c:pt idx="10">
                  <c:v>1637.861248379045</c:v>
                </c:pt>
                <c:pt idx="11">
                  <c:v>1637.861248379045</c:v>
                </c:pt>
                <c:pt idx="12">
                  <c:v>1637.861248379045</c:v>
                </c:pt>
                <c:pt idx="13">
                  <c:v>1637.861248379045</c:v>
                </c:pt>
                <c:pt idx="14">
                  <c:v>1637.861248379045</c:v>
                </c:pt>
                <c:pt idx="15">
                  <c:v>1637.861248379045</c:v>
                </c:pt>
                <c:pt idx="16">
                  <c:v>1637.861248379045</c:v>
                </c:pt>
                <c:pt idx="17">
                  <c:v>1637.861248379045</c:v>
                </c:pt>
                <c:pt idx="18">
                  <c:v>1637.861248379045</c:v>
                </c:pt>
                <c:pt idx="19">
                  <c:v>1637.861248379045</c:v>
                </c:pt>
                <c:pt idx="20">
                  <c:v>1649.320293711618</c:v>
                </c:pt>
                <c:pt idx="21">
                  <c:v>1695.15647504191</c:v>
                </c:pt>
                <c:pt idx="22">
                  <c:v>1740.9926563722</c:v>
                </c:pt>
                <c:pt idx="23">
                  <c:v>1786.828837702491</c:v>
                </c:pt>
                <c:pt idx="24">
                  <c:v>1832.665019032782</c:v>
                </c:pt>
                <c:pt idx="25">
                  <c:v>1878.501200363073</c:v>
                </c:pt>
                <c:pt idx="26">
                  <c:v>1924.337381693364</c:v>
                </c:pt>
                <c:pt idx="27">
                  <c:v>1970.173563023655</c:v>
                </c:pt>
                <c:pt idx="28">
                  <c:v>2016.009744353946</c:v>
                </c:pt>
                <c:pt idx="29">
                  <c:v>2061.845925684237</c:v>
                </c:pt>
                <c:pt idx="30">
                  <c:v>2107.682107014528</c:v>
                </c:pt>
                <c:pt idx="31">
                  <c:v>2153.518288344819</c:v>
                </c:pt>
                <c:pt idx="32">
                  <c:v>2199.35446967511</c:v>
                </c:pt>
                <c:pt idx="33">
                  <c:v>2245.1906510054</c:v>
                </c:pt>
                <c:pt idx="34">
                  <c:v>2291.026832335691</c:v>
                </c:pt>
                <c:pt idx="35">
                  <c:v>2336.863013665983</c:v>
                </c:pt>
                <c:pt idx="36">
                  <c:v>2382.699194996273</c:v>
                </c:pt>
                <c:pt idx="37">
                  <c:v>2428.535376326564</c:v>
                </c:pt>
                <c:pt idx="38">
                  <c:v>2474.371557656855</c:v>
                </c:pt>
                <c:pt idx="39">
                  <c:v>2520.207738987147</c:v>
                </c:pt>
                <c:pt idx="40">
                  <c:v>2566.043920317437</c:v>
                </c:pt>
                <c:pt idx="41">
                  <c:v>2611.880101647728</c:v>
                </c:pt>
                <c:pt idx="42">
                  <c:v>2657.71628297802</c:v>
                </c:pt>
                <c:pt idx="43">
                  <c:v>2703.55246430831</c:v>
                </c:pt>
                <c:pt idx="44">
                  <c:v>2749.388645638601</c:v>
                </c:pt>
                <c:pt idx="45">
                  <c:v>2795.224826968893</c:v>
                </c:pt>
                <c:pt idx="46">
                  <c:v>2841.061008299183</c:v>
                </c:pt>
                <c:pt idx="47">
                  <c:v>2886.897189629474</c:v>
                </c:pt>
                <c:pt idx="48">
                  <c:v>2932.733370959765</c:v>
                </c:pt>
                <c:pt idx="49">
                  <c:v>2978.569552290056</c:v>
                </c:pt>
                <c:pt idx="50">
                  <c:v>3024.405733620347</c:v>
                </c:pt>
                <c:pt idx="51">
                  <c:v>3070.241914950638</c:v>
                </c:pt>
                <c:pt idx="52">
                  <c:v>3116.07809628093</c:v>
                </c:pt>
                <c:pt idx="53">
                  <c:v>3161.91427761122</c:v>
                </c:pt>
                <c:pt idx="54">
                  <c:v>3207.750458941511</c:v>
                </c:pt>
                <c:pt idx="55">
                  <c:v>3253.586640271802</c:v>
                </c:pt>
                <c:pt idx="56">
                  <c:v>3299.422821602093</c:v>
                </c:pt>
                <c:pt idx="57">
                  <c:v>3298.277478524381</c:v>
                </c:pt>
                <c:pt idx="58">
                  <c:v>3281.47162731067</c:v>
                </c:pt>
                <c:pt idx="59">
                  <c:v>3264.665776096958</c:v>
                </c:pt>
                <c:pt idx="60">
                  <c:v>3247.859924883245</c:v>
                </c:pt>
                <c:pt idx="61">
                  <c:v>3231.054073669534</c:v>
                </c:pt>
                <c:pt idx="62">
                  <c:v>3214.248222455822</c:v>
                </c:pt>
                <c:pt idx="63">
                  <c:v>3197.44237124211</c:v>
                </c:pt>
                <c:pt idx="64">
                  <c:v>3180.636520028398</c:v>
                </c:pt>
                <c:pt idx="65">
                  <c:v>3163.830668814686</c:v>
                </c:pt>
                <c:pt idx="66">
                  <c:v>3147.024817600974</c:v>
                </c:pt>
                <c:pt idx="67">
                  <c:v>3130.218966387262</c:v>
                </c:pt>
                <c:pt idx="68">
                  <c:v>3113.41311517355</c:v>
                </c:pt>
                <c:pt idx="69">
                  <c:v>3096.607263959838</c:v>
                </c:pt>
                <c:pt idx="70">
                  <c:v>3079.801412746126</c:v>
                </c:pt>
                <c:pt idx="71">
                  <c:v>3062.995561532414</c:v>
                </c:pt>
                <c:pt idx="72">
                  <c:v>3046.189710318702</c:v>
                </c:pt>
                <c:pt idx="73">
                  <c:v>3029.38385910499</c:v>
                </c:pt>
                <c:pt idx="74">
                  <c:v>3012.578007891278</c:v>
                </c:pt>
                <c:pt idx="75">
                  <c:v>2995.772156677566</c:v>
                </c:pt>
                <c:pt idx="76">
                  <c:v>2978.966305463854</c:v>
                </c:pt>
                <c:pt idx="77">
                  <c:v>2962.160454250143</c:v>
                </c:pt>
                <c:pt idx="78">
                  <c:v>2945.35460303643</c:v>
                </c:pt>
                <c:pt idx="79">
                  <c:v>2928.548751822719</c:v>
                </c:pt>
                <c:pt idx="80">
                  <c:v>2911.742900609006</c:v>
                </c:pt>
                <c:pt idx="81">
                  <c:v>2894.937049395295</c:v>
                </c:pt>
                <c:pt idx="82">
                  <c:v>2831.551046544423</c:v>
                </c:pt>
                <c:pt idx="83">
                  <c:v>2752.638326481167</c:v>
                </c:pt>
                <c:pt idx="84">
                  <c:v>2673.725606417909</c:v>
                </c:pt>
                <c:pt idx="85">
                  <c:v>2594.812886354652</c:v>
                </c:pt>
                <c:pt idx="86">
                  <c:v>2515.900166291394</c:v>
                </c:pt>
                <c:pt idx="87">
                  <c:v>2436.987446228138</c:v>
                </c:pt>
                <c:pt idx="88">
                  <c:v>2358.07472616488</c:v>
                </c:pt>
                <c:pt idx="89">
                  <c:v>2279.162006101623</c:v>
                </c:pt>
                <c:pt idx="90">
                  <c:v>2200.249286038366</c:v>
                </c:pt>
                <c:pt idx="91">
                  <c:v>2121.336565975108</c:v>
                </c:pt>
                <c:pt idx="92">
                  <c:v>2042.423845911851</c:v>
                </c:pt>
                <c:pt idx="93">
                  <c:v>1963.511125848594</c:v>
                </c:pt>
                <c:pt idx="94">
                  <c:v>1884.598405785337</c:v>
                </c:pt>
                <c:pt idx="95">
                  <c:v>1852.003865737894</c:v>
                </c:pt>
                <c:pt idx="96">
                  <c:v>1958.363865737894</c:v>
                </c:pt>
                <c:pt idx="97">
                  <c:v>2064.723865737894</c:v>
                </c:pt>
                <c:pt idx="98">
                  <c:v>2171.083865737894</c:v>
                </c:pt>
                <c:pt idx="99">
                  <c:v>2277.443865737894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6745.975100024677</c:v>
                </c:pt>
                <c:pt idx="1">
                  <c:v>6405.715100024676</c:v>
                </c:pt>
                <c:pt idx="2">
                  <c:v>6065.455100024676</c:v>
                </c:pt>
                <c:pt idx="3">
                  <c:v>5725.195100024676</c:v>
                </c:pt>
                <c:pt idx="4">
                  <c:v>5384.935100024677</c:v>
                </c:pt>
                <c:pt idx="5">
                  <c:v>5044.675100024676</c:v>
                </c:pt>
                <c:pt idx="6">
                  <c:v>4704.415100024676</c:v>
                </c:pt>
                <c:pt idx="7">
                  <c:v>4364.155100024676</c:v>
                </c:pt>
                <c:pt idx="8">
                  <c:v>4023.895100024676</c:v>
                </c:pt>
                <c:pt idx="9">
                  <c:v>3683.635100024676</c:v>
                </c:pt>
                <c:pt idx="10">
                  <c:v>3343.375100024676</c:v>
                </c:pt>
                <c:pt idx="11">
                  <c:v>3003.115100024676</c:v>
                </c:pt>
                <c:pt idx="12">
                  <c:v>2662.855100024676</c:v>
                </c:pt>
                <c:pt idx="13">
                  <c:v>2322.595100024676</c:v>
                </c:pt>
                <c:pt idx="14">
                  <c:v>1982.335100024676</c:v>
                </c:pt>
                <c:pt idx="15">
                  <c:v>1642.075100024676</c:v>
                </c:pt>
                <c:pt idx="16">
                  <c:v>1301.815100024676</c:v>
                </c:pt>
                <c:pt idx="17">
                  <c:v>961.5551000246762</c:v>
                </c:pt>
                <c:pt idx="18">
                  <c:v>621.2951000246762</c:v>
                </c:pt>
                <c:pt idx="19">
                  <c:v>281.0351000246764</c:v>
                </c:pt>
                <c:pt idx="20">
                  <c:v>36.116582508941</c:v>
                </c:pt>
                <c:pt idx="21">
                  <c:v>77.22251244599953</c:v>
                </c:pt>
                <c:pt idx="22">
                  <c:v>118.3284423830581</c:v>
                </c:pt>
                <c:pt idx="23">
                  <c:v>159.4343723201166</c:v>
                </c:pt>
                <c:pt idx="24">
                  <c:v>200.5403022571752</c:v>
                </c:pt>
                <c:pt idx="25">
                  <c:v>241.6462321942337</c:v>
                </c:pt>
                <c:pt idx="26">
                  <c:v>282.7521621312923</c:v>
                </c:pt>
                <c:pt idx="27">
                  <c:v>323.8580920683508</c:v>
                </c:pt>
                <c:pt idx="28">
                  <c:v>364.9640220054093</c:v>
                </c:pt>
                <c:pt idx="29">
                  <c:v>406.0699519424679</c:v>
                </c:pt>
                <c:pt idx="30">
                  <c:v>447.1758818795264</c:v>
                </c:pt>
                <c:pt idx="31">
                  <c:v>488.2818118165849</c:v>
                </c:pt>
                <c:pt idx="32">
                  <c:v>529.3877417536434</c:v>
                </c:pt>
                <c:pt idx="33">
                  <c:v>570.493671690702</c:v>
                </c:pt>
                <c:pt idx="34">
                  <c:v>611.5996016277605</c:v>
                </c:pt>
                <c:pt idx="35">
                  <c:v>652.705531564819</c:v>
                </c:pt>
                <c:pt idx="36">
                  <c:v>693.8114615018776</c:v>
                </c:pt>
                <c:pt idx="37">
                  <c:v>734.9173914389361</c:v>
                </c:pt>
                <c:pt idx="38">
                  <c:v>776.0233213759947</c:v>
                </c:pt>
                <c:pt idx="39">
                  <c:v>817.1292513130533</c:v>
                </c:pt>
                <c:pt idx="40">
                  <c:v>858.2351812501117</c:v>
                </c:pt>
                <c:pt idx="41">
                  <c:v>899.3411111871703</c:v>
                </c:pt>
                <c:pt idx="42">
                  <c:v>940.4470411242288</c:v>
                </c:pt>
                <c:pt idx="43">
                  <c:v>981.5529710612873</c:v>
                </c:pt>
                <c:pt idx="44">
                  <c:v>1022.658900998346</c:v>
                </c:pt>
                <c:pt idx="45">
                  <c:v>1063.764830935404</c:v>
                </c:pt>
                <c:pt idx="46">
                  <c:v>1104.870760872463</c:v>
                </c:pt>
                <c:pt idx="47">
                  <c:v>1145.976690809522</c:v>
                </c:pt>
                <c:pt idx="48">
                  <c:v>1187.08262074658</c:v>
                </c:pt>
                <c:pt idx="49">
                  <c:v>1228.188550683639</c:v>
                </c:pt>
                <c:pt idx="50">
                  <c:v>1269.294480620697</c:v>
                </c:pt>
                <c:pt idx="51">
                  <c:v>1310.400410557756</c:v>
                </c:pt>
                <c:pt idx="52">
                  <c:v>1351.506340494814</c:v>
                </c:pt>
                <c:pt idx="53">
                  <c:v>1392.612270431873</c:v>
                </c:pt>
                <c:pt idx="54">
                  <c:v>1433.718200368931</c:v>
                </c:pt>
                <c:pt idx="55">
                  <c:v>1474.82413030599</c:v>
                </c:pt>
                <c:pt idx="56">
                  <c:v>1515.930060243049</c:v>
                </c:pt>
                <c:pt idx="57">
                  <c:v>1806.251702947127</c:v>
                </c:pt>
                <c:pt idx="58">
                  <c:v>2179.645249906879</c:v>
                </c:pt>
                <c:pt idx="59">
                  <c:v>2553.038796866631</c:v>
                </c:pt>
                <c:pt idx="60">
                  <c:v>2926.432343826383</c:v>
                </c:pt>
                <c:pt idx="61">
                  <c:v>3299.825890786135</c:v>
                </c:pt>
                <c:pt idx="62">
                  <c:v>3673.219437745887</c:v>
                </c:pt>
                <c:pt idx="63">
                  <c:v>4046.612984705639</c:v>
                </c:pt>
                <c:pt idx="64">
                  <c:v>4420.00653166539</c:v>
                </c:pt>
                <c:pt idx="65">
                  <c:v>4793.400078625143</c:v>
                </c:pt>
                <c:pt idx="66">
                  <c:v>5166.793625584894</c:v>
                </c:pt>
                <c:pt idx="67">
                  <c:v>5540.187172544647</c:v>
                </c:pt>
                <c:pt idx="68">
                  <c:v>5913.580719504398</c:v>
                </c:pt>
                <c:pt idx="69">
                  <c:v>6286.97426646415</c:v>
                </c:pt>
                <c:pt idx="70">
                  <c:v>6660.367813423902</c:v>
                </c:pt>
                <c:pt idx="71">
                  <c:v>7033.761360383654</c:v>
                </c:pt>
                <c:pt idx="72">
                  <c:v>7407.154907343406</c:v>
                </c:pt>
                <c:pt idx="73">
                  <c:v>7780.548454303158</c:v>
                </c:pt>
                <c:pt idx="74">
                  <c:v>8153.94200126291</c:v>
                </c:pt>
                <c:pt idx="75">
                  <c:v>8527.335548222663</c:v>
                </c:pt>
                <c:pt idx="76">
                  <c:v>8900.729095182414</c:v>
                </c:pt>
                <c:pt idx="77">
                  <c:v>9274.122642142167</c:v>
                </c:pt>
                <c:pt idx="78">
                  <c:v>9647.516189101918</c:v>
                </c:pt>
                <c:pt idx="79">
                  <c:v>10020.90973606167</c:v>
                </c:pt>
                <c:pt idx="80">
                  <c:v>10394.30328302142</c:v>
                </c:pt>
                <c:pt idx="81">
                  <c:v>10767.69682998117</c:v>
                </c:pt>
                <c:pt idx="82">
                  <c:v>11486.34485449528</c:v>
                </c:pt>
                <c:pt idx="83">
                  <c:v>12320.07770486083</c:v>
                </c:pt>
                <c:pt idx="84">
                  <c:v>13153.81055522638</c:v>
                </c:pt>
                <c:pt idx="85">
                  <c:v>13987.54340559193</c:v>
                </c:pt>
                <c:pt idx="86">
                  <c:v>14821.27625595748</c:v>
                </c:pt>
                <c:pt idx="87">
                  <c:v>15655.00910632303</c:v>
                </c:pt>
                <c:pt idx="88">
                  <c:v>16488.74195668858</c:v>
                </c:pt>
                <c:pt idx="89">
                  <c:v>17322.47480705413</c:v>
                </c:pt>
                <c:pt idx="90">
                  <c:v>18156.20765741968</c:v>
                </c:pt>
                <c:pt idx="91">
                  <c:v>18989.94050778523</c:v>
                </c:pt>
                <c:pt idx="92">
                  <c:v>19823.67335815078</c:v>
                </c:pt>
                <c:pt idx="93">
                  <c:v>20657.40620851633</c:v>
                </c:pt>
                <c:pt idx="94">
                  <c:v>21491.13905888188</c:v>
                </c:pt>
                <c:pt idx="95">
                  <c:v>22297.65369665605</c:v>
                </c:pt>
                <c:pt idx="96">
                  <c:v>23022.51369665605</c:v>
                </c:pt>
                <c:pt idx="97">
                  <c:v>23747.37369665605</c:v>
                </c:pt>
                <c:pt idx="98">
                  <c:v>24472.23369665605</c:v>
                </c:pt>
                <c:pt idx="99">
                  <c:v>25197.09369665605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  <c:pt idx="10">
                  <c:v>600.961745113332</c:v>
                </c:pt>
                <c:pt idx="11">
                  <c:v>600.961745113332</c:v>
                </c:pt>
                <c:pt idx="12">
                  <c:v>600.961745113332</c:v>
                </c:pt>
                <c:pt idx="13">
                  <c:v>600.961745113332</c:v>
                </c:pt>
                <c:pt idx="14">
                  <c:v>600.961745113332</c:v>
                </c:pt>
                <c:pt idx="15">
                  <c:v>600.961745113332</c:v>
                </c:pt>
                <c:pt idx="16">
                  <c:v>600.961745113332</c:v>
                </c:pt>
                <c:pt idx="17">
                  <c:v>600.961745113332</c:v>
                </c:pt>
                <c:pt idx="18">
                  <c:v>600.961745113332</c:v>
                </c:pt>
                <c:pt idx="19">
                  <c:v>600.961745113332</c:v>
                </c:pt>
                <c:pt idx="20">
                  <c:v>604.3494667182611</c:v>
                </c:pt>
                <c:pt idx="21">
                  <c:v>617.9003531379771</c:v>
                </c:pt>
                <c:pt idx="22">
                  <c:v>631.4512395576932</c:v>
                </c:pt>
                <c:pt idx="23">
                  <c:v>645.0021259774095</c:v>
                </c:pt>
                <c:pt idx="24">
                  <c:v>658.5530123971256</c:v>
                </c:pt>
                <c:pt idx="25">
                  <c:v>672.1038988168418</c:v>
                </c:pt>
                <c:pt idx="26">
                  <c:v>685.654785236558</c:v>
                </c:pt>
                <c:pt idx="27">
                  <c:v>699.205671656274</c:v>
                </c:pt>
                <c:pt idx="28">
                  <c:v>712.7565580759903</c:v>
                </c:pt>
                <c:pt idx="29">
                  <c:v>726.3074444957064</c:v>
                </c:pt>
                <c:pt idx="30">
                  <c:v>739.8583309154226</c:v>
                </c:pt>
                <c:pt idx="31">
                  <c:v>753.4092173351387</c:v>
                </c:pt>
                <c:pt idx="32">
                  <c:v>766.9601037548548</c:v>
                </c:pt>
                <c:pt idx="33">
                  <c:v>780.510990174571</c:v>
                </c:pt>
                <c:pt idx="34">
                  <c:v>794.0618765942871</c:v>
                </c:pt>
                <c:pt idx="35">
                  <c:v>807.6127630140033</c:v>
                </c:pt>
                <c:pt idx="36">
                  <c:v>821.1636494337195</c:v>
                </c:pt>
                <c:pt idx="37">
                  <c:v>834.7145358534356</c:v>
                </c:pt>
                <c:pt idx="38">
                  <c:v>848.2654222731517</c:v>
                </c:pt>
                <c:pt idx="39">
                  <c:v>861.816308692868</c:v>
                </c:pt>
                <c:pt idx="40">
                  <c:v>875.3671951125841</c:v>
                </c:pt>
                <c:pt idx="41">
                  <c:v>888.9180815323002</c:v>
                </c:pt>
                <c:pt idx="42">
                  <c:v>902.4689679520163</c:v>
                </c:pt>
                <c:pt idx="43">
                  <c:v>916.0198543717325</c:v>
                </c:pt>
                <c:pt idx="44">
                  <c:v>929.5707407914488</c:v>
                </c:pt>
                <c:pt idx="45">
                  <c:v>943.1216272111649</c:v>
                </c:pt>
                <c:pt idx="46">
                  <c:v>956.672513630881</c:v>
                </c:pt>
                <c:pt idx="47">
                  <c:v>970.223400050597</c:v>
                </c:pt>
                <c:pt idx="48">
                  <c:v>983.7742864703133</c:v>
                </c:pt>
                <c:pt idx="49">
                  <c:v>997.3251728900295</c:v>
                </c:pt>
                <c:pt idx="50">
                  <c:v>1010.876059309746</c:v>
                </c:pt>
                <c:pt idx="51">
                  <c:v>1024.426945729462</c:v>
                </c:pt>
                <c:pt idx="52">
                  <c:v>1037.977832149178</c:v>
                </c:pt>
                <c:pt idx="53">
                  <c:v>1051.528718568894</c:v>
                </c:pt>
                <c:pt idx="54">
                  <c:v>1065.07960498861</c:v>
                </c:pt>
                <c:pt idx="55">
                  <c:v>1078.630491408326</c:v>
                </c:pt>
                <c:pt idx="56">
                  <c:v>1092.181377828043</c:v>
                </c:pt>
                <c:pt idx="57">
                  <c:v>1120.201047260289</c:v>
                </c:pt>
                <c:pt idx="58">
                  <c:v>1153.043644363378</c:v>
                </c:pt>
                <c:pt idx="59">
                  <c:v>1185.886241466468</c:v>
                </c:pt>
                <c:pt idx="60">
                  <c:v>1218.728838569557</c:v>
                </c:pt>
                <c:pt idx="61">
                  <c:v>1251.571435672647</c:v>
                </c:pt>
                <c:pt idx="62">
                  <c:v>1284.414032775736</c:v>
                </c:pt>
                <c:pt idx="63">
                  <c:v>1317.256629878826</c:v>
                </c:pt>
                <c:pt idx="64">
                  <c:v>1350.099226981915</c:v>
                </c:pt>
                <c:pt idx="65">
                  <c:v>1382.941824085005</c:v>
                </c:pt>
                <c:pt idx="66">
                  <c:v>1415.784421188094</c:v>
                </c:pt>
                <c:pt idx="67">
                  <c:v>1448.627018291184</c:v>
                </c:pt>
                <c:pt idx="68">
                  <c:v>1481.469615394273</c:v>
                </c:pt>
                <c:pt idx="69">
                  <c:v>1514.312212497362</c:v>
                </c:pt>
                <c:pt idx="70">
                  <c:v>1547.154809600452</c:v>
                </c:pt>
                <c:pt idx="71">
                  <c:v>1579.997406703541</c:v>
                </c:pt>
                <c:pt idx="72">
                  <c:v>1612.840003806631</c:v>
                </c:pt>
                <c:pt idx="73">
                  <c:v>1645.68260090972</c:v>
                </c:pt>
                <c:pt idx="74">
                  <c:v>1678.52519801281</c:v>
                </c:pt>
                <c:pt idx="75">
                  <c:v>1711.367795115899</c:v>
                </c:pt>
                <c:pt idx="76">
                  <c:v>1744.210392218989</c:v>
                </c:pt>
                <c:pt idx="77">
                  <c:v>1777.052989322078</c:v>
                </c:pt>
                <c:pt idx="78">
                  <c:v>1809.895586425168</c:v>
                </c:pt>
                <c:pt idx="79">
                  <c:v>1842.738183528257</c:v>
                </c:pt>
                <c:pt idx="80">
                  <c:v>1875.580780631347</c:v>
                </c:pt>
                <c:pt idx="81">
                  <c:v>1908.423377734436</c:v>
                </c:pt>
                <c:pt idx="82">
                  <c:v>1931.948011984837</c:v>
                </c:pt>
                <c:pt idx="83">
                  <c:v>1952.366658617674</c:v>
                </c:pt>
                <c:pt idx="84">
                  <c:v>1972.785305250511</c:v>
                </c:pt>
                <c:pt idx="85">
                  <c:v>1993.203951883349</c:v>
                </c:pt>
                <c:pt idx="86">
                  <c:v>2013.622598516186</c:v>
                </c:pt>
                <c:pt idx="87">
                  <c:v>2034.041245149023</c:v>
                </c:pt>
                <c:pt idx="88">
                  <c:v>2054.45989178186</c:v>
                </c:pt>
                <c:pt idx="89">
                  <c:v>2074.878538414698</c:v>
                </c:pt>
                <c:pt idx="90">
                  <c:v>2095.297185047535</c:v>
                </c:pt>
                <c:pt idx="91">
                  <c:v>2115.715831680372</c:v>
                </c:pt>
                <c:pt idx="92">
                  <c:v>2136.134478313209</c:v>
                </c:pt>
                <c:pt idx="93">
                  <c:v>2156.553124946046</c:v>
                </c:pt>
                <c:pt idx="94">
                  <c:v>2176.971771578883</c:v>
                </c:pt>
                <c:pt idx="95">
                  <c:v>2194.393506553511</c:v>
                </c:pt>
                <c:pt idx="96">
                  <c:v>2202.824506553512</c:v>
                </c:pt>
                <c:pt idx="97">
                  <c:v>2211.255506553512</c:v>
                </c:pt>
                <c:pt idx="98">
                  <c:v>2219.686506553512</c:v>
                </c:pt>
                <c:pt idx="99">
                  <c:v>2228.117506553511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  <c:pt idx="10">
                  <c:v>3045.440360051142</c:v>
                </c:pt>
                <c:pt idx="11">
                  <c:v>3045.440360051142</c:v>
                </c:pt>
                <c:pt idx="12">
                  <c:v>3045.440360051142</c:v>
                </c:pt>
                <c:pt idx="13">
                  <c:v>3045.440360051142</c:v>
                </c:pt>
                <c:pt idx="14">
                  <c:v>3045.440360051142</c:v>
                </c:pt>
                <c:pt idx="15">
                  <c:v>3045.440360051142</c:v>
                </c:pt>
                <c:pt idx="16">
                  <c:v>3045.440360051142</c:v>
                </c:pt>
                <c:pt idx="17">
                  <c:v>3045.440360051142</c:v>
                </c:pt>
                <c:pt idx="18">
                  <c:v>3045.440360051142</c:v>
                </c:pt>
                <c:pt idx="19">
                  <c:v>3045.440360051142</c:v>
                </c:pt>
                <c:pt idx="20">
                  <c:v>3093.406642701862</c:v>
                </c:pt>
                <c:pt idx="21">
                  <c:v>3285.271773304743</c:v>
                </c:pt>
                <c:pt idx="22">
                  <c:v>3477.136903907624</c:v>
                </c:pt>
                <c:pt idx="23">
                  <c:v>3669.002034510504</c:v>
                </c:pt>
                <c:pt idx="24">
                  <c:v>3860.867165113385</c:v>
                </c:pt>
                <c:pt idx="25">
                  <c:v>4052.732295716266</c:v>
                </c:pt>
                <c:pt idx="26">
                  <c:v>4244.597426319146</c:v>
                </c:pt>
                <c:pt idx="27">
                  <c:v>4436.462556922027</c:v>
                </c:pt>
                <c:pt idx="28">
                  <c:v>4628.327687524908</c:v>
                </c:pt>
                <c:pt idx="29">
                  <c:v>4820.192818127788</c:v>
                </c:pt>
                <c:pt idx="30">
                  <c:v>5012.05794873067</c:v>
                </c:pt>
                <c:pt idx="31">
                  <c:v>5203.92307933355</c:v>
                </c:pt>
                <c:pt idx="32">
                  <c:v>5395.788209936431</c:v>
                </c:pt>
                <c:pt idx="33">
                  <c:v>5587.653340539311</c:v>
                </c:pt>
                <c:pt idx="34">
                  <c:v>5779.518471142192</c:v>
                </c:pt>
                <c:pt idx="35">
                  <c:v>5971.383601745073</c:v>
                </c:pt>
                <c:pt idx="36">
                  <c:v>6163.248732347954</c:v>
                </c:pt>
                <c:pt idx="37">
                  <c:v>6355.113862950834</c:v>
                </c:pt>
                <c:pt idx="38">
                  <c:v>6546.978993553716</c:v>
                </c:pt>
                <c:pt idx="39">
                  <c:v>6738.844124156596</c:v>
                </c:pt>
                <c:pt idx="40">
                  <c:v>6930.709254759476</c:v>
                </c:pt>
                <c:pt idx="41">
                  <c:v>7122.574385362357</c:v>
                </c:pt>
                <c:pt idx="42">
                  <c:v>7314.439515965238</c:v>
                </c:pt>
                <c:pt idx="43">
                  <c:v>7506.304646568118</c:v>
                </c:pt>
                <c:pt idx="44">
                  <c:v>7698.169777171</c:v>
                </c:pt>
                <c:pt idx="45">
                  <c:v>7890.03490777388</c:v>
                </c:pt>
                <c:pt idx="46">
                  <c:v>8081.900038376761</c:v>
                </c:pt>
                <c:pt idx="47">
                  <c:v>8273.76516897964</c:v>
                </c:pt>
                <c:pt idx="48">
                  <c:v>8465.63029958252</c:v>
                </c:pt>
                <c:pt idx="49">
                  <c:v>8657.495430185401</c:v>
                </c:pt>
                <c:pt idx="50">
                  <c:v>8849.360560788284</c:v>
                </c:pt>
                <c:pt idx="51">
                  <c:v>9041.225691391164</c:v>
                </c:pt>
                <c:pt idx="52">
                  <c:v>9233.090821994045</c:v>
                </c:pt>
                <c:pt idx="53">
                  <c:v>9424.955952596925</c:v>
                </c:pt>
                <c:pt idx="54">
                  <c:v>9616.821083199805</c:v>
                </c:pt>
                <c:pt idx="55">
                  <c:v>9808.686213802688</c:v>
                </c:pt>
                <c:pt idx="56">
                  <c:v>10000.55134440557</c:v>
                </c:pt>
                <c:pt idx="57">
                  <c:v>10400.97483356294</c:v>
                </c:pt>
                <c:pt idx="58">
                  <c:v>10870.91777557181</c:v>
                </c:pt>
                <c:pt idx="59">
                  <c:v>11340.86071758068</c:v>
                </c:pt>
                <c:pt idx="60">
                  <c:v>11810.80365958955</c:v>
                </c:pt>
                <c:pt idx="61">
                  <c:v>12280.74660159842</c:v>
                </c:pt>
                <c:pt idx="62">
                  <c:v>12750.68954360729</c:v>
                </c:pt>
                <c:pt idx="63">
                  <c:v>13220.63248561616</c:v>
                </c:pt>
                <c:pt idx="64">
                  <c:v>13690.57542762503</c:v>
                </c:pt>
                <c:pt idx="65">
                  <c:v>14160.5183696339</c:v>
                </c:pt>
                <c:pt idx="66">
                  <c:v>14630.46131164276</c:v>
                </c:pt>
                <c:pt idx="67">
                  <c:v>15100.40425365164</c:v>
                </c:pt>
                <c:pt idx="68">
                  <c:v>15570.3471956605</c:v>
                </c:pt>
                <c:pt idx="69">
                  <c:v>16040.29013766937</c:v>
                </c:pt>
                <c:pt idx="70">
                  <c:v>16510.23307967824</c:v>
                </c:pt>
                <c:pt idx="71">
                  <c:v>16980.17602168711</c:v>
                </c:pt>
                <c:pt idx="72">
                  <c:v>17450.11896369598</c:v>
                </c:pt>
                <c:pt idx="73">
                  <c:v>17920.06190570485</c:v>
                </c:pt>
                <c:pt idx="74">
                  <c:v>18390.00484771372</c:v>
                </c:pt>
                <c:pt idx="75">
                  <c:v>18859.94778972258</c:v>
                </c:pt>
                <c:pt idx="76">
                  <c:v>19329.89073173146</c:v>
                </c:pt>
                <c:pt idx="77">
                  <c:v>19799.83367374033</c:v>
                </c:pt>
                <c:pt idx="78">
                  <c:v>20269.7766157492</c:v>
                </c:pt>
                <c:pt idx="79">
                  <c:v>20739.71955775807</c:v>
                </c:pt>
                <c:pt idx="80">
                  <c:v>21209.66249976694</c:v>
                </c:pt>
                <c:pt idx="81">
                  <c:v>21679.60544177581</c:v>
                </c:pt>
                <c:pt idx="82">
                  <c:v>22326.40318501758</c:v>
                </c:pt>
                <c:pt idx="83">
                  <c:v>23032.15252867034</c:v>
                </c:pt>
                <c:pt idx="84">
                  <c:v>23737.90187232309</c:v>
                </c:pt>
                <c:pt idx="85">
                  <c:v>24443.65121597584</c:v>
                </c:pt>
                <c:pt idx="86">
                  <c:v>25149.40055962859</c:v>
                </c:pt>
                <c:pt idx="87">
                  <c:v>25855.14990328134</c:v>
                </c:pt>
                <c:pt idx="88">
                  <c:v>26560.89924693409</c:v>
                </c:pt>
                <c:pt idx="89">
                  <c:v>27266.64859058684</c:v>
                </c:pt>
                <c:pt idx="90">
                  <c:v>27972.39793423959</c:v>
                </c:pt>
                <c:pt idx="91">
                  <c:v>28678.14727789235</c:v>
                </c:pt>
                <c:pt idx="92">
                  <c:v>29383.8966215451</c:v>
                </c:pt>
                <c:pt idx="93">
                  <c:v>30089.64596519785</c:v>
                </c:pt>
                <c:pt idx="94">
                  <c:v>30795.3953088506</c:v>
                </c:pt>
                <c:pt idx="95">
                  <c:v>31324.70731659016</c:v>
                </c:pt>
                <c:pt idx="96">
                  <c:v>31324.70731659016</c:v>
                </c:pt>
                <c:pt idx="97">
                  <c:v>31324.70731659016</c:v>
                </c:pt>
                <c:pt idx="98">
                  <c:v>31324.70731659016</c:v>
                </c:pt>
                <c:pt idx="99">
                  <c:v>31324.70731659016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0.830192120224816</c:v>
                </c:pt>
                <c:pt idx="21">
                  <c:v>4.150960601124082</c:v>
                </c:pt>
                <c:pt idx="22">
                  <c:v>7.471729082023347</c:v>
                </c:pt>
                <c:pt idx="23">
                  <c:v>10.79249756292261</c:v>
                </c:pt>
                <c:pt idx="24">
                  <c:v>14.11326604382188</c:v>
                </c:pt>
                <c:pt idx="25">
                  <c:v>17.43403452472115</c:v>
                </c:pt>
                <c:pt idx="26">
                  <c:v>20.75480300562041</c:v>
                </c:pt>
                <c:pt idx="27">
                  <c:v>24.07557148651968</c:v>
                </c:pt>
                <c:pt idx="28">
                  <c:v>27.39633996741894</c:v>
                </c:pt>
                <c:pt idx="29">
                  <c:v>30.71710844831821</c:v>
                </c:pt>
                <c:pt idx="30">
                  <c:v>34.03787692921748</c:v>
                </c:pt>
                <c:pt idx="31">
                  <c:v>37.35864541011674</c:v>
                </c:pt>
                <c:pt idx="32">
                  <c:v>40.679413891016</c:v>
                </c:pt>
                <c:pt idx="33">
                  <c:v>44.00018237191527</c:v>
                </c:pt>
                <c:pt idx="34">
                  <c:v>47.32095085281454</c:v>
                </c:pt>
                <c:pt idx="35">
                  <c:v>50.6417193337138</c:v>
                </c:pt>
                <c:pt idx="36">
                  <c:v>53.96248781461307</c:v>
                </c:pt>
                <c:pt idx="37">
                  <c:v>57.28325629551234</c:v>
                </c:pt>
                <c:pt idx="38">
                  <c:v>60.60402477641161</c:v>
                </c:pt>
                <c:pt idx="39">
                  <c:v>63.92479325731087</c:v>
                </c:pt>
                <c:pt idx="40">
                  <c:v>67.24556173821012</c:v>
                </c:pt>
                <c:pt idx="41">
                  <c:v>70.5663302191094</c:v>
                </c:pt>
                <c:pt idx="42">
                  <c:v>73.88709870000866</c:v>
                </c:pt>
                <c:pt idx="43">
                  <c:v>77.20786718090792</c:v>
                </c:pt>
                <c:pt idx="44">
                  <c:v>80.5286356618072</c:v>
                </c:pt>
                <c:pt idx="45">
                  <c:v>83.84940414270646</c:v>
                </c:pt>
                <c:pt idx="46">
                  <c:v>87.17017262360574</c:v>
                </c:pt>
                <c:pt idx="47">
                  <c:v>90.490941104505</c:v>
                </c:pt>
                <c:pt idx="48">
                  <c:v>93.81170958540425</c:v>
                </c:pt>
                <c:pt idx="49">
                  <c:v>97.13247806630353</c:v>
                </c:pt>
                <c:pt idx="50">
                  <c:v>100.4532465472028</c:v>
                </c:pt>
                <c:pt idx="51">
                  <c:v>103.7740150281021</c:v>
                </c:pt>
                <c:pt idx="52">
                  <c:v>107.0947835090013</c:v>
                </c:pt>
                <c:pt idx="53">
                  <c:v>110.4155519899006</c:v>
                </c:pt>
                <c:pt idx="54">
                  <c:v>113.7363204707999</c:v>
                </c:pt>
                <c:pt idx="55">
                  <c:v>117.0570889516991</c:v>
                </c:pt>
                <c:pt idx="56">
                  <c:v>120.3778574325984</c:v>
                </c:pt>
                <c:pt idx="57">
                  <c:v>120.125319821194</c:v>
                </c:pt>
                <c:pt idx="58">
                  <c:v>118.6816801790218</c:v>
                </c:pt>
                <c:pt idx="59">
                  <c:v>117.2380405368496</c:v>
                </c:pt>
                <c:pt idx="60">
                  <c:v>115.7944008946774</c:v>
                </c:pt>
                <c:pt idx="61">
                  <c:v>114.3507612525052</c:v>
                </c:pt>
                <c:pt idx="62">
                  <c:v>112.907121610333</c:v>
                </c:pt>
                <c:pt idx="63">
                  <c:v>111.4634819681608</c:v>
                </c:pt>
                <c:pt idx="64">
                  <c:v>110.0198423259886</c:v>
                </c:pt>
                <c:pt idx="65">
                  <c:v>108.5762026838164</c:v>
                </c:pt>
                <c:pt idx="66">
                  <c:v>107.1325630416442</c:v>
                </c:pt>
                <c:pt idx="67">
                  <c:v>105.688923399472</c:v>
                </c:pt>
                <c:pt idx="68">
                  <c:v>104.2452837572998</c:v>
                </c:pt>
                <c:pt idx="69">
                  <c:v>102.8016441151276</c:v>
                </c:pt>
                <c:pt idx="70">
                  <c:v>101.3580044729554</c:v>
                </c:pt>
                <c:pt idx="71">
                  <c:v>99.91436483078318</c:v>
                </c:pt>
                <c:pt idx="72">
                  <c:v>98.47072518861098</c:v>
                </c:pt>
                <c:pt idx="73">
                  <c:v>97.02708554643877</c:v>
                </c:pt>
                <c:pt idx="74">
                  <c:v>95.58344590426657</c:v>
                </c:pt>
                <c:pt idx="75">
                  <c:v>94.13980626209437</c:v>
                </c:pt>
                <c:pt idx="76">
                  <c:v>92.69616661992216</c:v>
                </c:pt>
                <c:pt idx="77">
                  <c:v>91.25252697774997</c:v>
                </c:pt>
                <c:pt idx="78">
                  <c:v>89.80888733557776</c:v>
                </c:pt>
                <c:pt idx="79">
                  <c:v>88.36524769340555</c:v>
                </c:pt>
                <c:pt idx="80">
                  <c:v>86.92160805123334</c:v>
                </c:pt>
                <c:pt idx="81">
                  <c:v>85.47796840906113</c:v>
                </c:pt>
                <c:pt idx="82">
                  <c:v>80.38833302637819</c:v>
                </c:pt>
                <c:pt idx="83">
                  <c:v>74.08336573019167</c:v>
                </c:pt>
                <c:pt idx="84">
                  <c:v>67.77839843400514</c:v>
                </c:pt>
                <c:pt idx="85">
                  <c:v>61.47343113781862</c:v>
                </c:pt>
                <c:pt idx="86">
                  <c:v>55.1684638416321</c:v>
                </c:pt>
                <c:pt idx="87">
                  <c:v>48.86349654544557</c:v>
                </c:pt>
                <c:pt idx="88">
                  <c:v>42.55852924925904</c:v>
                </c:pt>
                <c:pt idx="89">
                  <c:v>36.25356195307252</c:v>
                </c:pt>
                <c:pt idx="90">
                  <c:v>29.94859465688599</c:v>
                </c:pt>
                <c:pt idx="91">
                  <c:v>23.64362736069947</c:v>
                </c:pt>
                <c:pt idx="92">
                  <c:v>17.33866006451294</c:v>
                </c:pt>
                <c:pt idx="93">
                  <c:v>11.03369276832642</c:v>
                </c:pt>
                <c:pt idx="94">
                  <c:v>4.728725472139885</c:v>
                </c:pt>
                <c:pt idx="95">
                  <c:v>13.04749999999997</c:v>
                </c:pt>
                <c:pt idx="96">
                  <c:v>65.23749999999985</c:v>
                </c:pt>
                <c:pt idx="97">
                  <c:v>117.4274999999997</c:v>
                </c:pt>
                <c:pt idx="98">
                  <c:v>169.6174999999996</c:v>
                </c:pt>
                <c:pt idx="99">
                  <c:v>221.8074999999995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  <c:pt idx="10">
                  <c:v>5317.155575988115</c:v>
                </c:pt>
                <c:pt idx="11">
                  <c:v>5317.155575988115</c:v>
                </c:pt>
                <c:pt idx="12">
                  <c:v>5317.155575988115</c:v>
                </c:pt>
                <c:pt idx="13">
                  <c:v>5317.155575988115</c:v>
                </c:pt>
                <c:pt idx="14">
                  <c:v>5317.155575988115</c:v>
                </c:pt>
                <c:pt idx="15">
                  <c:v>5317.155575988115</c:v>
                </c:pt>
                <c:pt idx="16">
                  <c:v>5317.155575988115</c:v>
                </c:pt>
                <c:pt idx="17">
                  <c:v>5317.155575988115</c:v>
                </c:pt>
                <c:pt idx="18">
                  <c:v>5317.155575988115</c:v>
                </c:pt>
                <c:pt idx="19">
                  <c:v>5317.155575988115</c:v>
                </c:pt>
                <c:pt idx="20">
                  <c:v>5297.704978343169</c:v>
                </c:pt>
                <c:pt idx="21">
                  <c:v>5219.902587763388</c:v>
                </c:pt>
                <c:pt idx="22">
                  <c:v>5142.100197183607</c:v>
                </c:pt>
                <c:pt idx="23">
                  <c:v>5064.297806603826</c:v>
                </c:pt>
                <c:pt idx="24">
                  <c:v>4986.495416024047</c:v>
                </c:pt>
                <c:pt idx="25">
                  <c:v>4908.693025444266</c:v>
                </c:pt>
                <c:pt idx="26">
                  <c:v>4830.890634864485</c:v>
                </c:pt>
                <c:pt idx="27">
                  <c:v>4753.088244284704</c:v>
                </c:pt>
                <c:pt idx="28">
                  <c:v>4675.285853704923</c:v>
                </c:pt>
                <c:pt idx="29">
                  <c:v>4597.483463125142</c:v>
                </c:pt>
                <c:pt idx="30">
                  <c:v>4519.681072545361</c:v>
                </c:pt>
                <c:pt idx="31">
                  <c:v>4441.87868196558</c:v>
                </c:pt>
                <c:pt idx="32">
                  <c:v>4364.0762913858</c:v>
                </c:pt>
                <c:pt idx="33">
                  <c:v>4286.273900806019</c:v>
                </c:pt>
                <c:pt idx="34">
                  <c:v>4208.471510226238</c:v>
                </c:pt>
                <c:pt idx="35">
                  <c:v>4130.669119646457</c:v>
                </c:pt>
                <c:pt idx="36">
                  <c:v>4052.866729066676</c:v>
                </c:pt>
                <c:pt idx="37">
                  <c:v>3975.064338486895</c:v>
                </c:pt>
                <c:pt idx="38">
                  <c:v>3897.261947907115</c:v>
                </c:pt>
                <c:pt idx="39">
                  <c:v>3819.459557327334</c:v>
                </c:pt>
                <c:pt idx="40">
                  <c:v>3741.657166747553</c:v>
                </c:pt>
                <c:pt idx="41">
                  <c:v>3663.854776167772</c:v>
                </c:pt>
                <c:pt idx="42">
                  <c:v>3586.052385587992</c:v>
                </c:pt>
                <c:pt idx="43">
                  <c:v>3508.249995008211</c:v>
                </c:pt>
                <c:pt idx="44">
                  <c:v>3430.44760442843</c:v>
                </c:pt>
                <c:pt idx="45">
                  <c:v>3352.64521384865</c:v>
                </c:pt>
                <c:pt idx="46">
                  <c:v>3274.842823268868</c:v>
                </c:pt>
                <c:pt idx="47">
                  <c:v>3197.040432689088</c:v>
                </c:pt>
                <c:pt idx="48">
                  <c:v>3119.238042109307</c:v>
                </c:pt>
                <c:pt idx="49">
                  <c:v>3041.435651529526</c:v>
                </c:pt>
                <c:pt idx="50">
                  <c:v>2963.633260949745</c:v>
                </c:pt>
                <c:pt idx="51">
                  <c:v>2885.830870369964</c:v>
                </c:pt>
                <c:pt idx="52">
                  <c:v>2808.028479790184</c:v>
                </c:pt>
                <c:pt idx="53">
                  <c:v>2730.226089210403</c:v>
                </c:pt>
                <c:pt idx="54">
                  <c:v>2652.423698630622</c:v>
                </c:pt>
                <c:pt idx="55">
                  <c:v>2574.621308050841</c:v>
                </c:pt>
                <c:pt idx="56">
                  <c:v>2496.81891747106</c:v>
                </c:pt>
                <c:pt idx="57">
                  <c:v>4191.81501071505</c:v>
                </c:pt>
                <c:pt idx="58">
                  <c:v>6477.743931900299</c:v>
                </c:pt>
                <c:pt idx="59">
                  <c:v>8763.672853085547</c:v>
                </c:pt>
                <c:pt idx="60">
                  <c:v>11049.6017742708</c:v>
                </c:pt>
                <c:pt idx="61">
                  <c:v>13335.53069545604</c:v>
                </c:pt>
                <c:pt idx="62">
                  <c:v>15621.45961664129</c:v>
                </c:pt>
                <c:pt idx="63">
                  <c:v>17907.38853782654</c:v>
                </c:pt>
                <c:pt idx="64">
                  <c:v>20193.31745901179</c:v>
                </c:pt>
                <c:pt idx="65">
                  <c:v>22479.24638019703</c:v>
                </c:pt>
                <c:pt idx="66">
                  <c:v>24765.17530138228</c:v>
                </c:pt>
                <c:pt idx="67">
                  <c:v>27051.10422256753</c:v>
                </c:pt>
                <c:pt idx="68">
                  <c:v>29337.03314375277</c:v>
                </c:pt>
                <c:pt idx="69">
                  <c:v>31622.96206493802</c:v>
                </c:pt>
                <c:pt idx="70">
                  <c:v>33908.89098612328</c:v>
                </c:pt>
                <c:pt idx="71">
                  <c:v>36194.81990730851</c:v>
                </c:pt>
                <c:pt idx="72">
                  <c:v>38480.74882849376</c:v>
                </c:pt>
                <c:pt idx="73">
                  <c:v>40766.67774967902</c:v>
                </c:pt>
                <c:pt idx="74">
                  <c:v>43052.60667086426</c:v>
                </c:pt>
                <c:pt idx="75">
                  <c:v>45338.53559204951</c:v>
                </c:pt>
                <c:pt idx="76">
                  <c:v>47624.46451323475</c:v>
                </c:pt>
                <c:pt idx="77">
                  <c:v>49910.39343442001</c:v>
                </c:pt>
                <c:pt idx="78">
                  <c:v>52196.32235560525</c:v>
                </c:pt>
                <c:pt idx="79">
                  <c:v>54482.2512767905</c:v>
                </c:pt>
                <c:pt idx="80">
                  <c:v>56768.18019797575</c:v>
                </c:pt>
                <c:pt idx="81">
                  <c:v>59054.109119161</c:v>
                </c:pt>
                <c:pt idx="82">
                  <c:v>56313.05849670968</c:v>
                </c:pt>
                <c:pt idx="83">
                  <c:v>51896.3480263795</c:v>
                </c:pt>
                <c:pt idx="84">
                  <c:v>47479.63755604934</c:v>
                </c:pt>
                <c:pt idx="85">
                  <c:v>43062.92708571917</c:v>
                </c:pt>
                <c:pt idx="86">
                  <c:v>38646.216615389</c:v>
                </c:pt>
                <c:pt idx="87">
                  <c:v>34229.50614505882</c:v>
                </c:pt>
                <c:pt idx="88">
                  <c:v>29812.79567472865</c:v>
                </c:pt>
                <c:pt idx="89">
                  <c:v>25396.08520439849</c:v>
                </c:pt>
                <c:pt idx="90">
                  <c:v>20979.37473406831</c:v>
                </c:pt>
                <c:pt idx="91">
                  <c:v>16562.66426373814</c:v>
                </c:pt>
                <c:pt idx="92">
                  <c:v>12145.95379340797</c:v>
                </c:pt>
                <c:pt idx="93">
                  <c:v>7729.243323077796</c:v>
                </c:pt>
                <c:pt idx="94">
                  <c:v>3312.53285274763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846.2896432571558</c:v>
                </c:pt>
                <c:pt idx="58">
                  <c:v>1974.675834266697</c:v>
                </c:pt>
                <c:pt idx="59">
                  <c:v>3103.062025276238</c:v>
                </c:pt>
                <c:pt idx="60">
                  <c:v>4231.44821628578</c:v>
                </c:pt>
                <c:pt idx="61">
                  <c:v>5359.83440729532</c:v>
                </c:pt>
                <c:pt idx="62">
                  <c:v>6488.220598304862</c:v>
                </c:pt>
                <c:pt idx="63">
                  <c:v>7616.606789314403</c:v>
                </c:pt>
                <c:pt idx="64">
                  <c:v>8744.992980323943</c:v>
                </c:pt>
                <c:pt idx="65">
                  <c:v>9873.379171333485</c:v>
                </c:pt>
                <c:pt idx="66">
                  <c:v>11001.76536234303</c:v>
                </c:pt>
                <c:pt idx="67">
                  <c:v>12130.15155335257</c:v>
                </c:pt>
                <c:pt idx="68">
                  <c:v>13258.53774436211</c:v>
                </c:pt>
                <c:pt idx="69">
                  <c:v>14386.92393537165</c:v>
                </c:pt>
                <c:pt idx="70">
                  <c:v>15515.31012638119</c:v>
                </c:pt>
                <c:pt idx="71">
                  <c:v>16643.69631739073</c:v>
                </c:pt>
                <c:pt idx="72">
                  <c:v>17772.08250840027</c:v>
                </c:pt>
                <c:pt idx="73">
                  <c:v>18900.46869940981</c:v>
                </c:pt>
                <c:pt idx="74">
                  <c:v>20028.85489041936</c:v>
                </c:pt>
                <c:pt idx="75">
                  <c:v>21157.2410814289</c:v>
                </c:pt>
                <c:pt idx="76">
                  <c:v>22285.62727243844</c:v>
                </c:pt>
                <c:pt idx="77">
                  <c:v>23414.01346344798</c:v>
                </c:pt>
                <c:pt idx="78">
                  <c:v>24542.39965445752</c:v>
                </c:pt>
                <c:pt idx="79">
                  <c:v>25670.78584546706</c:v>
                </c:pt>
                <c:pt idx="80">
                  <c:v>26799.1720364766</c:v>
                </c:pt>
                <c:pt idx="81">
                  <c:v>27927.55822748614</c:v>
                </c:pt>
                <c:pt idx="82">
                  <c:v>35220.71052593852</c:v>
                </c:pt>
                <c:pt idx="83">
                  <c:v>44568.78486020517</c:v>
                </c:pt>
                <c:pt idx="84">
                  <c:v>53916.85919447182</c:v>
                </c:pt>
                <c:pt idx="85">
                  <c:v>63264.93352873849</c:v>
                </c:pt>
                <c:pt idx="86">
                  <c:v>72613.00786300514</c:v>
                </c:pt>
                <c:pt idx="87">
                  <c:v>81961.0821972718</c:v>
                </c:pt>
                <c:pt idx="88">
                  <c:v>91309.15653153845</c:v>
                </c:pt>
                <c:pt idx="89">
                  <c:v>100657.2308658051</c:v>
                </c:pt>
                <c:pt idx="90">
                  <c:v>110005.3052000718</c:v>
                </c:pt>
                <c:pt idx="91">
                  <c:v>119353.3795343384</c:v>
                </c:pt>
                <c:pt idx="92">
                  <c:v>128701.4538686051</c:v>
                </c:pt>
                <c:pt idx="93">
                  <c:v>138049.5282028717</c:v>
                </c:pt>
                <c:pt idx="94">
                  <c:v>147397.6025371384</c:v>
                </c:pt>
                <c:pt idx="95">
                  <c:v>155076.5832878384</c:v>
                </c:pt>
                <c:pt idx="96">
                  <c:v>157748.2832878384</c:v>
                </c:pt>
                <c:pt idx="97">
                  <c:v>160419.9832878384</c:v>
                </c:pt>
                <c:pt idx="98">
                  <c:v>163091.6832878384</c:v>
                </c:pt>
                <c:pt idx="99">
                  <c:v>165763.3832878384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207.3825</c:v>
                </c:pt>
                <c:pt idx="96">
                  <c:v>1036.9125</c:v>
                </c:pt>
                <c:pt idx="97">
                  <c:v>1866.4425</c:v>
                </c:pt>
                <c:pt idx="98">
                  <c:v>2695.9725</c:v>
                </c:pt>
                <c:pt idx="99">
                  <c:v>3525.5025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  <c:pt idx="10">
                  <c:v>1575.015620551702</c:v>
                </c:pt>
                <c:pt idx="11">
                  <c:v>1575.015620551702</c:v>
                </c:pt>
                <c:pt idx="12">
                  <c:v>1575.015620551702</c:v>
                </c:pt>
                <c:pt idx="13">
                  <c:v>1575.015620551702</c:v>
                </c:pt>
                <c:pt idx="14">
                  <c:v>1575.015620551702</c:v>
                </c:pt>
                <c:pt idx="15">
                  <c:v>1575.015620551702</c:v>
                </c:pt>
                <c:pt idx="16">
                  <c:v>1575.015620551702</c:v>
                </c:pt>
                <c:pt idx="17">
                  <c:v>1575.015620551702</c:v>
                </c:pt>
                <c:pt idx="18">
                  <c:v>1575.015620551702</c:v>
                </c:pt>
                <c:pt idx="19">
                  <c:v>1575.015620551702</c:v>
                </c:pt>
                <c:pt idx="20">
                  <c:v>1572.093930616318</c:v>
                </c:pt>
                <c:pt idx="21">
                  <c:v>1560.407170874781</c:v>
                </c:pt>
                <c:pt idx="22">
                  <c:v>1548.720411133245</c:v>
                </c:pt>
                <c:pt idx="23">
                  <c:v>1537.033651391708</c:v>
                </c:pt>
                <c:pt idx="24">
                  <c:v>1525.346891650171</c:v>
                </c:pt>
                <c:pt idx="25">
                  <c:v>1513.660131908635</c:v>
                </c:pt>
                <c:pt idx="26">
                  <c:v>1501.973372167098</c:v>
                </c:pt>
                <c:pt idx="27">
                  <c:v>1490.286612425562</c:v>
                </c:pt>
                <c:pt idx="28">
                  <c:v>1478.599852684025</c:v>
                </c:pt>
                <c:pt idx="29">
                  <c:v>1466.913092942488</c:v>
                </c:pt>
                <c:pt idx="30">
                  <c:v>1455.226333200952</c:v>
                </c:pt>
                <c:pt idx="31">
                  <c:v>1443.539573459415</c:v>
                </c:pt>
                <c:pt idx="32">
                  <c:v>1431.852813717878</c:v>
                </c:pt>
                <c:pt idx="33">
                  <c:v>1420.166053976342</c:v>
                </c:pt>
                <c:pt idx="34">
                  <c:v>1408.479294234805</c:v>
                </c:pt>
                <c:pt idx="35">
                  <c:v>1396.792534493269</c:v>
                </c:pt>
                <c:pt idx="36">
                  <c:v>1385.105774751732</c:v>
                </c:pt>
                <c:pt idx="37">
                  <c:v>1373.419015010196</c:v>
                </c:pt>
                <c:pt idx="38">
                  <c:v>1361.732255268659</c:v>
                </c:pt>
                <c:pt idx="39">
                  <c:v>1350.045495527122</c:v>
                </c:pt>
                <c:pt idx="40">
                  <c:v>1338.358735785586</c:v>
                </c:pt>
                <c:pt idx="41">
                  <c:v>1326.671976044049</c:v>
                </c:pt>
                <c:pt idx="42">
                  <c:v>1314.985216302513</c:v>
                </c:pt>
                <c:pt idx="43">
                  <c:v>1303.298456560976</c:v>
                </c:pt>
                <c:pt idx="44">
                  <c:v>1291.611696819439</c:v>
                </c:pt>
                <c:pt idx="45">
                  <c:v>1279.924937077903</c:v>
                </c:pt>
                <c:pt idx="46">
                  <c:v>1268.238177336366</c:v>
                </c:pt>
                <c:pt idx="47">
                  <c:v>1256.55141759483</c:v>
                </c:pt>
                <c:pt idx="48">
                  <c:v>1244.864657853293</c:v>
                </c:pt>
                <c:pt idx="49">
                  <c:v>1233.177898111756</c:v>
                </c:pt>
                <c:pt idx="50">
                  <c:v>1221.49113837022</c:v>
                </c:pt>
                <c:pt idx="51">
                  <c:v>1209.804378628683</c:v>
                </c:pt>
                <c:pt idx="52">
                  <c:v>1198.117618887147</c:v>
                </c:pt>
                <c:pt idx="53">
                  <c:v>1186.43085914561</c:v>
                </c:pt>
                <c:pt idx="54">
                  <c:v>1174.744099404073</c:v>
                </c:pt>
                <c:pt idx="55">
                  <c:v>1163.057339662537</c:v>
                </c:pt>
                <c:pt idx="56">
                  <c:v>1151.370579921</c:v>
                </c:pt>
                <c:pt idx="57">
                  <c:v>1113.995423286048</c:v>
                </c:pt>
                <c:pt idx="58">
                  <c:v>1068.057467686623</c:v>
                </c:pt>
                <c:pt idx="59">
                  <c:v>1022.119512087198</c:v>
                </c:pt>
                <c:pt idx="60">
                  <c:v>976.1815564877736</c:v>
                </c:pt>
                <c:pt idx="61">
                  <c:v>930.243600888349</c:v>
                </c:pt>
                <c:pt idx="62">
                  <c:v>884.3056452889243</c:v>
                </c:pt>
                <c:pt idx="63">
                  <c:v>838.3676896894997</c:v>
                </c:pt>
                <c:pt idx="64">
                  <c:v>792.429734090075</c:v>
                </c:pt>
                <c:pt idx="65">
                  <c:v>746.4917784906504</c:v>
                </c:pt>
                <c:pt idx="66">
                  <c:v>700.5538228912258</c:v>
                </c:pt>
                <c:pt idx="67">
                  <c:v>654.6158672918011</c:v>
                </c:pt>
                <c:pt idx="68">
                  <c:v>608.6779116923764</c:v>
                </c:pt>
                <c:pt idx="69">
                  <c:v>562.7399560929518</c:v>
                </c:pt>
                <c:pt idx="70">
                  <c:v>516.8020004935272</c:v>
                </c:pt>
                <c:pt idx="71">
                  <c:v>470.8640448941025</c:v>
                </c:pt>
                <c:pt idx="72">
                  <c:v>424.9260892946779</c:v>
                </c:pt>
                <c:pt idx="73">
                  <c:v>378.9881336952533</c:v>
                </c:pt>
                <c:pt idx="74">
                  <c:v>333.0501780958286</c:v>
                </c:pt>
                <c:pt idx="75">
                  <c:v>287.112222496404</c:v>
                </c:pt>
                <c:pt idx="76">
                  <c:v>241.1742668969794</c:v>
                </c:pt>
                <c:pt idx="77">
                  <c:v>195.2363112975547</c:v>
                </c:pt>
                <c:pt idx="78">
                  <c:v>149.2983556981301</c:v>
                </c:pt>
                <c:pt idx="79">
                  <c:v>103.3604000987054</c:v>
                </c:pt>
                <c:pt idx="80">
                  <c:v>57.4224444992808</c:v>
                </c:pt>
                <c:pt idx="81">
                  <c:v>11.48448889985616</c:v>
                </c:pt>
                <c:pt idx="82">
                  <c:v>3386.771572949703</c:v>
                </c:pt>
                <c:pt idx="83">
                  <c:v>7902.467003549307</c:v>
                </c:pt>
                <c:pt idx="84">
                  <c:v>12418.16243414891</c:v>
                </c:pt>
                <c:pt idx="85">
                  <c:v>16933.85786474852</c:v>
                </c:pt>
                <c:pt idx="86">
                  <c:v>21449.55329534812</c:v>
                </c:pt>
                <c:pt idx="87">
                  <c:v>25965.24872594772</c:v>
                </c:pt>
                <c:pt idx="88">
                  <c:v>30480.94415654733</c:v>
                </c:pt>
                <c:pt idx="89">
                  <c:v>34996.63958714692</c:v>
                </c:pt>
                <c:pt idx="90">
                  <c:v>39512.33501774653</c:v>
                </c:pt>
                <c:pt idx="91">
                  <c:v>44028.03044834613</c:v>
                </c:pt>
                <c:pt idx="92">
                  <c:v>48543.72587894574</c:v>
                </c:pt>
                <c:pt idx="93">
                  <c:v>53059.42130954535</c:v>
                </c:pt>
                <c:pt idx="94">
                  <c:v>57575.11674014495</c:v>
                </c:pt>
                <c:pt idx="95">
                  <c:v>62512.76331309466</c:v>
                </c:pt>
                <c:pt idx="96">
                  <c:v>68716.26331309465</c:v>
                </c:pt>
                <c:pt idx="97">
                  <c:v>74919.76331309465</c:v>
                </c:pt>
                <c:pt idx="98">
                  <c:v>81123.26331309465</c:v>
                </c:pt>
                <c:pt idx="99">
                  <c:v>87326.76331309465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  <c:pt idx="10">
                  <c:v>2542.666846672839</c:v>
                </c:pt>
                <c:pt idx="11">
                  <c:v>2542.666846672839</c:v>
                </c:pt>
                <c:pt idx="12">
                  <c:v>2542.666846672839</c:v>
                </c:pt>
                <c:pt idx="13">
                  <c:v>2542.666846672839</c:v>
                </c:pt>
                <c:pt idx="14">
                  <c:v>2542.666846672839</c:v>
                </c:pt>
                <c:pt idx="15">
                  <c:v>2542.666846672839</c:v>
                </c:pt>
                <c:pt idx="16">
                  <c:v>2542.666846672839</c:v>
                </c:pt>
                <c:pt idx="17">
                  <c:v>2542.666846672839</c:v>
                </c:pt>
                <c:pt idx="18">
                  <c:v>2542.666846672839</c:v>
                </c:pt>
                <c:pt idx="19">
                  <c:v>2542.666846672839</c:v>
                </c:pt>
                <c:pt idx="20">
                  <c:v>2543.009121234062</c:v>
                </c:pt>
                <c:pt idx="21">
                  <c:v>2544.378219478955</c:v>
                </c:pt>
                <c:pt idx="22">
                  <c:v>2545.747317723848</c:v>
                </c:pt>
                <c:pt idx="23">
                  <c:v>2547.116415968741</c:v>
                </c:pt>
                <c:pt idx="24">
                  <c:v>2548.485514213633</c:v>
                </c:pt>
                <c:pt idx="25">
                  <c:v>2549.854612458526</c:v>
                </c:pt>
                <c:pt idx="26">
                  <c:v>2551.223710703419</c:v>
                </c:pt>
                <c:pt idx="27">
                  <c:v>2552.592808948312</c:v>
                </c:pt>
                <c:pt idx="28">
                  <c:v>2553.961907193205</c:v>
                </c:pt>
                <c:pt idx="29">
                  <c:v>2555.331005438097</c:v>
                </c:pt>
                <c:pt idx="30">
                  <c:v>2556.70010368299</c:v>
                </c:pt>
                <c:pt idx="31">
                  <c:v>2558.069201927883</c:v>
                </c:pt>
                <c:pt idx="32">
                  <c:v>2559.438300172776</c:v>
                </c:pt>
                <c:pt idx="33">
                  <c:v>2560.807398417669</c:v>
                </c:pt>
                <c:pt idx="34">
                  <c:v>2562.176496662561</c:v>
                </c:pt>
                <c:pt idx="35">
                  <c:v>2563.545594907454</c:v>
                </c:pt>
                <c:pt idx="36">
                  <c:v>2564.914693152347</c:v>
                </c:pt>
                <c:pt idx="37">
                  <c:v>2566.28379139724</c:v>
                </c:pt>
                <c:pt idx="38">
                  <c:v>2567.652889642133</c:v>
                </c:pt>
                <c:pt idx="39">
                  <c:v>2569.021987887026</c:v>
                </c:pt>
                <c:pt idx="40">
                  <c:v>2570.391086131918</c:v>
                </c:pt>
                <c:pt idx="41">
                  <c:v>2571.760184376811</c:v>
                </c:pt>
                <c:pt idx="42">
                  <c:v>2573.129282621704</c:v>
                </c:pt>
                <c:pt idx="43">
                  <c:v>2574.498380866597</c:v>
                </c:pt>
                <c:pt idx="44">
                  <c:v>2575.86747911149</c:v>
                </c:pt>
                <c:pt idx="45">
                  <c:v>2577.236577356382</c:v>
                </c:pt>
                <c:pt idx="46">
                  <c:v>2578.605675601275</c:v>
                </c:pt>
                <c:pt idx="47">
                  <c:v>2579.974773846168</c:v>
                </c:pt>
                <c:pt idx="48">
                  <c:v>2581.343872091061</c:v>
                </c:pt>
                <c:pt idx="49">
                  <c:v>2582.712970335954</c:v>
                </c:pt>
                <c:pt idx="50">
                  <c:v>2584.082068580847</c:v>
                </c:pt>
                <c:pt idx="51">
                  <c:v>2585.45116682574</c:v>
                </c:pt>
                <c:pt idx="52">
                  <c:v>2586.820265070632</c:v>
                </c:pt>
                <c:pt idx="53">
                  <c:v>2588.189363315525</c:v>
                </c:pt>
                <c:pt idx="54">
                  <c:v>2589.558461560418</c:v>
                </c:pt>
                <c:pt idx="55">
                  <c:v>2590.927559805311</c:v>
                </c:pt>
                <c:pt idx="56">
                  <c:v>2592.296658050203</c:v>
                </c:pt>
                <c:pt idx="57">
                  <c:v>2584.081850181907</c:v>
                </c:pt>
                <c:pt idx="58">
                  <c:v>2572.672406942548</c:v>
                </c:pt>
                <c:pt idx="59">
                  <c:v>2561.262963703189</c:v>
                </c:pt>
                <c:pt idx="60">
                  <c:v>2549.85352046383</c:v>
                </c:pt>
                <c:pt idx="61">
                  <c:v>2538.44407722447</c:v>
                </c:pt>
                <c:pt idx="62">
                  <c:v>2527.03463398511</c:v>
                </c:pt>
                <c:pt idx="63">
                  <c:v>2515.625190745751</c:v>
                </c:pt>
                <c:pt idx="64">
                  <c:v>2504.215747506392</c:v>
                </c:pt>
                <c:pt idx="65">
                  <c:v>2492.806304267032</c:v>
                </c:pt>
                <c:pt idx="66">
                  <c:v>2481.396861027673</c:v>
                </c:pt>
                <c:pt idx="67">
                  <c:v>2469.987417788313</c:v>
                </c:pt>
                <c:pt idx="68">
                  <c:v>2458.577974548954</c:v>
                </c:pt>
                <c:pt idx="69">
                  <c:v>2447.168531309595</c:v>
                </c:pt>
                <c:pt idx="70">
                  <c:v>2435.759088070236</c:v>
                </c:pt>
                <c:pt idx="71">
                  <c:v>2424.349644830876</c:v>
                </c:pt>
                <c:pt idx="72">
                  <c:v>2412.940201591517</c:v>
                </c:pt>
                <c:pt idx="73">
                  <c:v>2401.530758352157</c:v>
                </c:pt>
                <c:pt idx="74">
                  <c:v>2390.121315112798</c:v>
                </c:pt>
                <c:pt idx="75">
                  <c:v>2378.711871873438</c:v>
                </c:pt>
                <c:pt idx="76">
                  <c:v>2367.30242863408</c:v>
                </c:pt>
                <c:pt idx="77">
                  <c:v>2355.89298539472</c:v>
                </c:pt>
                <c:pt idx="78">
                  <c:v>2344.48354215536</c:v>
                </c:pt>
                <c:pt idx="79">
                  <c:v>2333.074098916001</c:v>
                </c:pt>
                <c:pt idx="80">
                  <c:v>2321.664655676642</c:v>
                </c:pt>
                <c:pt idx="81">
                  <c:v>2310.255212437282</c:v>
                </c:pt>
                <c:pt idx="82">
                  <c:v>2201.65581447483</c:v>
                </c:pt>
                <c:pt idx="83">
                  <c:v>2060.659764938013</c:v>
                </c:pt>
                <c:pt idx="84">
                  <c:v>1919.663715401196</c:v>
                </c:pt>
                <c:pt idx="85">
                  <c:v>1778.667665864379</c:v>
                </c:pt>
                <c:pt idx="86">
                  <c:v>1637.671616327562</c:v>
                </c:pt>
                <c:pt idx="87">
                  <c:v>1496.675566790745</c:v>
                </c:pt>
                <c:pt idx="88">
                  <c:v>1355.679517253928</c:v>
                </c:pt>
                <c:pt idx="89">
                  <c:v>1214.68346771711</c:v>
                </c:pt>
                <c:pt idx="90">
                  <c:v>1073.687418180293</c:v>
                </c:pt>
                <c:pt idx="91">
                  <c:v>932.6913686434763</c:v>
                </c:pt>
                <c:pt idx="92">
                  <c:v>791.6953191066595</c:v>
                </c:pt>
                <c:pt idx="93">
                  <c:v>650.6992695698424</c:v>
                </c:pt>
                <c:pt idx="94">
                  <c:v>509.7032200330254</c:v>
                </c:pt>
                <c:pt idx="95">
                  <c:v>407.6386828804129</c:v>
                </c:pt>
                <c:pt idx="96">
                  <c:v>422.368682880413</c:v>
                </c:pt>
                <c:pt idx="97">
                  <c:v>437.0986828804129</c:v>
                </c:pt>
                <c:pt idx="98">
                  <c:v>451.8286828804129</c:v>
                </c:pt>
                <c:pt idx="99">
                  <c:v>466.558682880413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23585.85891776174</c:v>
                </c:pt>
                <c:pt idx="1">
                  <c:v>23585.85891776174</c:v>
                </c:pt>
                <c:pt idx="2">
                  <c:v>23585.85891776174</c:v>
                </c:pt>
                <c:pt idx="3">
                  <c:v>23585.85891776174</c:v>
                </c:pt>
                <c:pt idx="4">
                  <c:v>23585.85891776174</c:v>
                </c:pt>
                <c:pt idx="5">
                  <c:v>23585.85891776174</c:v>
                </c:pt>
                <c:pt idx="6">
                  <c:v>23585.85891776174</c:v>
                </c:pt>
                <c:pt idx="7">
                  <c:v>23585.85891776174</c:v>
                </c:pt>
                <c:pt idx="8">
                  <c:v>23585.85891776174</c:v>
                </c:pt>
                <c:pt idx="9">
                  <c:v>23585.85891776174</c:v>
                </c:pt>
                <c:pt idx="10">
                  <c:v>23585.85891776174</c:v>
                </c:pt>
                <c:pt idx="11">
                  <c:v>23585.85891776174</c:v>
                </c:pt>
                <c:pt idx="12">
                  <c:v>23585.85891776174</c:v>
                </c:pt>
                <c:pt idx="13">
                  <c:v>23585.85891776174</c:v>
                </c:pt>
                <c:pt idx="14">
                  <c:v>23585.85891776174</c:v>
                </c:pt>
                <c:pt idx="15">
                  <c:v>23585.85891776174</c:v>
                </c:pt>
                <c:pt idx="16">
                  <c:v>23585.85891776174</c:v>
                </c:pt>
                <c:pt idx="17">
                  <c:v>23585.85891776174</c:v>
                </c:pt>
                <c:pt idx="18">
                  <c:v>23585.85891776174</c:v>
                </c:pt>
                <c:pt idx="19">
                  <c:v>23585.85891776174</c:v>
                </c:pt>
                <c:pt idx="20">
                  <c:v>23638.49990430907</c:v>
                </c:pt>
                <c:pt idx="21">
                  <c:v>23849.06385049841</c:v>
                </c:pt>
                <c:pt idx="22">
                  <c:v>24059.62779668775</c:v>
                </c:pt>
                <c:pt idx="23">
                  <c:v>24270.19174287709</c:v>
                </c:pt>
                <c:pt idx="24">
                  <c:v>24480.75568906643</c:v>
                </c:pt>
                <c:pt idx="25">
                  <c:v>24691.31963525577</c:v>
                </c:pt>
                <c:pt idx="26">
                  <c:v>24901.8835814451</c:v>
                </c:pt>
                <c:pt idx="27">
                  <c:v>25112.44752763445</c:v>
                </c:pt>
                <c:pt idx="28">
                  <c:v>25323.01147382378</c:v>
                </c:pt>
                <c:pt idx="29">
                  <c:v>25533.57542001312</c:v>
                </c:pt>
                <c:pt idx="30">
                  <c:v>25744.13936620246</c:v>
                </c:pt>
                <c:pt idx="31">
                  <c:v>25954.7033123918</c:v>
                </c:pt>
                <c:pt idx="32">
                  <c:v>26165.26725858114</c:v>
                </c:pt>
                <c:pt idx="33">
                  <c:v>26375.83120477048</c:v>
                </c:pt>
                <c:pt idx="34">
                  <c:v>26586.39515095982</c:v>
                </c:pt>
                <c:pt idx="35">
                  <c:v>26796.95909714916</c:v>
                </c:pt>
                <c:pt idx="36">
                  <c:v>27007.5230433385</c:v>
                </c:pt>
                <c:pt idx="37">
                  <c:v>27218.08698952784</c:v>
                </c:pt>
                <c:pt idx="38">
                  <c:v>27428.65093571717</c:v>
                </c:pt>
                <c:pt idx="39">
                  <c:v>27639.21488190652</c:v>
                </c:pt>
                <c:pt idx="40">
                  <c:v>27849.77882809586</c:v>
                </c:pt>
                <c:pt idx="41">
                  <c:v>28060.34277428519</c:v>
                </c:pt>
                <c:pt idx="42">
                  <c:v>28270.90672047453</c:v>
                </c:pt>
                <c:pt idx="43">
                  <c:v>28481.47066666387</c:v>
                </c:pt>
                <c:pt idx="44">
                  <c:v>28692.03461285321</c:v>
                </c:pt>
                <c:pt idx="45">
                  <c:v>28902.59855904255</c:v>
                </c:pt>
                <c:pt idx="46">
                  <c:v>29113.16250523189</c:v>
                </c:pt>
                <c:pt idx="47">
                  <c:v>29323.72645142123</c:v>
                </c:pt>
                <c:pt idx="48">
                  <c:v>29534.29039761057</c:v>
                </c:pt>
                <c:pt idx="49">
                  <c:v>29744.85434379991</c:v>
                </c:pt>
                <c:pt idx="50">
                  <c:v>29955.41828998925</c:v>
                </c:pt>
                <c:pt idx="51">
                  <c:v>30165.98223617858</c:v>
                </c:pt>
                <c:pt idx="52">
                  <c:v>30376.54618236793</c:v>
                </c:pt>
                <c:pt idx="53">
                  <c:v>30587.11012855727</c:v>
                </c:pt>
                <c:pt idx="54">
                  <c:v>30797.6740747466</c:v>
                </c:pt>
                <c:pt idx="55">
                  <c:v>31008.23802093594</c:v>
                </c:pt>
                <c:pt idx="56">
                  <c:v>31218.80196712528</c:v>
                </c:pt>
                <c:pt idx="57">
                  <c:v>30613.59619496276</c:v>
                </c:pt>
                <c:pt idx="58">
                  <c:v>29736.46718334963</c:v>
                </c:pt>
                <c:pt idx="59">
                  <c:v>28859.3381717365</c:v>
                </c:pt>
                <c:pt idx="60">
                  <c:v>27982.20916012336</c:v>
                </c:pt>
                <c:pt idx="61">
                  <c:v>27105.08014851022</c:v>
                </c:pt>
                <c:pt idx="62">
                  <c:v>26227.95113689708</c:v>
                </c:pt>
                <c:pt idx="63">
                  <c:v>25350.82212528395</c:v>
                </c:pt>
                <c:pt idx="64">
                  <c:v>24473.69311367081</c:v>
                </c:pt>
                <c:pt idx="65">
                  <c:v>23596.56410205767</c:v>
                </c:pt>
                <c:pt idx="66">
                  <c:v>22719.43509044454</c:v>
                </c:pt>
                <c:pt idx="67">
                  <c:v>21842.3060788314</c:v>
                </c:pt>
                <c:pt idx="68">
                  <c:v>20965.17706721826</c:v>
                </c:pt>
                <c:pt idx="69">
                  <c:v>20088.04805560513</c:v>
                </c:pt>
                <c:pt idx="70">
                  <c:v>19210.91904399199</c:v>
                </c:pt>
                <c:pt idx="71">
                  <c:v>18333.79003237886</c:v>
                </c:pt>
                <c:pt idx="72">
                  <c:v>17456.66102076572</c:v>
                </c:pt>
                <c:pt idx="73">
                  <c:v>16579.53200915258</c:v>
                </c:pt>
                <c:pt idx="74">
                  <c:v>15702.40299753945</c:v>
                </c:pt>
                <c:pt idx="75">
                  <c:v>14825.27398592631</c:v>
                </c:pt>
                <c:pt idx="76">
                  <c:v>13948.14497431317</c:v>
                </c:pt>
                <c:pt idx="77">
                  <c:v>13071.01596270004</c:v>
                </c:pt>
                <c:pt idx="78">
                  <c:v>12193.8869510869</c:v>
                </c:pt>
                <c:pt idx="79">
                  <c:v>11316.75793947376</c:v>
                </c:pt>
                <c:pt idx="80">
                  <c:v>10439.62892786063</c:v>
                </c:pt>
                <c:pt idx="81">
                  <c:v>9562.499916247489</c:v>
                </c:pt>
                <c:pt idx="82">
                  <c:v>9449.941025745738</c:v>
                </c:pt>
                <c:pt idx="83">
                  <c:v>9592.238842281118</c:v>
                </c:pt>
                <c:pt idx="84">
                  <c:v>9734.536658816496</c:v>
                </c:pt>
                <c:pt idx="85">
                  <c:v>9876.834475351874</c:v>
                </c:pt>
                <c:pt idx="86">
                  <c:v>10019.13229188725</c:v>
                </c:pt>
                <c:pt idx="87">
                  <c:v>10161.43010842263</c:v>
                </c:pt>
                <c:pt idx="88">
                  <c:v>10303.72792495801</c:v>
                </c:pt>
                <c:pt idx="89">
                  <c:v>10446.02574149339</c:v>
                </c:pt>
                <c:pt idx="90">
                  <c:v>10588.32355802877</c:v>
                </c:pt>
                <c:pt idx="91">
                  <c:v>10730.62137456415</c:v>
                </c:pt>
                <c:pt idx="92">
                  <c:v>10872.91919109952</c:v>
                </c:pt>
                <c:pt idx="93">
                  <c:v>11015.2170076349</c:v>
                </c:pt>
                <c:pt idx="94">
                  <c:v>11157.51482417028</c:v>
                </c:pt>
                <c:pt idx="95">
                  <c:v>10982.28068657181</c:v>
                </c:pt>
                <c:pt idx="96">
                  <c:v>9854.450686571814</c:v>
                </c:pt>
                <c:pt idx="97">
                  <c:v>8726.620686571814</c:v>
                </c:pt>
                <c:pt idx="98">
                  <c:v>7598.790686571814</c:v>
                </c:pt>
                <c:pt idx="99">
                  <c:v>6470.960686571814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2.38791965872743</c:v>
                </c:pt>
                <c:pt idx="21">
                  <c:v>11.93959829363715</c:v>
                </c:pt>
                <c:pt idx="22">
                  <c:v>21.49127692854687</c:v>
                </c:pt>
                <c:pt idx="23">
                  <c:v>31.0429555634566</c:v>
                </c:pt>
                <c:pt idx="24">
                  <c:v>40.59463419836631</c:v>
                </c:pt>
                <c:pt idx="25">
                  <c:v>50.14631283327602</c:v>
                </c:pt>
                <c:pt idx="26">
                  <c:v>59.69799146818574</c:v>
                </c:pt>
                <c:pt idx="27">
                  <c:v>69.24967010309547</c:v>
                </c:pt>
                <c:pt idx="28">
                  <c:v>78.80134873800519</c:v>
                </c:pt>
                <c:pt idx="29">
                  <c:v>88.35302737291491</c:v>
                </c:pt>
                <c:pt idx="30">
                  <c:v>97.90470600782463</c:v>
                </c:pt>
                <c:pt idx="31">
                  <c:v>107.4563846427343</c:v>
                </c:pt>
                <c:pt idx="32">
                  <c:v>117.0080632776441</c:v>
                </c:pt>
                <c:pt idx="33">
                  <c:v>126.5597419125538</c:v>
                </c:pt>
                <c:pt idx="34">
                  <c:v>136.1114205474635</c:v>
                </c:pt>
                <c:pt idx="35">
                  <c:v>145.6630991823732</c:v>
                </c:pt>
                <c:pt idx="36">
                  <c:v>155.214777817283</c:v>
                </c:pt>
                <c:pt idx="37">
                  <c:v>164.7664564521927</c:v>
                </c:pt>
                <c:pt idx="38">
                  <c:v>174.3181350871024</c:v>
                </c:pt>
                <c:pt idx="39">
                  <c:v>183.8698137220121</c:v>
                </c:pt>
                <c:pt idx="40">
                  <c:v>193.4214923569218</c:v>
                </c:pt>
                <c:pt idx="41">
                  <c:v>202.9731709918316</c:v>
                </c:pt>
                <c:pt idx="42">
                  <c:v>212.5248496267413</c:v>
                </c:pt>
                <c:pt idx="43">
                  <c:v>222.076528261651</c:v>
                </c:pt>
                <c:pt idx="44">
                  <c:v>231.6282068965607</c:v>
                </c:pt>
                <c:pt idx="45">
                  <c:v>241.1798855314704</c:v>
                </c:pt>
                <c:pt idx="46">
                  <c:v>250.7315641663802</c:v>
                </c:pt>
                <c:pt idx="47">
                  <c:v>260.2832428012899</c:v>
                </c:pt>
                <c:pt idx="48">
                  <c:v>269.8349214361996</c:v>
                </c:pt>
                <c:pt idx="49">
                  <c:v>279.3866000711093</c:v>
                </c:pt>
                <c:pt idx="50">
                  <c:v>288.938278706019</c:v>
                </c:pt>
                <c:pt idx="51">
                  <c:v>298.4899573409288</c:v>
                </c:pt>
                <c:pt idx="52">
                  <c:v>308.0416359758385</c:v>
                </c:pt>
                <c:pt idx="53">
                  <c:v>317.5933146107482</c:v>
                </c:pt>
                <c:pt idx="54">
                  <c:v>327.144993245658</c:v>
                </c:pt>
                <c:pt idx="55">
                  <c:v>336.6966718805676</c:v>
                </c:pt>
                <c:pt idx="56">
                  <c:v>346.2483505154773</c:v>
                </c:pt>
                <c:pt idx="57">
                  <c:v>525.9134189829539</c:v>
                </c:pt>
                <c:pt idx="58">
                  <c:v>762.2829507279527</c:v>
                </c:pt>
                <c:pt idx="59">
                  <c:v>998.6524824729515</c:v>
                </c:pt>
                <c:pt idx="60">
                  <c:v>1235.02201421795</c:v>
                </c:pt>
                <c:pt idx="61">
                  <c:v>1471.39154596295</c:v>
                </c:pt>
                <c:pt idx="62">
                  <c:v>1707.761077707948</c:v>
                </c:pt>
                <c:pt idx="63">
                  <c:v>1944.130609452947</c:v>
                </c:pt>
                <c:pt idx="64">
                  <c:v>2180.500141197946</c:v>
                </c:pt>
                <c:pt idx="65">
                  <c:v>2416.869672942944</c:v>
                </c:pt>
                <c:pt idx="66">
                  <c:v>2653.239204687943</c:v>
                </c:pt>
                <c:pt idx="67">
                  <c:v>2889.608736432941</c:v>
                </c:pt>
                <c:pt idx="68">
                  <c:v>3125.978268177941</c:v>
                </c:pt>
                <c:pt idx="69">
                  <c:v>3362.34779992294</c:v>
                </c:pt>
                <c:pt idx="70">
                  <c:v>3598.717331667938</c:v>
                </c:pt>
                <c:pt idx="71">
                  <c:v>3835.086863412937</c:v>
                </c:pt>
                <c:pt idx="72">
                  <c:v>4071.456395157936</c:v>
                </c:pt>
                <c:pt idx="73">
                  <c:v>4307.825926902934</c:v>
                </c:pt>
                <c:pt idx="74">
                  <c:v>4544.195458647933</c:v>
                </c:pt>
                <c:pt idx="75">
                  <c:v>4780.564990392932</c:v>
                </c:pt>
                <c:pt idx="76">
                  <c:v>5016.934522137931</c:v>
                </c:pt>
                <c:pt idx="77">
                  <c:v>5253.30405388293</c:v>
                </c:pt>
                <c:pt idx="78">
                  <c:v>5489.673585627928</c:v>
                </c:pt>
                <c:pt idx="79">
                  <c:v>5726.043117372928</c:v>
                </c:pt>
                <c:pt idx="80">
                  <c:v>5962.412649117925</c:v>
                </c:pt>
                <c:pt idx="81">
                  <c:v>6198.782180862925</c:v>
                </c:pt>
                <c:pt idx="82">
                  <c:v>7185.234752097278</c:v>
                </c:pt>
                <c:pt idx="83">
                  <c:v>8421.715003161416</c:v>
                </c:pt>
                <c:pt idx="84">
                  <c:v>9658.195254225555</c:v>
                </c:pt>
                <c:pt idx="85">
                  <c:v>10894.6755052897</c:v>
                </c:pt>
                <c:pt idx="86">
                  <c:v>12131.15575635383</c:v>
                </c:pt>
                <c:pt idx="87">
                  <c:v>13367.63600741797</c:v>
                </c:pt>
                <c:pt idx="88">
                  <c:v>14604.11625848211</c:v>
                </c:pt>
                <c:pt idx="89">
                  <c:v>15840.59650954625</c:v>
                </c:pt>
                <c:pt idx="90">
                  <c:v>17077.07676061039</c:v>
                </c:pt>
                <c:pt idx="91">
                  <c:v>18313.55701167453</c:v>
                </c:pt>
                <c:pt idx="92">
                  <c:v>19550.03726273866</c:v>
                </c:pt>
                <c:pt idx="93">
                  <c:v>20786.5175138028</c:v>
                </c:pt>
                <c:pt idx="94">
                  <c:v>22022.99776486694</c:v>
                </c:pt>
                <c:pt idx="95">
                  <c:v>23024.44045316505</c:v>
                </c:pt>
                <c:pt idx="96">
                  <c:v>23320.77045316505</c:v>
                </c:pt>
                <c:pt idx="97">
                  <c:v>23617.10045316505</c:v>
                </c:pt>
                <c:pt idx="98">
                  <c:v>23913.43045316505</c:v>
                </c:pt>
                <c:pt idx="99">
                  <c:v>24209.76045316505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738728"/>
        <c:axId val="-208473287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31035.99249196373</c:v>
                </c:pt>
                <c:pt idx="1">
                  <c:v>31035.99249196373</c:v>
                </c:pt>
                <c:pt idx="2">
                  <c:v>31035.99249196373</c:v>
                </c:pt>
                <c:pt idx="3">
                  <c:v>31035.99249196373</c:v>
                </c:pt>
                <c:pt idx="4">
                  <c:v>31035.99249196373</c:v>
                </c:pt>
                <c:pt idx="5">
                  <c:v>31035.99249196373</c:v>
                </c:pt>
                <c:pt idx="6">
                  <c:v>31035.99249196373</c:v>
                </c:pt>
                <c:pt idx="7">
                  <c:v>31035.99249196373</c:v>
                </c:pt>
                <c:pt idx="8">
                  <c:v>31035.99249196373</c:v>
                </c:pt>
                <c:pt idx="9">
                  <c:v>31035.99249196373</c:v>
                </c:pt>
                <c:pt idx="10">
                  <c:v>31035.99249196373</c:v>
                </c:pt>
                <c:pt idx="11">
                  <c:v>31035.99249196373</c:v>
                </c:pt>
                <c:pt idx="12">
                  <c:v>31035.99249196373</c:v>
                </c:pt>
                <c:pt idx="13">
                  <c:v>31035.99249196373</c:v>
                </c:pt>
                <c:pt idx="14">
                  <c:v>31035.99249196373</c:v>
                </c:pt>
                <c:pt idx="15">
                  <c:v>31035.99249196373</c:v>
                </c:pt>
                <c:pt idx="16">
                  <c:v>31035.99249196373</c:v>
                </c:pt>
                <c:pt idx="17">
                  <c:v>31035.99249196373</c:v>
                </c:pt>
                <c:pt idx="18">
                  <c:v>31035.99249196373</c:v>
                </c:pt>
                <c:pt idx="19">
                  <c:v>31035.99249196373</c:v>
                </c:pt>
                <c:pt idx="20">
                  <c:v>31035.99249196373</c:v>
                </c:pt>
                <c:pt idx="21">
                  <c:v>31035.99249196373</c:v>
                </c:pt>
                <c:pt idx="22">
                  <c:v>31035.99249196373</c:v>
                </c:pt>
                <c:pt idx="23">
                  <c:v>31035.99249196373</c:v>
                </c:pt>
                <c:pt idx="24">
                  <c:v>31035.99249196373</c:v>
                </c:pt>
                <c:pt idx="25">
                  <c:v>31035.99249196373</c:v>
                </c:pt>
                <c:pt idx="26">
                  <c:v>31035.99249196373</c:v>
                </c:pt>
                <c:pt idx="27">
                  <c:v>31035.99249196373</c:v>
                </c:pt>
                <c:pt idx="28">
                  <c:v>31035.99249196373</c:v>
                </c:pt>
                <c:pt idx="29">
                  <c:v>31035.99249196373</c:v>
                </c:pt>
                <c:pt idx="30">
                  <c:v>31035.99249196373</c:v>
                </c:pt>
                <c:pt idx="31">
                  <c:v>31035.99249196373</c:v>
                </c:pt>
                <c:pt idx="32">
                  <c:v>31035.99249196373</c:v>
                </c:pt>
                <c:pt idx="33">
                  <c:v>31035.99249196373</c:v>
                </c:pt>
                <c:pt idx="34">
                  <c:v>31035.99249196373</c:v>
                </c:pt>
                <c:pt idx="35">
                  <c:v>31035.99249196373</c:v>
                </c:pt>
                <c:pt idx="36">
                  <c:v>31035.99249196373</c:v>
                </c:pt>
                <c:pt idx="37">
                  <c:v>31035.99249196373</c:v>
                </c:pt>
                <c:pt idx="38">
                  <c:v>31035.99249196373</c:v>
                </c:pt>
                <c:pt idx="39">
                  <c:v>31035.99249196373</c:v>
                </c:pt>
                <c:pt idx="40">
                  <c:v>31035.99249196373</c:v>
                </c:pt>
                <c:pt idx="41">
                  <c:v>31035.99249196373</c:v>
                </c:pt>
                <c:pt idx="42">
                  <c:v>31035.99249196373</c:v>
                </c:pt>
                <c:pt idx="43">
                  <c:v>31035.99249196373</c:v>
                </c:pt>
                <c:pt idx="44">
                  <c:v>31035.99249196373</c:v>
                </c:pt>
                <c:pt idx="45">
                  <c:v>31035.99249196373</c:v>
                </c:pt>
                <c:pt idx="46">
                  <c:v>31035.99249196373</c:v>
                </c:pt>
                <c:pt idx="47">
                  <c:v>31035.99249196373</c:v>
                </c:pt>
                <c:pt idx="48">
                  <c:v>31035.99249196373</c:v>
                </c:pt>
                <c:pt idx="49">
                  <c:v>31035.99249196373</c:v>
                </c:pt>
                <c:pt idx="50">
                  <c:v>31035.99249196373</c:v>
                </c:pt>
                <c:pt idx="51">
                  <c:v>31035.99249196373</c:v>
                </c:pt>
                <c:pt idx="52">
                  <c:v>31035.99249196373</c:v>
                </c:pt>
                <c:pt idx="53">
                  <c:v>31035.99249196373</c:v>
                </c:pt>
                <c:pt idx="54">
                  <c:v>31035.99249196373</c:v>
                </c:pt>
                <c:pt idx="55">
                  <c:v>31035.99249196373</c:v>
                </c:pt>
                <c:pt idx="56">
                  <c:v>31035.99249196373</c:v>
                </c:pt>
                <c:pt idx="57">
                  <c:v>31035.99249196373</c:v>
                </c:pt>
                <c:pt idx="58">
                  <c:v>31035.99249196373</c:v>
                </c:pt>
                <c:pt idx="59">
                  <c:v>31035.99249196373</c:v>
                </c:pt>
                <c:pt idx="60">
                  <c:v>31035.99249196373</c:v>
                </c:pt>
                <c:pt idx="61">
                  <c:v>31035.99249196373</c:v>
                </c:pt>
                <c:pt idx="62">
                  <c:v>31035.99249196373</c:v>
                </c:pt>
                <c:pt idx="63">
                  <c:v>31035.99249196373</c:v>
                </c:pt>
                <c:pt idx="64">
                  <c:v>31035.99249196373</c:v>
                </c:pt>
                <c:pt idx="65">
                  <c:v>31035.99249196373</c:v>
                </c:pt>
                <c:pt idx="66">
                  <c:v>31035.99249196373</c:v>
                </c:pt>
                <c:pt idx="67">
                  <c:v>31035.99249196373</c:v>
                </c:pt>
                <c:pt idx="68">
                  <c:v>31035.99249196373</c:v>
                </c:pt>
                <c:pt idx="69">
                  <c:v>31035.99249196373</c:v>
                </c:pt>
                <c:pt idx="70">
                  <c:v>31035.99249196373</c:v>
                </c:pt>
                <c:pt idx="71">
                  <c:v>31035.99249196373</c:v>
                </c:pt>
                <c:pt idx="72">
                  <c:v>31035.99249196373</c:v>
                </c:pt>
                <c:pt idx="73">
                  <c:v>31035.99249196376</c:v>
                </c:pt>
                <c:pt idx="74">
                  <c:v>31035.99249196376</c:v>
                </c:pt>
                <c:pt idx="75">
                  <c:v>31035.99249196376</c:v>
                </c:pt>
                <c:pt idx="76">
                  <c:v>31035.99249196376</c:v>
                </c:pt>
                <c:pt idx="77">
                  <c:v>31035.99249196376</c:v>
                </c:pt>
                <c:pt idx="78">
                  <c:v>31035.99249196376</c:v>
                </c:pt>
                <c:pt idx="79">
                  <c:v>31035.99249196376</c:v>
                </c:pt>
                <c:pt idx="80">
                  <c:v>31035.99249196376</c:v>
                </c:pt>
                <c:pt idx="81">
                  <c:v>31035.99249196376</c:v>
                </c:pt>
                <c:pt idx="82">
                  <c:v>31035.99249196376</c:v>
                </c:pt>
                <c:pt idx="83">
                  <c:v>31035.99249196376</c:v>
                </c:pt>
                <c:pt idx="84">
                  <c:v>31035.99249196376</c:v>
                </c:pt>
                <c:pt idx="85">
                  <c:v>31035.99249196376</c:v>
                </c:pt>
                <c:pt idx="86">
                  <c:v>31035.99249196376</c:v>
                </c:pt>
                <c:pt idx="87">
                  <c:v>31035.99249196376</c:v>
                </c:pt>
                <c:pt idx="88">
                  <c:v>31035.99249196376</c:v>
                </c:pt>
                <c:pt idx="89">
                  <c:v>31035.22776537979</c:v>
                </c:pt>
                <c:pt idx="90">
                  <c:v>31035.22776537979</c:v>
                </c:pt>
                <c:pt idx="91">
                  <c:v>31035.22776537979</c:v>
                </c:pt>
                <c:pt idx="92">
                  <c:v>31035.22776537979</c:v>
                </c:pt>
                <c:pt idx="93">
                  <c:v>31035.22776537979</c:v>
                </c:pt>
                <c:pt idx="94">
                  <c:v>31035.22776537979</c:v>
                </c:pt>
                <c:pt idx="95">
                  <c:v>31035.22776537979</c:v>
                </c:pt>
                <c:pt idx="96">
                  <c:v>31035.22776537979</c:v>
                </c:pt>
                <c:pt idx="97">
                  <c:v>31035.22776537979</c:v>
                </c:pt>
                <c:pt idx="98">
                  <c:v>31035.22776537979</c:v>
                </c:pt>
                <c:pt idx="99">
                  <c:v>31035.22776537979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45050.93541454259</c:v>
                </c:pt>
                <c:pt idx="1">
                  <c:v>44710.67541454259</c:v>
                </c:pt>
                <c:pt idx="2">
                  <c:v>44370.41541454258</c:v>
                </c:pt>
                <c:pt idx="3">
                  <c:v>44030.1554145426</c:v>
                </c:pt>
                <c:pt idx="4">
                  <c:v>43689.89541454258</c:v>
                </c:pt>
                <c:pt idx="5">
                  <c:v>43349.63541454259</c:v>
                </c:pt>
                <c:pt idx="6">
                  <c:v>43009.3754145426</c:v>
                </c:pt>
                <c:pt idx="7">
                  <c:v>42669.11541454258</c:v>
                </c:pt>
                <c:pt idx="8">
                  <c:v>42328.85541454258</c:v>
                </c:pt>
                <c:pt idx="9">
                  <c:v>41988.59541454259</c:v>
                </c:pt>
                <c:pt idx="10">
                  <c:v>41648.33541454258</c:v>
                </c:pt>
                <c:pt idx="11">
                  <c:v>41308.07541454259</c:v>
                </c:pt>
                <c:pt idx="12">
                  <c:v>40967.81541454257</c:v>
                </c:pt>
                <c:pt idx="13">
                  <c:v>40627.55541454258</c:v>
                </c:pt>
                <c:pt idx="14">
                  <c:v>40287.29541454259</c:v>
                </c:pt>
                <c:pt idx="15">
                  <c:v>39947.03541454259</c:v>
                </c:pt>
                <c:pt idx="16">
                  <c:v>39606.77541454259</c:v>
                </c:pt>
                <c:pt idx="17">
                  <c:v>39266.51541454258</c:v>
                </c:pt>
                <c:pt idx="18">
                  <c:v>38926.25541454259</c:v>
                </c:pt>
                <c:pt idx="19">
                  <c:v>38585.99541454259</c:v>
                </c:pt>
                <c:pt idx="20">
                  <c:v>38437.71903192226</c:v>
                </c:pt>
                <c:pt idx="21">
                  <c:v>38865.39350144092</c:v>
                </c:pt>
                <c:pt idx="22">
                  <c:v>39293.06797095959</c:v>
                </c:pt>
                <c:pt idx="23">
                  <c:v>39720.74244047826</c:v>
                </c:pt>
                <c:pt idx="24">
                  <c:v>40148.41690999692</c:v>
                </c:pt>
                <c:pt idx="25">
                  <c:v>40576.09137951561</c:v>
                </c:pt>
                <c:pt idx="26">
                  <c:v>41003.76584903427</c:v>
                </c:pt>
                <c:pt idx="27">
                  <c:v>41431.44031855294</c:v>
                </c:pt>
                <c:pt idx="28">
                  <c:v>41859.11478807162</c:v>
                </c:pt>
                <c:pt idx="29">
                  <c:v>42286.78925759028</c:v>
                </c:pt>
                <c:pt idx="30">
                  <c:v>42714.46372710895</c:v>
                </c:pt>
                <c:pt idx="31">
                  <c:v>43142.13819662762</c:v>
                </c:pt>
                <c:pt idx="32">
                  <c:v>43569.8126661463</c:v>
                </c:pt>
                <c:pt idx="33">
                  <c:v>43997.48713566497</c:v>
                </c:pt>
                <c:pt idx="34">
                  <c:v>44425.16160518363</c:v>
                </c:pt>
                <c:pt idx="35">
                  <c:v>44852.83607470231</c:v>
                </c:pt>
                <c:pt idx="36">
                  <c:v>45280.51054422096</c:v>
                </c:pt>
                <c:pt idx="37">
                  <c:v>45708.18501373964</c:v>
                </c:pt>
                <c:pt idx="38">
                  <c:v>46135.85948325831</c:v>
                </c:pt>
                <c:pt idx="39">
                  <c:v>46563.53395277698</c:v>
                </c:pt>
                <c:pt idx="40">
                  <c:v>46991.20842229565</c:v>
                </c:pt>
                <c:pt idx="41">
                  <c:v>47418.88289181432</c:v>
                </c:pt>
                <c:pt idx="42">
                  <c:v>47846.557361333</c:v>
                </c:pt>
                <c:pt idx="43">
                  <c:v>48274.23183085166</c:v>
                </c:pt>
                <c:pt idx="44">
                  <c:v>48701.90630037033</c:v>
                </c:pt>
                <c:pt idx="45">
                  <c:v>49129.58076988901</c:v>
                </c:pt>
                <c:pt idx="46">
                  <c:v>49557.25523940767</c:v>
                </c:pt>
                <c:pt idx="47">
                  <c:v>49984.92970892635</c:v>
                </c:pt>
                <c:pt idx="48">
                  <c:v>50412.60417844501</c:v>
                </c:pt>
                <c:pt idx="49">
                  <c:v>50840.27864796368</c:v>
                </c:pt>
                <c:pt idx="50">
                  <c:v>51267.95311748235</c:v>
                </c:pt>
                <c:pt idx="51">
                  <c:v>51695.62758700102</c:v>
                </c:pt>
                <c:pt idx="52">
                  <c:v>52123.30205651969</c:v>
                </c:pt>
                <c:pt idx="53">
                  <c:v>52550.97652603836</c:v>
                </c:pt>
                <c:pt idx="54">
                  <c:v>52978.65099555704</c:v>
                </c:pt>
                <c:pt idx="55">
                  <c:v>53406.32546507571</c:v>
                </c:pt>
                <c:pt idx="56">
                  <c:v>53833.99993459437</c:v>
                </c:pt>
                <c:pt idx="57">
                  <c:v>56621.52192350181</c:v>
                </c:pt>
                <c:pt idx="58">
                  <c:v>60195.65975220551</c:v>
                </c:pt>
                <c:pt idx="59">
                  <c:v>63769.79758090919</c:v>
                </c:pt>
                <c:pt idx="60">
                  <c:v>67343.9354096129</c:v>
                </c:pt>
                <c:pt idx="61">
                  <c:v>70918.0732383166</c:v>
                </c:pt>
                <c:pt idx="62">
                  <c:v>74492.21106702028</c:v>
                </c:pt>
                <c:pt idx="63">
                  <c:v>78066.34889572398</c:v>
                </c:pt>
                <c:pt idx="64">
                  <c:v>81640.48672442767</c:v>
                </c:pt>
                <c:pt idx="65">
                  <c:v>85214.62455313136</c:v>
                </c:pt>
                <c:pt idx="66">
                  <c:v>88788.76238183505</c:v>
                </c:pt>
                <c:pt idx="67">
                  <c:v>92362.90021053876</c:v>
                </c:pt>
                <c:pt idx="68">
                  <c:v>95937.03803924244</c:v>
                </c:pt>
                <c:pt idx="69">
                  <c:v>99511.17586794613</c:v>
                </c:pt>
                <c:pt idx="70">
                  <c:v>103085.3136966498</c:v>
                </c:pt>
                <c:pt idx="71">
                  <c:v>106659.4515253535</c:v>
                </c:pt>
                <c:pt idx="72">
                  <c:v>110233.5893540572</c:v>
                </c:pt>
                <c:pt idx="73">
                  <c:v>113807.7271827609</c:v>
                </c:pt>
                <c:pt idx="74">
                  <c:v>117381.8650114646</c:v>
                </c:pt>
                <c:pt idx="75">
                  <c:v>120956.0028401683</c:v>
                </c:pt>
                <c:pt idx="76">
                  <c:v>124530.140668872</c:v>
                </c:pt>
                <c:pt idx="77">
                  <c:v>128104.2784975757</c:v>
                </c:pt>
                <c:pt idx="78">
                  <c:v>131678.4163262794</c:v>
                </c:pt>
                <c:pt idx="79">
                  <c:v>135252.5541549831</c:v>
                </c:pt>
                <c:pt idx="80">
                  <c:v>138826.6919836868</c:v>
                </c:pt>
                <c:pt idx="81">
                  <c:v>142400.8298123905</c:v>
                </c:pt>
                <c:pt idx="82">
                  <c:v>152414.0076189843</c:v>
                </c:pt>
                <c:pt idx="83">
                  <c:v>164573.5320848747</c:v>
                </c:pt>
                <c:pt idx="84">
                  <c:v>176733.0565507652</c:v>
                </c:pt>
                <c:pt idx="85">
                  <c:v>188892.5810166557</c:v>
                </c:pt>
                <c:pt idx="86">
                  <c:v>201052.1054825462</c:v>
                </c:pt>
                <c:pt idx="87">
                  <c:v>213211.6299484367</c:v>
                </c:pt>
                <c:pt idx="88">
                  <c:v>225371.1544143271</c:v>
                </c:pt>
                <c:pt idx="89">
                  <c:v>237530.6788802176</c:v>
                </c:pt>
                <c:pt idx="90">
                  <c:v>249690.2033461081</c:v>
                </c:pt>
                <c:pt idx="91">
                  <c:v>261849.7278119986</c:v>
                </c:pt>
                <c:pt idx="92">
                  <c:v>274009.2522778891</c:v>
                </c:pt>
                <c:pt idx="93">
                  <c:v>286168.7767437795</c:v>
                </c:pt>
                <c:pt idx="94">
                  <c:v>298328.30120967</c:v>
                </c:pt>
                <c:pt idx="95">
                  <c:v>309892.8948090879</c:v>
                </c:pt>
                <c:pt idx="96">
                  <c:v>319672.6958090879</c:v>
                </c:pt>
                <c:pt idx="97">
                  <c:v>329452.4968090879</c:v>
                </c:pt>
                <c:pt idx="98">
                  <c:v>339232.2978090879</c:v>
                </c:pt>
                <c:pt idx="99">
                  <c:v>349012.0988090879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738728"/>
        <c:axId val="-2084732872"/>
      </c:lineChart>
      <c:catAx>
        <c:axId val="-2084738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47328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847328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473872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4190384023226"/>
          <c:y val="0.042042042042042"/>
          <c:w val="0.233240333435974"/>
          <c:h val="0.92792863729871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0.0422400373599004</c:v>
                </c:pt>
                <c:pt idx="1">
                  <c:v>0.0211200186799502</c:v>
                </c:pt>
                <c:pt idx="2" formatCode="0.0%">
                  <c:v>0.0211200186799502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0.0869751650062266</c:v>
                </c:pt>
                <c:pt idx="1">
                  <c:v>0.0434875825031133</c:v>
                </c:pt>
                <c:pt idx="2" formatCode="0.0%">
                  <c:v>0.0434875825031133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0.0025</c:v>
                </c:pt>
                <c:pt idx="1">
                  <c:v>0.0025</c:v>
                </c:pt>
                <c:pt idx="2" formatCode="0.0%">
                  <c:v>0.0025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0.04376775373599</c:v>
                </c:pt>
                <c:pt idx="1">
                  <c:v>0.0477068515722291</c:v>
                </c:pt>
                <c:pt idx="2" formatCode="0.0%">
                  <c:v>0.0362002156534933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0.0360133884806974</c:v>
                </c:pt>
                <c:pt idx="1">
                  <c:v>0.0288107107845579</c:v>
                </c:pt>
                <c:pt idx="2" formatCode="0.0%">
                  <c:v>0.0288107107845579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0.0217768169364882</c:v>
                </c:pt>
                <c:pt idx="1">
                  <c:v>0.0174214535491905</c:v>
                </c:pt>
                <c:pt idx="2" formatCode="0.0%">
                  <c:v>0.0168586238453544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0.00142789539227895</c:v>
                </c:pt>
                <c:pt idx="1">
                  <c:v>0.00114231631382316</c:v>
                </c:pt>
                <c:pt idx="2" formatCode="0.0%">
                  <c:v>0.00114231631382316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0.00100423412204234</c:v>
                </c:pt>
                <c:pt idx="1">
                  <c:v>0.000803387297633873</c:v>
                </c:pt>
                <c:pt idx="2" formatCode="0.0%">
                  <c:v>0.000803387297633873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0.0011013698630137</c:v>
                </c:pt>
                <c:pt idx="1">
                  <c:v>0.000881095890410959</c:v>
                </c:pt>
                <c:pt idx="2" formatCode="0.0%">
                  <c:v>0.000786739138413243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0.0238095238095238</c:v>
                </c:pt>
                <c:pt idx="1">
                  <c:v>0.0238095238095238</c:v>
                </c:pt>
                <c:pt idx="2" formatCode="0.0%">
                  <c:v>0.0238095238095238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0.0461727655666251</c:v>
                </c:pt>
                <c:pt idx="1">
                  <c:v>0.0461727655666251</c:v>
                </c:pt>
                <c:pt idx="2" formatCode="0.0%">
                  <c:v>0.0472715770295956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0.438367618838107</c:v>
                </c:pt>
                <c:pt idx="1">
                  <c:v>0.438367618838107</c:v>
                </c:pt>
                <c:pt idx="2" formatCode="0.0%">
                  <c:v>0.443449988732031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0.681608954420921</c:v>
                </c:pt>
                <c:pt idx="1">
                  <c:v>0.672718845877985</c:v>
                </c:pt>
                <c:pt idx="2" formatCode="0.0%">
                  <c:v>0.33375931621251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7005320"/>
        <c:axId val="-2087001976"/>
      </c:barChart>
      <c:catAx>
        <c:axId val="-208700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7001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001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70053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0.0125134744707347</c:v>
                </c:pt>
                <c:pt idx="1">
                  <c:v>0.00625673723536737</c:v>
                </c:pt>
                <c:pt idx="2" formatCode="0.0%">
                  <c:v>0.00625673723536737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0.0101301494951966</c:v>
                </c:pt>
                <c:pt idx="1">
                  <c:v>0.00506507474759829</c:v>
                </c:pt>
                <c:pt idx="2" formatCode="0.0%">
                  <c:v>0.00506507474759829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0.0127777777777778</c:v>
                </c:pt>
                <c:pt idx="1">
                  <c:v>0.0127777777777778</c:v>
                </c:pt>
                <c:pt idx="2" formatCode="0.0%">
                  <c:v>0.0127777777777778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0.0606665546166163</c:v>
                </c:pt>
                <c:pt idx="1">
                  <c:v>0.0661265445321117</c:v>
                </c:pt>
                <c:pt idx="2" formatCode="0.0%">
                  <c:v>0.0661265445321117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0.0170966276018502</c:v>
                </c:pt>
                <c:pt idx="1">
                  <c:v>0.0136773020814802</c:v>
                </c:pt>
                <c:pt idx="2" formatCode="0.0%">
                  <c:v>0.0136773020814802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0.0104087391033624</c:v>
                </c:pt>
                <c:pt idx="1">
                  <c:v>0.00832699128268991</c:v>
                </c:pt>
                <c:pt idx="2" formatCode="0.0%">
                  <c:v>0.00832699128268991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0.00122201899128269</c:v>
                </c:pt>
                <c:pt idx="1">
                  <c:v>0.000977615193026152</c:v>
                </c:pt>
                <c:pt idx="2" formatCode="0.0%">
                  <c:v>0.000977615193026152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0.000600171232876712</c:v>
                </c:pt>
                <c:pt idx="1">
                  <c:v>0.00048013698630137</c:v>
                </c:pt>
                <c:pt idx="2" formatCode="0.0%">
                  <c:v>0.00049802271348509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0.00338906600249066</c:v>
                </c:pt>
                <c:pt idx="1">
                  <c:v>0.00271125280199253</c:v>
                </c:pt>
                <c:pt idx="2" formatCode="0.0%">
                  <c:v>0.00271125280199253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0.00124221668742217</c:v>
                </c:pt>
                <c:pt idx="1">
                  <c:v>0.000993773349937733</c:v>
                </c:pt>
                <c:pt idx="2" formatCode="0.0%">
                  <c:v>0.000993773349937733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0.001912100456621</c:v>
                </c:pt>
                <c:pt idx="1">
                  <c:v>0.0015296803652968</c:v>
                </c:pt>
                <c:pt idx="2" formatCode="0.0%">
                  <c:v>0.0015296803652968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0.00329234122042341</c:v>
                </c:pt>
                <c:pt idx="1">
                  <c:v>0.00329234122042341</c:v>
                </c:pt>
                <c:pt idx="2" formatCode="0.0%">
                  <c:v>0.00352759192311974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0.00114632627646326</c:v>
                </c:pt>
                <c:pt idx="1">
                  <c:v>0.00114632627646326</c:v>
                </c:pt>
                <c:pt idx="2" formatCode="0.0%">
                  <c:v>0.00122823578826732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0.14986781539551</c:v>
                </c:pt>
                <c:pt idx="1">
                  <c:v>0.14986781539551</c:v>
                </c:pt>
                <c:pt idx="2" formatCode="0.0%">
                  <c:v>0.14986781539551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0.0321942648994841</c:v>
                </c:pt>
                <c:pt idx="1">
                  <c:v>0.0321942648994841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0.20210494927504</c:v>
                </c:pt>
                <c:pt idx="1">
                  <c:v>0.20210494927504</c:v>
                </c:pt>
                <c:pt idx="2" formatCode="0.0%">
                  <c:v>0.224747699084516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0.619478901930261</c:v>
                </c:pt>
                <c:pt idx="1">
                  <c:v>0.568892147652786</c:v>
                </c:pt>
                <c:pt idx="2" formatCode="0.0%">
                  <c:v>0.501687885727823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6873192"/>
        <c:axId val="-2086869864"/>
      </c:barChart>
      <c:catAx>
        <c:axId val="-2086873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6869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6869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6873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0.0122323658779577</c:v>
                </c:pt>
                <c:pt idx="1">
                  <c:v>0.0122323658779577</c:v>
                </c:pt>
                <c:pt idx="2">
                  <c:v>0.0237451808219178</c:v>
                </c:pt>
                <c:pt idx="3">
                  <c:v>0.0237451808219178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0.0571932043897883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0.0311476639417208</c:v>
                </c:pt>
                <c:pt idx="1">
                  <c:v>0.0232967805027236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0.307355005566506</c:v>
                </c:pt>
                <c:pt idx="1">
                  <c:v>0.229885044171974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0.0424697533132291</c:v>
                </c:pt>
                <c:pt idx="1">
                  <c:v>0.0317650955395679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0.0110286540654061</c:v>
                </c:pt>
                <c:pt idx="1">
                  <c:v>0.00824884118060902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0.00735097245434466</c:v>
                </c:pt>
                <c:pt idx="3">
                  <c:v>0.0036206282237817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0.00244547359559308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0.0201258381070984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0.00239189850560398</c:v>
                </c:pt>
                <c:pt idx="1">
                  <c:v>0.00239189850560398</c:v>
                </c:pt>
                <c:pt idx="2">
                  <c:v>0.00239189850560398</c:v>
                </c:pt>
                <c:pt idx="3">
                  <c:v>0.00239189850560398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0.0026071448398602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0.00358820752079701</c:v>
                </c:pt>
                <c:pt idx="1">
                  <c:v>0.00215341253798257</c:v>
                </c:pt>
                <c:pt idx="2">
                  <c:v>0.00287081002938979</c:v>
                </c:pt>
                <c:pt idx="3">
                  <c:v>0.00358820752079701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0.221084860629983</c:v>
                </c:pt>
                <c:pt idx="1">
                  <c:v>0.221084860629983</c:v>
                </c:pt>
                <c:pt idx="2">
                  <c:v>0.221084860629983</c:v>
                </c:pt>
                <c:pt idx="3">
                  <c:v>0.221084860629983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0.090320816628977</c:v>
                </c:pt>
                <c:pt idx="2">
                  <c:v>0.380180695908398</c:v>
                </c:pt>
                <c:pt idx="3">
                  <c:v>0.98870950845654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6779640"/>
        <c:axId val="-2086776264"/>
      </c:barChart>
      <c:catAx>
        <c:axId val="-20867796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677626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6776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6779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0.00425458132004981</c:v>
                </c:pt>
                <c:pt idx="1">
                  <c:v>0.00425458132004981</c:v>
                </c:pt>
                <c:pt idx="2">
                  <c:v>0.00825889315068493</c:v>
                </c:pt>
                <c:pt idx="3">
                  <c:v>0.00825889315068493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0.0202602989903932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0.0511111111111111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0.264506178128447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0.0547092083259206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0.0333079651307596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0.00262000871731009</c:v>
                </c:pt>
                <c:pt idx="3">
                  <c:v>0.00129045205479452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0.224747699084516</c:v>
                </c:pt>
                <c:pt idx="1">
                  <c:v>0.224747699084516</c:v>
                </c:pt>
                <c:pt idx="2">
                  <c:v>0.224747699084516</c:v>
                </c:pt>
                <c:pt idx="3">
                  <c:v>0.224747699084516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-0.613379544393251</c:v>
                </c:pt>
                <c:pt idx="1">
                  <c:v>-1.017320434324789</c:v>
                </c:pt>
                <c:pt idx="2">
                  <c:v>-1.017320434324789</c:v>
                </c:pt>
                <c:pt idx="3">
                  <c:v>-1.017320434324789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7321464"/>
        <c:axId val="-2087324856"/>
      </c:barChart>
      <c:catAx>
        <c:axId val="-20873214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73248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7324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73214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0.0237056202099271</c:v>
                </c:pt>
                <c:pt idx="1">
                  <c:v>0.0237056202099271</c:v>
                </c:pt>
                <c:pt idx="2">
                  <c:v>0.0460167921722113</c:v>
                </c:pt>
                <c:pt idx="3">
                  <c:v>0.0460167921722113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0.0864925644903042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0.0522222222222222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0.21237074209887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0.0718565039852632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0.109076380827415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0.00700986564645162</c:v>
                </c:pt>
                <c:pt idx="3">
                  <c:v>0.00345262039302841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0.00133214730475004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0.0575023945917097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0.00245757337625794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0.00348491769295155</c:v>
                </c:pt>
                <c:pt idx="1">
                  <c:v>0.00209142459301581</c:v>
                </c:pt>
                <c:pt idx="2">
                  <c:v>0.00278817114298368</c:v>
                </c:pt>
                <c:pt idx="3">
                  <c:v>0.00348491769295155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0.260060464228721</c:v>
                </c:pt>
                <c:pt idx="1">
                  <c:v>0.260060464228721</c:v>
                </c:pt>
                <c:pt idx="2">
                  <c:v>0.260060464228721</c:v>
                </c:pt>
                <c:pt idx="3">
                  <c:v>0.260060464228721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0.0759556270032347</c:v>
                </c:pt>
                <c:pt idx="1">
                  <c:v>0.466704721949981</c:v>
                </c:pt>
                <c:pt idx="2">
                  <c:v>0.494189332382987</c:v>
                </c:pt>
                <c:pt idx="3">
                  <c:v>0.408099693219881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7431832"/>
        <c:axId val="-2087435224"/>
      </c:barChart>
      <c:catAx>
        <c:axId val="-20874318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74352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7435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74318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0.0143616127023661</c:v>
                </c:pt>
                <c:pt idx="1">
                  <c:v>0.0143616127023661</c:v>
                </c:pt>
                <c:pt idx="2">
                  <c:v>0.0278784246575342</c:v>
                </c:pt>
                <c:pt idx="3">
                  <c:v>0.0278784246575342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0.173950330012453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0.144800862613973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0.115242843138232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0.0674344953814176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0.00306140772104608</c:v>
                </c:pt>
                <c:pt idx="3">
                  <c:v>0.00150785753424657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0.00321354919053549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0.443449988732031</c:v>
                </c:pt>
                <c:pt idx="1">
                  <c:v>0.443449988732031</c:v>
                </c:pt>
                <c:pt idx="2">
                  <c:v>0.443449988732031</c:v>
                </c:pt>
                <c:pt idx="3">
                  <c:v>0.443449988732031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0.133629096592861</c:v>
                </c:pt>
                <c:pt idx="1">
                  <c:v>0.471107297726484</c:v>
                </c:pt>
                <c:pt idx="2">
                  <c:v>0.45452907805027</c:v>
                </c:pt>
                <c:pt idx="3">
                  <c:v>0.27891874903408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7538392"/>
        <c:axId val="-2087541784"/>
      </c:barChart>
      <c:catAx>
        <c:axId val="-20875383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75417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7541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7538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0.14252827111403</c:v>
                </c:pt>
                <c:pt idx="1">
                  <c:v>0.134546687931644</c:v>
                </c:pt>
                <c:pt idx="2">
                  <c:v>0.134546687931644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0.0324747959500321</c:v>
                </c:pt>
                <c:pt idx="1">
                  <c:v>0.0306562073768303</c:v>
                </c:pt>
                <c:pt idx="2">
                  <c:v>0.0300572629365517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0.00179693870923511</c:v>
                </c:pt>
                <c:pt idx="1">
                  <c:v>0.00212038767689743</c:v>
                </c:pt>
                <c:pt idx="2">
                  <c:v>0.00212038767689743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0.0129899183800128</c:v>
                </c:pt>
                <c:pt idx="1">
                  <c:v>0.0145487085856144</c:v>
                </c:pt>
                <c:pt idx="2">
                  <c:v>0.0146680914096428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0.0033196458082255</c:v>
                </c:pt>
                <c:pt idx="1">
                  <c:v>0.00371800330521256</c:v>
                </c:pt>
                <c:pt idx="2">
                  <c:v>0.00358725068841954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0.00474853683002692</c:v>
                </c:pt>
                <c:pt idx="1">
                  <c:v>0.00531836124963015</c:v>
                </c:pt>
                <c:pt idx="2">
                  <c:v>0.0051313281586523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0.00404130794044844</c:v>
                </c:pt>
                <c:pt idx="1">
                  <c:v>0.00452626489330225</c:v>
                </c:pt>
                <c:pt idx="2">
                  <c:v>0.0043670877945977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0.000974243878500963</c:v>
                </c:pt>
                <c:pt idx="1">
                  <c:v>0.00109115314392108</c:v>
                </c:pt>
                <c:pt idx="2">
                  <c:v>0.00105278009334052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0.000216498639666881</c:v>
                </c:pt>
                <c:pt idx="1">
                  <c:v>0.000242478476426906</c:v>
                </c:pt>
                <c:pt idx="2">
                  <c:v>0.000233951131853448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0.00056289646313389</c:v>
                </c:pt>
                <c:pt idx="1">
                  <c:v>0.000630444038709956</c:v>
                </c:pt>
                <c:pt idx="2">
                  <c:v>0.000621916694136498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0.0277118258773607</c:v>
                </c:pt>
                <c:pt idx="1">
                  <c:v>0.0307601267238704</c:v>
                </c:pt>
                <c:pt idx="2">
                  <c:v>0.0307601267238704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0.0158765669089046</c:v>
                </c:pt>
                <c:pt idx="1">
                  <c:v>0.0176229892688841</c:v>
                </c:pt>
                <c:pt idx="2">
                  <c:v>0.0176229892688841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0.0202065397022422</c:v>
                </c:pt>
                <c:pt idx="1">
                  <c:v>0.0190749734789166</c:v>
                </c:pt>
                <c:pt idx="2">
                  <c:v>0.0190749734789166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0.550209642849411</c:v>
                </c:pt>
                <c:pt idx="1">
                  <c:v>0.649247378562304</c:v>
                </c:pt>
                <c:pt idx="2">
                  <c:v>0.649247378562304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0.159602797162424</c:v>
                </c:pt>
                <c:pt idx="1">
                  <c:v>0.188331300651661</c:v>
                </c:pt>
                <c:pt idx="2">
                  <c:v>0.188331300651661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0.0166054456624497</c:v>
                </c:pt>
                <c:pt idx="1">
                  <c:v>0.0166054456624497</c:v>
                </c:pt>
                <c:pt idx="2">
                  <c:v>0.0166054456624497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0.00613412812389495</c:v>
                </c:pt>
                <c:pt idx="1">
                  <c:v>0.0068088822175234</c:v>
                </c:pt>
                <c:pt idx="2">
                  <c:v>0.0068088822175234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6254808"/>
        <c:axId val="-2086251784"/>
      </c:barChart>
      <c:catAx>
        <c:axId val="-2086254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6251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6251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6254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8" activePane="bottomRight" state="frozen"/>
      <selection pane="topRight" activeCell="B1" sqref="B1"/>
      <selection pane="bottomLeft" activeCell="A3" sqref="A3"/>
      <selection pane="bottomRight" activeCell="B73" sqref="B73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ZA1XX, 59100</v>
      </c>
      <c r="B1" s="244" t="str">
        <f>Poor!B1</f>
        <v xml:space="preserve">Open access Livestock husbandry 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Poor!Z1</f>
        <v>Apr-Jun</v>
      </c>
      <c r="AA1" s="258"/>
      <c r="AB1" s="257" t="str">
        <f>Poor!AB1</f>
        <v>Jul-Sep</v>
      </c>
      <c r="AC1" s="258"/>
      <c r="AD1" s="257" t="str">
        <f>Poor!AD1</f>
        <v>Oct-Dec</v>
      </c>
      <c r="AE1" s="258"/>
      <c r="AF1" s="257" t="str">
        <f>Poor!AF1</f>
        <v>Jan-Mar</v>
      </c>
      <c r="AG1" s="258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v>1.2513474470734745E-2</v>
      </c>
      <c r="C6" s="215">
        <v>0</v>
      </c>
      <c r="D6" s="24">
        <f t="shared" ref="D6:D28" si="0">(B6+C6)</f>
        <v>1.2513474470734745E-2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6.2567372353673724E-3</v>
      </c>
      <c r="J6" s="24">
        <f t="shared" ref="J6:J13" si="3">IF(I$32&lt;=1+I$131,I6,B6*H6+J$33*(I6-B6*H6))</f>
        <v>6.2567372353673724E-3</v>
      </c>
      <c r="K6" s="22">
        <f t="shared" ref="K6:K31" si="4">B6</f>
        <v>1.2513474470734745E-2</v>
      </c>
      <c r="L6" s="22">
        <f t="shared" ref="L6:L29" si="5">IF(K6="","",K6*H6)</f>
        <v>6.2567372353673724E-3</v>
      </c>
      <c r="M6" s="177">
        <f t="shared" ref="M6:M31" si="6">J6</f>
        <v>6.2567372353673724E-3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2.5026948941469489E-2</v>
      </c>
      <c r="Z6" s="156">
        <f>Poor!Z6</f>
        <v>0.17</v>
      </c>
      <c r="AA6" s="121">
        <f>$M6*Z6*4</f>
        <v>4.2545813200498134E-3</v>
      </c>
      <c r="AB6" s="156">
        <f>Poor!AB6</f>
        <v>0.17</v>
      </c>
      <c r="AC6" s="121">
        <f t="shared" ref="AC6:AC29" si="7">$M6*AB6*4</f>
        <v>4.2545813200498134E-3</v>
      </c>
      <c r="AD6" s="156">
        <f>Poor!AD6</f>
        <v>0.33</v>
      </c>
      <c r="AE6" s="121">
        <f t="shared" ref="AE6:AE29" si="8">$M6*AD6*4</f>
        <v>8.2588931506849313E-3</v>
      </c>
      <c r="AF6" s="122">
        <f>1-SUM(Z6,AB6,AD6)</f>
        <v>0.32999999999999996</v>
      </c>
      <c r="AG6" s="121">
        <f>$M6*AF6*4</f>
        <v>8.2588931506849313E-3</v>
      </c>
      <c r="AH6" s="123">
        <f>SUM(Z6,AB6,AD6,AF6)</f>
        <v>1</v>
      </c>
      <c r="AI6" s="183">
        <f>SUM(AA6,AC6,AE6,AG6)/4</f>
        <v>6.2567372353673732E-3</v>
      </c>
      <c r="AJ6" s="120">
        <f>(AA6+AC6)/2</f>
        <v>4.2545813200498134E-3</v>
      </c>
      <c r="AK6" s="119">
        <f>(AE6+AG6)/2</f>
        <v>8.2588931506849313E-3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v>1.0130149495196585E-2</v>
      </c>
      <c r="C7" s="215">
        <v>0</v>
      </c>
      <c r="D7" s="24">
        <f t="shared" si="0"/>
        <v>1.0130149495196585E-2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5.0650747475982924E-3</v>
      </c>
      <c r="J7" s="24">
        <f t="shared" si="3"/>
        <v>5.0650747475982924E-3</v>
      </c>
      <c r="K7" s="22">
        <f t="shared" si="4"/>
        <v>1.0130149495196585E-2</v>
      </c>
      <c r="L7" s="22">
        <f t="shared" si="5"/>
        <v>5.0650747475982924E-3</v>
      </c>
      <c r="M7" s="177">
        <f t="shared" si="6"/>
        <v>5.0650747475982924E-3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1637.8612483790453</v>
      </c>
      <c r="S7" s="222">
        <f>IF($B$81=0,0,(SUMIF($N$6:$N$28,$U7,L$6:L$28)+SUMIF($N$91:$N$118,$U7,L$91:L$118))*$I$83*Poor!$B$81/$B$81)</f>
        <v>1307.4384046462123</v>
      </c>
      <c r="T7" s="222">
        <f>IF($B$81=0,0,(SUMIF($N$6:$N$28,$U7,M$6:M$28)+SUMIF($N$91:$N$118,$U7,M$91:M$118))*$I$83*Poor!$B$81/$B$81)</f>
        <v>1307.6850158425668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2.026029899039317E-2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2.026029899039317E-2</v>
      </c>
      <c r="AH7" s="123">
        <f t="shared" ref="AH7:AH30" si="12">SUM(Z7,AB7,AD7,AF7)</f>
        <v>1</v>
      </c>
      <c r="AI7" s="183">
        <f t="shared" ref="AI7:AI30" si="13">SUM(AA7,AC7,AE7,AG7)/4</f>
        <v>5.0650747475982924E-3</v>
      </c>
      <c r="AJ7" s="120">
        <f t="shared" ref="AJ7:AJ31" si="14">(AA7+AC7)/2</f>
        <v>0</v>
      </c>
      <c r="AK7" s="119">
        <f t="shared" ref="AK7:AK31" si="15">(AE7+AG7)/2</f>
        <v>1.0130149495196585E-2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v>1.2777777777777777E-2</v>
      </c>
      <c r="C8" s="215">
        <v>0</v>
      </c>
      <c r="D8" s="24">
        <f t="shared" si="0"/>
        <v>1.2777777777777777E-2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1.2777777777777777E-2</v>
      </c>
      <c r="J8" s="24">
        <f t="shared" si="3"/>
        <v>1.2777777777777777E-2</v>
      </c>
      <c r="K8" s="22">
        <f t="shared" si="4"/>
        <v>1.2777777777777777E-2</v>
      </c>
      <c r="L8" s="22">
        <f t="shared" si="5"/>
        <v>1.2777777777777777E-2</v>
      </c>
      <c r="M8" s="224">
        <f t="shared" si="6"/>
        <v>1.2777777777777777E-2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25.840100024676357</v>
      </c>
      <c r="S8" s="222">
        <f>IF($B$81=0,0,(SUMIF($N$6:$N$28,$U8,L$6:L$28)+SUMIF($N$91:$N$118,$U8,L$91:L$118))*$I$83*Poor!$B$81/$B$81)</f>
        <v>23.519999999999996</v>
      </c>
      <c r="T8" s="222">
        <f>IF($B$81=0,0,(SUMIF($N$6:$N$28,$U8,M$6:M$28)+SUMIF($N$91:$N$118,$U8,M$91:M$118))*$I$83*Poor!$B$81/$B$81)</f>
        <v>17.919999999999998</v>
      </c>
      <c r="U8" s="223">
        <v>2</v>
      </c>
      <c r="V8" s="56"/>
      <c r="W8" s="115"/>
      <c r="X8" s="118">
        <f>Poor!X8</f>
        <v>1</v>
      </c>
      <c r="Y8" s="183">
        <f t="shared" si="9"/>
        <v>5.1111111111111107E-2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5.1111111111111107E-2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1.2777777777777777E-2</v>
      </c>
      <c r="AJ8" s="120">
        <f t="shared" si="14"/>
        <v>2.5555555555555554E-2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v>6.0666554616616263E-2</v>
      </c>
      <c r="C9" s="215">
        <v>0</v>
      </c>
      <c r="D9" s="24">
        <f t="shared" si="0"/>
        <v>6.0666554616616263E-2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6.6126544532111725E-2</v>
      </c>
      <c r="J9" s="24">
        <f t="shared" si="3"/>
        <v>6.6126544532111725E-2</v>
      </c>
      <c r="K9" s="22">
        <f t="shared" si="4"/>
        <v>6.0666554616616263E-2</v>
      </c>
      <c r="L9" s="22">
        <f t="shared" si="5"/>
        <v>6.6126544532111725E-2</v>
      </c>
      <c r="M9" s="224">
        <f t="shared" si="6"/>
        <v>6.6126544532111725E-2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600.96174511333197</v>
      </c>
      <c r="S9" s="222">
        <f>IF($B$81=0,0,(SUMIF($N$6:$N$28,$U9,L$6:L$28)+SUMIF($N$91:$N$118,$U9,L$91:L$118))*$I$83*Poor!$B$81/$B$81)</f>
        <v>332.28890284958726</v>
      </c>
      <c r="T9" s="222">
        <f>IF($B$81=0,0,(SUMIF($N$6:$N$28,$U9,M$6:M$28)+SUMIF($N$91:$N$118,$U9,M$91:M$118))*$I$83*Poor!$B$81/$B$81)</f>
        <v>332.28890284958726</v>
      </c>
      <c r="U9" s="223">
        <v>3</v>
      </c>
      <c r="V9" s="56"/>
      <c r="W9" s="115"/>
      <c r="X9" s="118">
        <f>Poor!X9</f>
        <v>1</v>
      </c>
      <c r="Y9" s="183">
        <f t="shared" si="9"/>
        <v>0.2645061781284469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0.2645061781284469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6.6126544532111725E-2</v>
      </c>
      <c r="AJ9" s="120">
        <f t="shared" si="14"/>
        <v>0.13225308906422345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5">
        <v>1.7096627601850205E-2</v>
      </c>
      <c r="C10" s="215">
        <v>0</v>
      </c>
      <c r="D10" s="24">
        <f t="shared" si="0"/>
        <v>1.7096627601850205E-2</v>
      </c>
      <c r="E10" s="75">
        <f>Poor!E10</f>
        <v>0.8</v>
      </c>
      <c r="H10" s="24">
        <f t="shared" si="1"/>
        <v>0.8</v>
      </c>
      <c r="I10" s="22">
        <f t="shared" si="2"/>
        <v>1.3677302081480165E-2</v>
      </c>
      <c r="J10" s="24">
        <f t="shared" si="3"/>
        <v>1.3677302081480165E-2</v>
      </c>
      <c r="K10" s="22">
        <f t="shared" si="4"/>
        <v>1.7096627601850205E-2</v>
      </c>
      <c r="L10" s="22">
        <f t="shared" si="5"/>
        <v>1.3677302081480165E-2</v>
      </c>
      <c r="M10" s="224">
        <f t="shared" si="6"/>
        <v>1.3677302081480165E-2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5.4709208325920661E-2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5.4709208325920661E-2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1.3677302081480165E-2</v>
      </c>
      <c r="AJ10" s="120">
        <f t="shared" si="14"/>
        <v>2.735460416296033E-2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215">
        <v>1.040873910336239E-2</v>
      </c>
      <c r="C11" s="215">
        <v>0</v>
      </c>
      <c r="D11" s="24">
        <f t="shared" si="0"/>
        <v>1.040873910336239E-2</v>
      </c>
      <c r="E11" s="75">
        <f>Poor!E11</f>
        <v>0.8</v>
      </c>
      <c r="H11" s="24">
        <f t="shared" si="1"/>
        <v>0.8</v>
      </c>
      <c r="I11" s="22">
        <f t="shared" si="2"/>
        <v>8.326991282689912E-3</v>
      </c>
      <c r="J11" s="24">
        <f t="shared" si="3"/>
        <v>8.326991282689912E-3</v>
      </c>
      <c r="K11" s="22">
        <f t="shared" si="4"/>
        <v>1.040873910336239E-2</v>
      </c>
      <c r="L11" s="22">
        <f t="shared" si="5"/>
        <v>8.326991282689912E-3</v>
      </c>
      <c r="M11" s="224">
        <f t="shared" si="6"/>
        <v>8.326991282689912E-3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3045.4403600511423</v>
      </c>
      <c r="S11" s="222">
        <f>IF($B$81=0,0,(SUMIF($N$6:$N$28,$U11,L$6:L$28)+SUMIF($N$91:$N$118,$U11,L$91:L$118))*$I$83*Poor!$B$81/$B$81)</f>
        <v>2336.3999999999992</v>
      </c>
      <c r="T11" s="222">
        <f>IF($B$81=0,0,(SUMIF($N$6:$N$28,$U11,M$6:M$28)+SUMIF($N$91:$N$118,$U11,M$91:M$118))*$I$83*Poor!$B$81/$B$81)</f>
        <v>1392.3999999999999</v>
      </c>
      <c r="U11" s="223">
        <v>5</v>
      </c>
      <c r="V11" s="56"/>
      <c r="W11" s="115"/>
      <c r="X11" s="118">
        <f>Poor!X11</f>
        <v>1</v>
      </c>
      <c r="Y11" s="183">
        <f t="shared" si="9"/>
        <v>3.3307965130759648E-2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3.3307965130759648E-2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8.326991282689912E-3</v>
      </c>
      <c r="AJ11" s="120">
        <f t="shared" si="14"/>
        <v>1.6653982565379824E-2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215">
        <v>1.2220189912826899E-3</v>
      </c>
      <c r="C12" s="215">
        <v>0</v>
      </c>
      <c r="D12" s="24">
        <f t="shared" si="0"/>
        <v>1.2220189912826899E-3</v>
      </c>
      <c r="E12" s="75">
        <f>Poor!E12</f>
        <v>0.8</v>
      </c>
      <c r="H12" s="24">
        <f t="shared" si="1"/>
        <v>0.8</v>
      </c>
      <c r="I12" s="22">
        <f t="shared" si="2"/>
        <v>9.7761519302615196E-4</v>
      </c>
      <c r="J12" s="24">
        <f t="shared" si="3"/>
        <v>9.7761519302615196E-4</v>
      </c>
      <c r="K12" s="22">
        <f t="shared" si="4"/>
        <v>1.2220189912826899E-3</v>
      </c>
      <c r="L12" s="22">
        <f t="shared" si="5"/>
        <v>9.7761519302615196E-4</v>
      </c>
      <c r="M12" s="224">
        <f t="shared" si="6"/>
        <v>9.7761519302615196E-4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3.9104607721046078E-3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2.6200087173100873E-3</v>
      </c>
      <c r="AF12" s="122">
        <f>1-SUM(Z12,AB12,AD12)</f>
        <v>0.32999999999999996</v>
      </c>
      <c r="AG12" s="121">
        <f>$M12*AF12*4</f>
        <v>1.2904520547945204E-3</v>
      </c>
      <c r="AH12" s="123">
        <f t="shared" si="12"/>
        <v>1</v>
      </c>
      <c r="AI12" s="183">
        <f t="shared" si="13"/>
        <v>9.7761519302615196E-4</v>
      </c>
      <c r="AJ12" s="120">
        <f t="shared" si="14"/>
        <v>0</v>
      </c>
      <c r="AK12" s="119">
        <f t="shared" si="15"/>
        <v>1.9552303860523039E-3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215">
        <v>0</v>
      </c>
      <c r="C13" s="215">
        <v>0</v>
      </c>
      <c r="D13" s="24">
        <f t="shared" si="0"/>
        <v>0</v>
      </c>
      <c r="E13" s="75">
        <f>Poor!E13</f>
        <v>0.8</v>
      </c>
      <c r="H13" s="24">
        <f t="shared" si="1"/>
        <v>0.8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5317.1555759881148</v>
      </c>
      <c r="S13" s="222">
        <f>IF($B$81=0,0,(SUMIF($N$6:$N$28,$U13,L$6:L$28)+SUMIF($N$91:$N$118,$U13,L$91:L$118))*$I$83*Poor!$B$81/$B$81)</f>
        <v>4789.8010398225597</v>
      </c>
      <c r="T13" s="222">
        <f>IF($B$81=0,0,(SUMIF($N$6:$N$28,$U13,M$6:M$28)+SUMIF($N$91:$N$118,$U13,M$91:M$118))*$I$83*Poor!$B$81/$B$81)</f>
        <v>4794.1740943330369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215">
        <v>0</v>
      </c>
      <c r="C14" s="215">
        <v>0</v>
      </c>
      <c r="D14" s="24">
        <f t="shared" si="0"/>
        <v>0</v>
      </c>
      <c r="E14" s="75">
        <f>Poor!E14</f>
        <v>0.8</v>
      </c>
      <c r="F14" s="22"/>
      <c r="H14" s="24">
        <f t="shared" si="1"/>
        <v>0.8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215">
        <v>0</v>
      </c>
      <c r="C15" s="215">
        <v>0</v>
      </c>
      <c r="D15" s="24">
        <f t="shared" si="0"/>
        <v>0</v>
      </c>
      <c r="E15" s="75">
        <f>Poor!E15</f>
        <v>0.8</v>
      </c>
      <c r="F15" s="22"/>
      <c r="H15" s="24">
        <f t="shared" si="1"/>
        <v>0.8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5020.3622905085504</v>
      </c>
      <c r="S15" s="222">
        <f>IF($B$81=0,0,(SUMIF($N$6:$N$28,$U15,L$6:L$28)+SUMIF($N$91:$N$118,$U15,L$91:L$118))*$I$83*Poor!$B$81/$B$81)</f>
        <v>4814.3999999999996</v>
      </c>
      <c r="T15" s="222">
        <f>IF($B$81=0,0,(SUMIF($N$6:$N$28,$U15,M$6:M$28)+SUMIF($N$91:$N$118,$U15,M$91:M$118))*$I$83*Poor!$B$81/$B$81)</f>
        <v>4814.3999999999996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215">
        <v>6.0017123287671231E-4</v>
      </c>
      <c r="C16" s="215">
        <v>7.8222291407222907E-5</v>
      </c>
      <c r="D16" s="24">
        <f t="shared" ref="D16:D25" si="18">(B16+C16)</f>
        <v>6.7839352428393518E-4</v>
      </c>
      <c r="E16" s="75">
        <f>Poor!E16</f>
        <v>0.8</v>
      </c>
      <c r="F16" s="22"/>
      <c r="H16" s="24">
        <f t="shared" ref="H16:H25" si="19">(E16*F$7/F$9)</f>
        <v>0.8</v>
      </c>
      <c r="I16" s="22">
        <f t="shared" ref="I16:I25" si="20">(D16*H16)</f>
        <v>5.4271481942714812E-4</v>
      </c>
      <c r="J16" s="24">
        <f t="shared" si="17"/>
        <v>4.9802271348509065E-4</v>
      </c>
      <c r="K16" s="22">
        <f t="shared" ref="K16:K25" si="21">B16</f>
        <v>6.0017123287671231E-4</v>
      </c>
      <c r="L16" s="22">
        <f t="shared" ref="L16:L25" si="22">IF(K16="","",K16*H16)</f>
        <v>4.8013698630136988E-4</v>
      </c>
      <c r="M16" s="226">
        <f t="shared" ref="M16:M25" si="23">J16</f>
        <v>4.9802271348509065E-4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215">
        <v>3.3890660024906601E-3</v>
      </c>
      <c r="C17" s="215">
        <v>0</v>
      </c>
      <c r="D17" s="24">
        <f t="shared" si="18"/>
        <v>3.3890660024906601E-3</v>
      </c>
      <c r="E17" s="75">
        <f>Poor!E17</f>
        <v>0.8</v>
      </c>
      <c r="F17" s="22"/>
      <c r="H17" s="24">
        <f t="shared" si="19"/>
        <v>0.8</v>
      </c>
      <c r="I17" s="22">
        <f t="shared" si="20"/>
        <v>2.7112528019925283E-3</v>
      </c>
      <c r="J17" s="24">
        <f t="shared" si="17"/>
        <v>2.7112528019925283E-3</v>
      </c>
      <c r="K17" s="22">
        <f t="shared" si="21"/>
        <v>3.3890660024906601E-3</v>
      </c>
      <c r="L17" s="22">
        <f t="shared" si="22"/>
        <v>2.7112528019925283E-3</v>
      </c>
      <c r="M17" s="226">
        <f t="shared" si="23"/>
        <v>2.7112528019925283E-3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1575.0156205517019</v>
      </c>
      <c r="S17" s="222">
        <f>IF($B$81=0,0,(SUMIF($N$6:$N$28,$U17,L$6:L$28)+SUMIF($N$91:$N$118,$U17,L$91:L$118))*$I$83*Poor!$B$81/$B$81)</f>
        <v>1208.3199999999997</v>
      </c>
      <c r="T17" s="222">
        <f>IF($B$81=0,0,(SUMIF($N$6:$N$28,$U17,M$6:M$28)+SUMIF($N$91:$N$118,$U17,M$91:M$118))*$I$83*Poor!$B$81/$B$81)</f>
        <v>1208.3199999999997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Sweet Potatoes: kg produced</v>
      </c>
      <c r="B18" s="215">
        <v>1.2422166874221667E-3</v>
      </c>
      <c r="C18" s="215">
        <v>0</v>
      </c>
      <c r="D18" s="24">
        <f t="shared" si="18"/>
        <v>1.2422166874221667E-3</v>
      </c>
      <c r="E18" s="75">
        <f>Poor!E18</f>
        <v>0.8</v>
      </c>
      <c r="F18" s="22"/>
      <c r="H18" s="24">
        <f t="shared" si="19"/>
        <v>0.8</v>
      </c>
      <c r="I18" s="22">
        <f t="shared" si="20"/>
        <v>9.937733499377334E-4</v>
      </c>
      <c r="J18" s="24">
        <f t="shared" si="17"/>
        <v>9.937733499377334E-4</v>
      </c>
      <c r="K18" s="22">
        <f t="shared" si="21"/>
        <v>1.2422166874221667E-3</v>
      </c>
      <c r="L18" s="22">
        <f t="shared" si="22"/>
        <v>9.937733499377334E-4</v>
      </c>
      <c r="M18" s="226">
        <f t="shared" si="23"/>
        <v>9.937733499377334E-4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2542.6668466728388</v>
      </c>
      <c r="S18" s="222">
        <f>IF($B$81=0,0,(SUMIF($N$6:$N$28,$U18,L$6:L$28)+SUMIF($N$91:$N$118,$U18,L$91:L$118))*$I$83*Poor!$B$81/$B$81)</f>
        <v>2066.4008161399674</v>
      </c>
      <c r="T18" s="222">
        <f>IF($B$81=0,0,(SUMIF($N$6:$N$28,$U18,M$6:M$28)+SUMIF($N$91:$N$118,$U18,M$91:M$118))*$I$83*Poor!$B$81/$B$81)</f>
        <v>2066.4008161399674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Amadumbe: kg produced</v>
      </c>
      <c r="B19" s="215">
        <v>1.9121004566210046E-3</v>
      </c>
      <c r="C19" s="215">
        <v>0</v>
      </c>
      <c r="D19" s="24">
        <f t="shared" si="18"/>
        <v>1.9121004566210046E-3</v>
      </c>
      <c r="E19" s="75">
        <f>Poor!E19</f>
        <v>0.8</v>
      </c>
      <c r="F19" s="22"/>
      <c r="H19" s="24">
        <f t="shared" si="19"/>
        <v>0.8</v>
      </c>
      <c r="I19" s="22">
        <f t="shared" si="20"/>
        <v>1.5296803652968037E-3</v>
      </c>
      <c r="J19" s="24">
        <f t="shared" si="17"/>
        <v>1.5296803652968037E-3</v>
      </c>
      <c r="K19" s="22">
        <f t="shared" si="21"/>
        <v>1.9121004566210046E-3</v>
      </c>
      <c r="L19" s="22">
        <f t="shared" si="22"/>
        <v>1.5296803652968037E-3</v>
      </c>
      <c r="M19" s="226">
        <f t="shared" si="23"/>
        <v>1.5296803652968037E-3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Green Pepper/ Brinjal / Beetroot: kg produced</v>
      </c>
      <c r="B20" s="215">
        <v>0</v>
      </c>
      <c r="C20" s="215">
        <v>0</v>
      </c>
      <c r="D20" s="24">
        <f t="shared" si="18"/>
        <v>0</v>
      </c>
      <c r="E20" s="75">
        <f>Poor!E20</f>
        <v>0.8</v>
      </c>
      <c r="F20" s="22"/>
      <c r="H20" s="24">
        <f t="shared" si="19"/>
        <v>0.8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23585.858917761736</v>
      </c>
      <c r="S20" s="222">
        <f>IF($B$81=0,0,(SUMIF($N$6:$N$28,$U20,L$6:L$28)+SUMIF($N$91:$N$118,$U20,L$91:L$118))*$I$83*Poor!$B$81/$B$81)</f>
        <v>22618.239999999998</v>
      </c>
      <c r="T20" s="222">
        <f>IF($B$81=0,0,(SUMIF($N$6:$N$28,$U20,M$6:M$28)+SUMIF($N$91:$N$118,$U20,M$91:M$118))*$I$83*Poor!$B$81/$B$81)</f>
        <v>22618.239999999998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FISHING -- see worksheet Data 3</v>
      </c>
      <c r="B21" s="215">
        <v>3.2923412204234124E-3</v>
      </c>
      <c r="C21" s="215">
        <v>8.2308530510585322E-4</v>
      </c>
      <c r="D21" s="24">
        <f t="shared" si="18"/>
        <v>4.1154265255292661E-3</v>
      </c>
      <c r="E21" s="75">
        <f>Poor!E21</f>
        <v>1</v>
      </c>
      <c r="F21" s="22"/>
      <c r="H21" s="24">
        <f t="shared" si="19"/>
        <v>1</v>
      </c>
      <c r="I21" s="22">
        <f t="shared" si="20"/>
        <v>4.1154265255292661E-3</v>
      </c>
      <c r="J21" s="24">
        <f t="shared" si="17"/>
        <v>3.5275919231197404E-3</v>
      </c>
      <c r="K21" s="22">
        <f t="shared" si="21"/>
        <v>3.2923412204234124E-3</v>
      </c>
      <c r="L21" s="22">
        <f t="shared" si="22"/>
        <v>3.2923412204234124E-3</v>
      </c>
      <c r="M21" s="226">
        <f t="shared" si="23"/>
        <v>3.5275919231197404E-3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WILD FOODS -- see worksheet Data 3</v>
      </c>
      <c r="B22" s="215">
        <v>1.1463262764632627E-3</v>
      </c>
      <c r="C22" s="215">
        <v>2.8658156911581567E-4</v>
      </c>
      <c r="D22" s="24">
        <f t="shared" si="18"/>
        <v>1.4329078455790783E-3</v>
      </c>
      <c r="E22" s="75">
        <f>Poor!E22</f>
        <v>1</v>
      </c>
      <c r="F22" s="22"/>
      <c r="H22" s="24">
        <f t="shared" si="19"/>
        <v>1</v>
      </c>
      <c r="I22" s="22">
        <f t="shared" si="20"/>
        <v>1.4329078455790783E-3</v>
      </c>
      <c r="J22" s="24">
        <f t="shared" si="17"/>
        <v>1.2282357882673176E-3</v>
      </c>
      <c r="K22" s="22">
        <f t="shared" si="21"/>
        <v>1.1463262764632627E-3</v>
      </c>
      <c r="L22" s="22">
        <f t="shared" si="22"/>
        <v>1.1463262764632627E-3</v>
      </c>
      <c r="M22" s="226">
        <f t="shared" si="23"/>
        <v>1.2282357882673176E-3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v>0</v>
      </c>
      <c r="C23" s="215"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43351.162705051131</v>
      </c>
      <c r="S23" s="179">
        <f>SUM(S7:S22)</f>
        <v>39496.809163458325</v>
      </c>
      <c r="T23" s="179">
        <f>SUM(T7:T22)</f>
        <v>38551.828829165155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v>0</v>
      </c>
      <c r="C24" s="215"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31035.992491963734</v>
      </c>
      <c r="S24" s="41">
        <f>IF($B$81=0,0,(SUM(($B$70*$H$70))+((1-$D$29)*$I$83))*Poor!$B$81/$B$81)</f>
        <v>31035.992491963734</v>
      </c>
      <c r="T24" s="41">
        <f>IF($B$81=0,0,(SUM(($B$70*$H$70))+((1-$D$29)*$I$83))*Poor!$B$81/$B$81)</f>
        <v>31035.992491963734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v>0</v>
      </c>
      <c r="C25" s="215"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47999.934714185954</v>
      </c>
      <c r="S25" s="41">
        <f>IF($B$81=0,0,(SUM(($B$70*$H$70),($B$71*$H$71))+((1-$D$29)*$I$83))*Poor!$B$81/$B$81)</f>
        <v>47999.934714185954</v>
      </c>
      <c r="T25" s="41">
        <f>IF($B$81=0,0,(SUM(($B$70*$H$70),($B$71*$H$71))+((1-$D$29)*$I$83))*Poor!$B$81/$B$81)</f>
        <v>47999.934714185954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v>0.14986781539551045</v>
      </c>
      <c r="C26" s="215">
        <v>0</v>
      </c>
      <c r="D26" s="24">
        <f t="shared" si="0"/>
        <v>0.14986781539551045</v>
      </c>
      <c r="E26" s="75">
        <f>Poor!E26</f>
        <v>1</v>
      </c>
      <c r="F26" s="22"/>
      <c r="H26" s="24">
        <f t="shared" si="1"/>
        <v>1</v>
      </c>
      <c r="I26" s="22">
        <f t="shared" si="2"/>
        <v>0.14986781539551045</v>
      </c>
      <c r="J26" s="24">
        <f>IF(I$32&lt;=1+I131,I26,B26*H26+J$33*(I26-B26*H26))</f>
        <v>0.14986781539551045</v>
      </c>
      <c r="K26" s="22">
        <f t="shared" si="4"/>
        <v>0.14986781539551045</v>
      </c>
      <c r="L26" s="22">
        <f t="shared" si="5"/>
        <v>0.14986781539551045</v>
      </c>
      <c r="M26" s="224">
        <f t="shared" si="6"/>
        <v>0.14986781539551045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79373.774714185958</v>
      </c>
      <c r="S26" s="41">
        <f>IF($B$81=0,0,(SUM(($B$70*$H$70),($B$71*$H$71),($B$72*$H$72))+((1-$D$29)*$I$83))*Poor!$B$81/$B$81)</f>
        <v>79373.774714185958</v>
      </c>
      <c r="T26" s="41">
        <f>IF($B$81=0,0,(SUM(($B$70*$H$70),($B$71*$H$71),($B$72*$H$72))+((1-$D$29)*$I$83))*Poor!$B$81/$B$81)</f>
        <v>79373.774714185958</v>
      </c>
      <c r="U26" s="56"/>
      <c r="V26" s="56"/>
      <c r="W26" s="110"/>
      <c r="X26" s="118"/>
      <c r="Y26" s="183">
        <f t="shared" si="9"/>
        <v>0.59947126158204178</v>
      </c>
      <c r="Z26" s="156">
        <f>Poor!Z26</f>
        <v>0.25</v>
      </c>
      <c r="AA26" s="121">
        <f t="shared" si="16"/>
        <v>0.14986781539551045</v>
      </c>
      <c r="AB26" s="156">
        <f>Poor!AB26</f>
        <v>0.25</v>
      </c>
      <c r="AC26" s="121">
        <f t="shared" si="7"/>
        <v>0.14986781539551045</v>
      </c>
      <c r="AD26" s="156">
        <f>Poor!AD26</f>
        <v>0.25</v>
      </c>
      <c r="AE26" s="121">
        <f t="shared" si="8"/>
        <v>0.14986781539551045</v>
      </c>
      <c r="AF26" s="122">
        <f t="shared" si="10"/>
        <v>0.25</v>
      </c>
      <c r="AG26" s="121">
        <f t="shared" si="11"/>
        <v>0.14986781539551045</v>
      </c>
      <c r="AH26" s="123">
        <f t="shared" si="12"/>
        <v>1</v>
      </c>
      <c r="AI26" s="183">
        <f t="shared" si="13"/>
        <v>0.14986781539551045</v>
      </c>
      <c r="AJ26" s="120">
        <f t="shared" si="14"/>
        <v>0.14986781539551045</v>
      </c>
      <c r="AK26" s="119">
        <f t="shared" si="15"/>
        <v>0.14986781539551045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v>3.2194264899484078E-2</v>
      </c>
      <c r="C27" s="215">
        <v>-3.2194264899484078E-2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3.2194264899484078E-2</v>
      </c>
      <c r="L27" s="22">
        <f t="shared" si="5"/>
        <v>3.2194264899484078E-2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v>0</v>
      </c>
      <c r="C28" s="215"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v>0.20210494927504</v>
      </c>
      <c r="C29" s="215">
        <v>2.2642749809475924E-2</v>
      </c>
      <c r="D29" s="24">
        <f>(B29+C29)</f>
        <v>0.22474769908451592</v>
      </c>
      <c r="E29" s="75">
        <f>Poor!E29</f>
        <v>1</v>
      </c>
      <c r="F29" s="22"/>
      <c r="H29" s="24">
        <f t="shared" si="1"/>
        <v>1</v>
      </c>
      <c r="I29" s="22">
        <f t="shared" si="2"/>
        <v>0.22474769908451592</v>
      </c>
      <c r="J29" s="24">
        <f>IF(I$32&lt;=1+I131,I29,B29*H29+J$33*(I29-B29*H29))</f>
        <v>0.22474769908451592</v>
      </c>
      <c r="K29" s="22">
        <f t="shared" si="4"/>
        <v>0.20210494927504</v>
      </c>
      <c r="L29" s="22">
        <f t="shared" si="5"/>
        <v>0.20210494927504</v>
      </c>
      <c r="M29" s="224">
        <f t="shared" si="6"/>
        <v>0.22474769908451592</v>
      </c>
      <c r="N29" s="229"/>
      <c r="P29" s="22"/>
      <c r="V29" s="56"/>
      <c r="W29" s="110"/>
      <c r="X29" s="118"/>
      <c r="Y29" s="183">
        <f t="shared" si="9"/>
        <v>0.89899079633806367</v>
      </c>
      <c r="Z29" s="156">
        <f>Poor!Z29</f>
        <v>0.25</v>
      </c>
      <c r="AA29" s="121">
        <f t="shared" si="16"/>
        <v>0.22474769908451592</v>
      </c>
      <c r="AB29" s="156">
        <f>Poor!AB29</f>
        <v>0.25</v>
      </c>
      <c r="AC29" s="121">
        <f t="shared" si="7"/>
        <v>0.22474769908451592</v>
      </c>
      <c r="AD29" s="156">
        <f>Poor!AD29</f>
        <v>0.25</v>
      </c>
      <c r="AE29" s="121">
        <f t="shared" si="8"/>
        <v>0.22474769908451592</v>
      </c>
      <c r="AF29" s="122">
        <f t="shared" si="10"/>
        <v>0.25</v>
      </c>
      <c r="AG29" s="121">
        <f t="shared" si="11"/>
        <v>0.22474769908451592</v>
      </c>
      <c r="AH29" s="123">
        <f t="shared" si="12"/>
        <v>1</v>
      </c>
      <c r="AI29" s="183">
        <f t="shared" si="13"/>
        <v>0.22474769908451592</v>
      </c>
      <c r="AJ29" s="120">
        <f t="shared" si="14"/>
        <v>0.22474769908451592</v>
      </c>
      <c r="AK29" s="119">
        <f t="shared" si="15"/>
        <v>0.22474769908451592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v>0.61947890193026156</v>
      </c>
      <c r="C30" s="103"/>
      <c r="D30" s="24">
        <f>(D119-B124)</f>
        <v>1.1419690920094767</v>
      </c>
      <c r="E30" s="75">
        <f>Poor!E30</f>
        <v>1</v>
      </c>
      <c r="H30" s="96">
        <f>(E30*F$7/F$9)</f>
        <v>1</v>
      </c>
      <c r="I30" s="29">
        <f>IF(E30&gt;=1,I119-I124,MIN(I119-I124,B30*H30))</f>
        <v>1.0467815403222167</v>
      </c>
      <c r="J30" s="231">
        <f>IF(I$32&lt;=1,I30,1-SUM(J6:J29))</f>
        <v>0.50168788572782308</v>
      </c>
      <c r="K30" s="22">
        <f t="shared" si="4"/>
        <v>0.61947890193026156</v>
      </c>
      <c r="L30" s="22">
        <f>IF(L124=L119,0,IF(K30="",0,(L119-L124)/(B119-B124)*K30))</f>
        <v>0.56889214765278573</v>
      </c>
      <c r="M30" s="175">
        <f t="shared" si="6"/>
        <v>0.50168788572782308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2.0067515429112923</v>
      </c>
      <c r="Z30" s="122">
        <f>IF($Y30=0,0,AA30/($Y$30))</f>
        <v>-0.30565794084473025</v>
      </c>
      <c r="AA30" s="187">
        <f>IF(AA79*4/$I$83+SUM(AA6:AA29)&lt;1,AA79*4/$I$83,1-SUM(AA6:AA29))</f>
        <v>-0.61337954439325093</v>
      </c>
      <c r="AB30" s="122">
        <f>IF($Y30=0,0,AC30/($Y$30))</f>
        <v>-0.50694887362533803</v>
      </c>
      <c r="AC30" s="187">
        <f>IF(AC79*4/$I$83+SUM(AC6:AC29)&lt;1,AC79*4/$I$83,1-SUM(AC6:AC29))</f>
        <v>-1.0173204343247888</v>
      </c>
      <c r="AD30" s="122">
        <f>IF($Y30=0,0,AE30/($Y$30))</f>
        <v>-0.50694887362533825</v>
      </c>
      <c r="AE30" s="187">
        <f>IF(AE79*4/$I$83+SUM(AE6:AE29)&lt;1,AE79*4/$I$83,1-SUM(AE6:AE29))</f>
        <v>-1.0173204343247892</v>
      </c>
      <c r="AF30" s="122">
        <f>IF($Y30=0,0,AG30/($Y$30))</f>
        <v>-0.50694887362533803</v>
      </c>
      <c r="AG30" s="187">
        <f>IF(AG79*4/$I$83+SUM(AG6:AG29)&lt;1,AG79*4/$I$83,1-SUM(AG6:AG29))</f>
        <v>-1.0173204343247888</v>
      </c>
      <c r="AH30" s="123">
        <f t="shared" si="12"/>
        <v>-1.8265045617207445</v>
      </c>
      <c r="AI30" s="183">
        <f t="shared" si="13"/>
        <v>-0.91633521184190447</v>
      </c>
      <c r="AJ30" s="120">
        <f t="shared" si="14"/>
        <v>-0.81534998935901992</v>
      </c>
      <c r="AK30" s="119">
        <f t="shared" si="15"/>
        <v>-1.017320434324789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-7.642073107328673E-2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4648.7720091348237</v>
      </c>
      <c r="S31" s="234">
        <f t="shared" si="24"/>
        <v>8503.1255507276292</v>
      </c>
      <c r="T31" s="234">
        <f>IF(T25&gt;T$23,T25-T$23,0)</f>
        <v>9448.1058850207992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0.83087498589693654</v>
      </c>
      <c r="AB31" s="131"/>
      <c r="AC31" s="133">
        <f>1-AC32+IF($Y32&lt;0,$Y32/4,0)</f>
        <v>1.6384503385247127</v>
      </c>
      <c r="AD31" s="134"/>
      <c r="AE31" s="133">
        <f>1-AE32+IF($Y32&lt;0,$Y32/4,0)</f>
        <v>1.6318260179767679</v>
      </c>
      <c r="AF31" s="134"/>
      <c r="AG31" s="133">
        <f>1-AG32+IF($Y32&lt;0,$Y32/4,0)</f>
        <v>1.6128952756488899</v>
      </c>
      <c r="AH31" s="123"/>
      <c r="AI31" s="182">
        <f>SUM(AA31,AC31,AE31,AG31)/4</f>
        <v>1.4285116545118268</v>
      </c>
      <c r="AJ31" s="135">
        <f t="shared" si="14"/>
        <v>1.2346626622108245</v>
      </c>
      <c r="AK31" s="136">
        <f t="shared" si="15"/>
        <v>1.6223606468128289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1.1400434954334138</v>
      </c>
      <c r="C32" s="77">
        <f>SUM(C6:C31)</f>
        <v>-8.3636259243792636E-3</v>
      </c>
      <c r="D32" s="24">
        <f>SUM(D6:D30)</f>
        <v>1.6541700595882498</v>
      </c>
      <c r="E32" s="2"/>
      <c r="F32" s="2"/>
      <c r="H32" s="17"/>
      <c r="I32" s="22">
        <f>SUM(I6:I30)</f>
        <v>1.5459308533600571</v>
      </c>
      <c r="J32" s="17"/>
      <c r="L32" s="22">
        <f>SUM(L6:L30)</f>
        <v>1.0764207310732867</v>
      </c>
      <c r="M32" s="23"/>
      <c r="N32" s="56"/>
      <c r="O32" s="2"/>
      <c r="P32" s="22"/>
      <c r="Q32" s="234" t="s">
        <v>143</v>
      </c>
      <c r="R32" s="234">
        <f t="shared" si="24"/>
        <v>36022.612009134828</v>
      </c>
      <c r="S32" s="234">
        <f t="shared" si="24"/>
        <v>39876.965550727633</v>
      </c>
      <c r="T32" s="234">
        <f t="shared" si="24"/>
        <v>40821.945885020803</v>
      </c>
      <c r="V32" s="56"/>
      <c r="W32" s="110"/>
      <c r="X32" s="118"/>
      <c r="Y32" s="115">
        <f>SUM(Y6:Y31)</f>
        <v>3.9580457722316034</v>
      </c>
      <c r="Z32" s="137"/>
      <c r="AA32" s="138">
        <f>SUM(AA6:AA30)</f>
        <v>0.16912501410306346</v>
      </c>
      <c r="AB32" s="137"/>
      <c r="AC32" s="139">
        <f>SUM(AC6:AC30)</f>
        <v>-0.63845033852471267</v>
      </c>
      <c r="AD32" s="137"/>
      <c r="AE32" s="139">
        <f>SUM(AE6:AE30)</f>
        <v>-0.63182601797676785</v>
      </c>
      <c r="AF32" s="137"/>
      <c r="AG32" s="139">
        <f>SUM(AG6:AG30)</f>
        <v>-0.61289527564888979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0.2858157000702054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9448.1058850207992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v>2000</v>
      </c>
      <c r="C37" s="216">
        <v>-1000</v>
      </c>
      <c r="D37" s="38">
        <f t="shared" ref="D37:D64" si="25">B37+C37</f>
        <v>1000</v>
      </c>
      <c r="E37" s="75">
        <f>Poor!E37</f>
        <v>0.8</v>
      </c>
      <c r="F37" s="75">
        <f>Poor!F37</f>
        <v>1.18</v>
      </c>
      <c r="G37" s="75">
        <f>Poor!G37</f>
        <v>1</v>
      </c>
      <c r="H37" s="24">
        <f t="shared" ref="H37" si="26">(E37*F37)</f>
        <v>0.94399999999999995</v>
      </c>
      <c r="I37" s="39">
        <f t="shared" ref="I37" si="27">D37*H37</f>
        <v>944</v>
      </c>
      <c r="J37" s="38">
        <f>J91*I$83</f>
        <v>943.99999999999977</v>
      </c>
      <c r="K37" s="40">
        <f>(B37/B$65)</f>
        <v>6.3930443677279125E-2</v>
      </c>
      <c r="L37" s="22">
        <f t="shared" ref="L37" si="28">(K37*H37)</f>
        <v>6.0350338831351491E-2</v>
      </c>
      <c r="M37" s="24">
        <f>J37/B$65</f>
        <v>3.0175169415675739E-2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943.99999999999977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943.99999999999977</v>
      </c>
      <c r="AJ37" s="148">
        <f>(AA37+AC37)</f>
        <v>943.99999999999977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v>475</v>
      </c>
      <c r="C38" s="216">
        <v>0</v>
      </c>
      <c r="D38" s="38">
        <f t="shared" si="25"/>
        <v>475</v>
      </c>
      <c r="E38" s="75">
        <f>Poor!E38</f>
        <v>0.8</v>
      </c>
      <c r="F38" s="75">
        <f>Poor!F38</f>
        <v>1.18</v>
      </c>
      <c r="G38" s="75">
        <f>Poor!G38</f>
        <v>1</v>
      </c>
      <c r="H38" s="24">
        <f t="shared" ref="H38:H64" si="30">(E38*F38)</f>
        <v>0.94399999999999995</v>
      </c>
      <c r="I38" s="39">
        <f t="shared" ref="I38:I64" si="31">D38*H38</f>
        <v>448.4</v>
      </c>
      <c r="J38" s="38">
        <f t="shared" ref="J38:J64" si="32">J92*I$83</f>
        <v>448.39999999999992</v>
      </c>
      <c r="K38" s="40">
        <f t="shared" ref="K38:K64" si="33">(B38/B$65)</f>
        <v>1.5183480373353792E-2</v>
      </c>
      <c r="L38" s="22">
        <f t="shared" ref="L38:L64" si="34">(K38*H38)</f>
        <v>1.4333205472445978E-2</v>
      </c>
      <c r="M38" s="24">
        <f t="shared" ref="M38:M64" si="35">J38/B$65</f>
        <v>1.4333205472445976E-2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448.39999999999992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448.39999999999992</v>
      </c>
      <c r="AJ38" s="148">
        <f t="shared" ref="AJ38:AJ64" si="38">(AA38+AC38)</f>
        <v>448.39999999999992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v>0</v>
      </c>
      <c r="C39" s="216"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v>0</v>
      </c>
      <c r="C40" s="216"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v>0</v>
      </c>
      <c r="C41" s="216"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v>0</v>
      </c>
      <c r="C42" s="216">
        <v>0</v>
      </c>
      <c r="D42" s="38">
        <f t="shared" si="25"/>
        <v>0</v>
      </c>
      <c r="E42" s="75">
        <f>Poor!E42</f>
        <v>0.8</v>
      </c>
      <c r="F42" s="75">
        <f>Poor!F42</f>
        <v>1.4</v>
      </c>
      <c r="G42" s="75">
        <f>Poor!G42</f>
        <v>1</v>
      </c>
      <c r="H42" s="24">
        <f t="shared" si="30"/>
        <v>1.1199999999999999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6">
        <v>0</v>
      </c>
      <c r="C43" s="216">
        <v>0</v>
      </c>
      <c r="D43" s="38">
        <f t="shared" si="25"/>
        <v>0</v>
      </c>
      <c r="E43" s="75">
        <f>Poor!E43</f>
        <v>0.8</v>
      </c>
      <c r="F43" s="75">
        <f>Poor!F43</f>
        <v>1.4</v>
      </c>
      <c r="G43" s="75">
        <f>Poor!G43</f>
        <v>1</v>
      </c>
      <c r="H43" s="24">
        <f t="shared" si="30"/>
        <v>1.1199999999999999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Amadumbe: kg produced</v>
      </c>
      <c r="B44" s="216">
        <v>0</v>
      </c>
      <c r="C44" s="216">
        <v>0</v>
      </c>
      <c r="D44" s="38">
        <f t="shared" si="25"/>
        <v>0</v>
      </c>
      <c r="E44" s="75">
        <f>Poor!E44</f>
        <v>0.8</v>
      </c>
      <c r="F44" s="75">
        <f>Poor!F44</f>
        <v>1.4</v>
      </c>
      <c r="G44" s="75">
        <f>Poor!G44</f>
        <v>1</v>
      </c>
      <c r="H44" s="24">
        <f t="shared" si="30"/>
        <v>1.1199999999999999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Sweet Potatoes: kg produced</v>
      </c>
      <c r="B45" s="216">
        <v>0</v>
      </c>
      <c r="C45" s="216">
        <v>0</v>
      </c>
      <c r="D45" s="38">
        <f t="shared" si="25"/>
        <v>0</v>
      </c>
      <c r="E45" s="75">
        <f>Poor!E45</f>
        <v>0.8</v>
      </c>
      <c r="F45" s="75">
        <f>Poor!F45</f>
        <v>1.4</v>
      </c>
      <c r="G45" s="75">
        <f>Poor!G45</f>
        <v>1</v>
      </c>
      <c r="H45" s="24">
        <f t="shared" si="30"/>
        <v>1.1199999999999999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crop: Cabbage</v>
      </c>
      <c r="B46" s="216">
        <v>0</v>
      </c>
      <c r="C46" s="216">
        <v>0</v>
      </c>
      <c r="D46" s="38">
        <f t="shared" si="25"/>
        <v>0</v>
      </c>
      <c r="E46" s="75">
        <f>Poor!E46</f>
        <v>0.8</v>
      </c>
      <c r="F46" s="75">
        <f>Poor!F46</f>
        <v>1.4</v>
      </c>
      <c r="G46" s="75">
        <f>Poor!G46</f>
        <v>1</v>
      </c>
      <c r="H46" s="24">
        <f t="shared" si="30"/>
        <v>1.1199999999999999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beetroot: no. local meas</v>
      </c>
      <c r="B47" s="216">
        <v>0</v>
      </c>
      <c r="C47" s="216">
        <v>0</v>
      </c>
      <c r="D47" s="38">
        <f t="shared" si="25"/>
        <v>0</v>
      </c>
      <c r="E47" s="75">
        <f>Poor!E47</f>
        <v>0.8</v>
      </c>
      <c r="F47" s="75">
        <f>Poor!F47</f>
        <v>1.4</v>
      </c>
      <c r="G47" s="75">
        <f>Poor!G47</f>
        <v>1</v>
      </c>
      <c r="H47" s="24">
        <f t="shared" si="30"/>
        <v>1.1199999999999999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Spinach: no produced</v>
      </c>
      <c r="B48" s="216">
        <v>21</v>
      </c>
      <c r="C48" s="216">
        <v>-5</v>
      </c>
      <c r="D48" s="38">
        <f t="shared" si="25"/>
        <v>16</v>
      </c>
      <c r="E48" s="75">
        <f>Poor!E48</f>
        <v>0.8</v>
      </c>
      <c r="F48" s="75">
        <f>Poor!F48</f>
        <v>1.4</v>
      </c>
      <c r="G48" s="75">
        <f>Poor!G48</f>
        <v>1</v>
      </c>
      <c r="H48" s="24">
        <f t="shared" si="30"/>
        <v>1.1199999999999999</v>
      </c>
      <c r="I48" s="39">
        <f t="shared" si="31"/>
        <v>17.919999999999998</v>
      </c>
      <c r="J48" s="38">
        <f t="shared" si="32"/>
        <v>17.919999999999998</v>
      </c>
      <c r="K48" s="40">
        <f t="shared" si="33"/>
        <v>6.7126965861143075E-4</v>
      </c>
      <c r="L48" s="22">
        <f t="shared" si="34"/>
        <v>7.5182201764480237E-4</v>
      </c>
      <c r="M48" s="24">
        <f t="shared" si="35"/>
        <v>5.7281677534842086E-4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4.4799999999999995</v>
      </c>
      <c r="AB48" s="156">
        <f>Poor!AB48</f>
        <v>0.25</v>
      </c>
      <c r="AC48" s="147">
        <f t="shared" si="41"/>
        <v>4.4799999999999995</v>
      </c>
      <c r="AD48" s="156">
        <f>Poor!AD48</f>
        <v>0.25</v>
      </c>
      <c r="AE48" s="147">
        <f t="shared" si="42"/>
        <v>4.4799999999999995</v>
      </c>
      <c r="AF48" s="122">
        <f t="shared" si="29"/>
        <v>0.25</v>
      </c>
      <c r="AG48" s="147">
        <f t="shared" si="36"/>
        <v>4.4799999999999995</v>
      </c>
      <c r="AH48" s="123">
        <f t="shared" si="37"/>
        <v>1</v>
      </c>
      <c r="AI48" s="112">
        <f t="shared" si="37"/>
        <v>17.919999999999998</v>
      </c>
      <c r="AJ48" s="148">
        <f t="shared" si="38"/>
        <v>8.9599999999999991</v>
      </c>
      <c r="AK48" s="147">
        <f t="shared" si="39"/>
        <v>8.9599999999999991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Other crop: pumpkin</v>
      </c>
      <c r="B49" s="216">
        <v>0</v>
      </c>
      <c r="C49" s="216">
        <v>0</v>
      </c>
      <c r="D49" s="38">
        <f t="shared" si="25"/>
        <v>0</v>
      </c>
      <c r="E49" s="75">
        <f>Poor!E49</f>
        <v>0.8</v>
      </c>
      <c r="F49" s="75">
        <f>Poor!F49</f>
        <v>1.4</v>
      </c>
      <c r="G49" s="75">
        <f>Poor!G49</f>
        <v>1</v>
      </c>
      <c r="H49" s="24">
        <f t="shared" si="30"/>
        <v>1.1199999999999999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cashcrop: sugar cane (tons)</v>
      </c>
      <c r="B50" s="216">
        <v>0</v>
      </c>
      <c r="C50" s="216">
        <v>0</v>
      </c>
      <c r="D50" s="38">
        <f t="shared" si="25"/>
        <v>0</v>
      </c>
      <c r="E50" s="75">
        <f>Poor!E50</f>
        <v>1</v>
      </c>
      <c r="F50" s="75">
        <f>Poor!F50</f>
        <v>1.4</v>
      </c>
      <c r="G50" s="75">
        <f>Poor!G50</f>
        <v>1</v>
      </c>
      <c r="H50" s="24">
        <f t="shared" si="30"/>
        <v>1.4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Agricultural cash income -- see Data2</v>
      </c>
      <c r="B51" s="216">
        <v>1026.6666666666667</v>
      </c>
      <c r="C51" s="216">
        <v>0</v>
      </c>
      <c r="D51" s="38">
        <f t="shared" si="25"/>
        <v>1026.6666666666667</v>
      </c>
      <c r="E51" s="75">
        <f>Poor!E51</f>
        <v>1</v>
      </c>
      <c r="F51" s="75">
        <f>Poor!F51</f>
        <v>1.1100000000000001</v>
      </c>
      <c r="G51" s="75">
        <f>Poor!G51</f>
        <v>1</v>
      </c>
      <c r="H51" s="24">
        <f t="shared" si="30"/>
        <v>1.1100000000000001</v>
      </c>
      <c r="I51" s="39">
        <f t="shared" si="31"/>
        <v>1139.6000000000001</v>
      </c>
      <c r="J51" s="38">
        <f t="shared" si="32"/>
        <v>1139.6000000000004</v>
      </c>
      <c r="K51" s="40">
        <f t="shared" si="33"/>
        <v>3.2817627754336616E-2</v>
      </c>
      <c r="L51" s="22">
        <f t="shared" si="34"/>
        <v>3.6427566807313648E-2</v>
      </c>
      <c r="M51" s="24">
        <f t="shared" si="35"/>
        <v>3.6427566807313655E-2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284.90000000000009</v>
      </c>
      <c r="AB51" s="156">
        <f>Poor!AB56</f>
        <v>0.25</v>
      </c>
      <c r="AC51" s="147">
        <f t="shared" si="41"/>
        <v>284.90000000000009</v>
      </c>
      <c r="AD51" s="156">
        <f>Poor!AD56</f>
        <v>0.25</v>
      </c>
      <c r="AE51" s="147">
        <f t="shared" si="42"/>
        <v>284.90000000000009</v>
      </c>
      <c r="AF51" s="122">
        <f t="shared" si="29"/>
        <v>0.25</v>
      </c>
      <c r="AG51" s="147">
        <f t="shared" si="36"/>
        <v>284.90000000000009</v>
      </c>
      <c r="AH51" s="123">
        <f t="shared" si="37"/>
        <v>1</v>
      </c>
      <c r="AI51" s="112">
        <f t="shared" si="37"/>
        <v>1139.6000000000004</v>
      </c>
      <c r="AJ51" s="148">
        <f t="shared" si="38"/>
        <v>569.80000000000018</v>
      </c>
      <c r="AK51" s="147">
        <f t="shared" si="39"/>
        <v>569.80000000000018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Construction cash income -- see Data2</v>
      </c>
      <c r="B52" s="216">
        <v>313.33333333333331</v>
      </c>
      <c r="C52" s="216">
        <v>0</v>
      </c>
      <c r="D52" s="38">
        <f t="shared" si="25"/>
        <v>313.33333333333331</v>
      </c>
      <c r="E52" s="75">
        <f>Poor!E52</f>
        <v>1</v>
      </c>
      <c r="F52" s="75">
        <f>Poor!F52</f>
        <v>1.1100000000000001</v>
      </c>
      <c r="G52" s="75">
        <f>Poor!G52</f>
        <v>1</v>
      </c>
      <c r="H52" s="24">
        <f t="shared" si="30"/>
        <v>1.1100000000000001</v>
      </c>
      <c r="I52" s="39">
        <f t="shared" si="31"/>
        <v>347.8</v>
      </c>
      <c r="J52" s="38">
        <f t="shared" si="32"/>
        <v>347.8</v>
      </c>
      <c r="K52" s="40">
        <f t="shared" si="33"/>
        <v>1.0015769509440395E-2</v>
      </c>
      <c r="L52" s="22">
        <f t="shared" si="34"/>
        <v>1.111750415547884E-2</v>
      </c>
      <c r="M52" s="24">
        <f t="shared" si="35"/>
        <v>1.111750415547884E-2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86.95</v>
      </c>
      <c r="AB52" s="156">
        <f>Poor!AB57</f>
        <v>0.25</v>
      </c>
      <c r="AC52" s="147">
        <f t="shared" si="41"/>
        <v>86.95</v>
      </c>
      <c r="AD52" s="156">
        <f>Poor!AD57</f>
        <v>0.25</v>
      </c>
      <c r="AE52" s="147">
        <f t="shared" si="42"/>
        <v>86.95</v>
      </c>
      <c r="AF52" s="122">
        <f t="shared" si="29"/>
        <v>0.25</v>
      </c>
      <c r="AG52" s="147">
        <f t="shared" si="36"/>
        <v>86.95</v>
      </c>
      <c r="AH52" s="123">
        <f t="shared" si="37"/>
        <v>1</v>
      </c>
      <c r="AI52" s="112">
        <f t="shared" si="37"/>
        <v>347.8</v>
      </c>
      <c r="AJ52" s="148">
        <f t="shared" si="38"/>
        <v>173.9</v>
      </c>
      <c r="AK52" s="147">
        <f t="shared" si="39"/>
        <v>173.9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Domestic work cash income -- see Data2</v>
      </c>
      <c r="B53" s="216">
        <v>2920</v>
      </c>
      <c r="C53" s="216">
        <v>0</v>
      </c>
      <c r="D53" s="38">
        <f t="shared" si="25"/>
        <v>2920</v>
      </c>
      <c r="E53" s="75">
        <f>Poor!E53</f>
        <v>1</v>
      </c>
      <c r="F53" s="75">
        <f>Poor!F53</f>
        <v>1.1100000000000001</v>
      </c>
      <c r="G53" s="75">
        <f>Poor!G53</f>
        <v>1</v>
      </c>
      <c r="H53" s="24">
        <f t="shared" si="30"/>
        <v>1.1100000000000001</v>
      </c>
      <c r="I53" s="39">
        <f t="shared" si="31"/>
        <v>3241.2000000000003</v>
      </c>
      <c r="J53" s="38">
        <f t="shared" si="32"/>
        <v>3241.2000000000003</v>
      </c>
      <c r="K53" s="40">
        <f t="shared" si="33"/>
        <v>9.333844776882752E-2</v>
      </c>
      <c r="L53" s="22">
        <f t="shared" si="34"/>
        <v>0.10360567702339855</v>
      </c>
      <c r="M53" s="24">
        <f t="shared" si="35"/>
        <v>0.10360567702339855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Formal Employment (conservancies, etc.)</v>
      </c>
      <c r="B54" s="216">
        <v>0</v>
      </c>
      <c r="C54" s="216">
        <v>0</v>
      </c>
      <c r="D54" s="38">
        <f t="shared" si="25"/>
        <v>0</v>
      </c>
      <c r="E54" s="75">
        <f>Poor!E54</f>
        <v>1</v>
      </c>
      <c r="F54" s="75">
        <f>Poor!F54</f>
        <v>1.18</v>
      </c>
      <c r="G54" s="75">
        <f>Poor!G54</f>
        <v>1</v>
      </c>
      <c r="H54" s="24">
        <f t="shared" si="30"/>
        <v>1.18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Labour migration(formal employment): no. people per HH</v>
      </c>
      <c r="B55" s="216">
        <v>0</v>
      </c>
      <c r="C55" s="216">
        <v>0</v>
      </c>
      <c r="D55" s="38">
        <f t="shared" si="25"/>
        <v>0</v>
      </c>
      <c r="E55" s="75">
        <f>Poor!E55</f>
        <v>0.5</v>
      </c>
      <c r="F55" s="75">
        <f>Poor!F55</f>
        <v>1.18</v>
      </c>
      <c r="G55" s="75">
        <f>Poor!G55</f>
        <v>1</v>
      </c>
      <c r="H55" s="24">
        <f t="shared" si="30"/>
        <v>0.59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Small business -- see Data2</v>
      </c>
      <c r="B56" s="216">
        <v>1280</v>
      </c>
      <c r="C56" s="216">
        <v>0</v>
      </c>
      <c r="D56" s="38">
        <f t="shared" si="25"/>
        <v>1280</v>
      </c>
      <c r="E56" s="75">
        <f>Poor!E56</f>
        <v>0.8</v>
      </c>
      <c r="F56" s="75">
        <f>Poor!F56</f>
        <v>1.18</v>
      </c>
      <c r="G56" s="75">
        <f>Poor!G56</f>
        <v>1</v>
      </c>
      <c r="H56" s="24">
        <f t="shared" si="30"/>
        <v>0.94399999999999995</v>
      </c>
      <c r="I56" s="39">
        <f t="shared" si="31"/>
        <v>1208.32</v>
      </c>
      <c r="J56" s="38">
        <f t="shared" si="32"/>
        <v>1208.3199999999997</v>
      </c>
      <c r="K56" s="40">
        <f t="shared" si="33"/>
        <v>4.0915483953458634E-2</v>
      </c>
      <c r="L56" s="22">
        <f t="shared" si="34"/>
        <v>3.8624216852064949E-2</v>
      </c>
      <c r="M56" s="24">
        <f t="shared" si="35"/>
        <v>3.8624216852064942E-2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Social development -- see Data2</v>
      </c>
      <c r="B57" s="216">
        <v>19168</v>
      </c>
      <c r="C57" s="216">
        <v>0</v>
      </c>
      <c r="D57" s="38">
        <f t="shared" si="25"/>
        <v>19168</v>
      </c>
      <c r="E57" s="75">
        <f>Poor!E57</f>
        <v>1</v>
      </c>
      <c r="F57" s="75">
        <f>Poor!F57</f>
        <v>1.18</v>
      </c>
      <c r="G57" s="75">
        <f>Poor!G57</f>
        <v>1</v>
      </c>
      <c r="H57" s="24">
        <f t="shared" si="30"/>
        <v>1.18</v>
      </c>
      <c r="I57" s="39">
        <f t="shared" si="31"/>
        <v>22618.239999999998</v>
      </c>
      <c r="J57" s="38">
        <f t="shared" si="32"/>
        <v>22618.239999999998</v>
      </c>
      <c r="K57" s="40">
        <f t="shared" si="33"/>
        <v>0.61270937220304311</v>
      </c>
      <c r="L57" s="22">
        <f t="shared" si="34"/>
        <v>0.72299705919959079</v>
      </c>
      <c r="M57" s="24">
        <f t="shared" si="35"/>
        <v>0.72299705919959079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Public works -- see Data2</v>
      </c>
      <c r="B58" s="216">
        <v>4080</v>
      </c>
      <c r="C58" s="216">
        <v>0</v>
      </c>
      <c r="D58" s="38">
        <f t="shared" si="25"/>
        <v>4080</v>
      </c>
      <c r="E58" s="75">
        <f>Poor!E58</f>
        <v>1</v>
      </c>
      <c r="F58" s="75">
        <f>Poor!F58</f>
        <v>1.18</v>
      </c>
      <c r="G58" s="75">
        <f>Poor!G58</f>
        <v>1</v>
      </c>
      <c r="H58" s="24">
        <f t="shared" si="30"/>
        <v>1.18</v>
      </c>
      <c r="I58" s="39">
        <f t="shared" si="31"/>
        <v>4814.3999999999996</v>
      </c>
      <c r="J58" s="38">
        <f t="shared" si="32"/>
        <v>4814.3999999999996</v>
      </c>
      <c r="K58" s="40">
        <f t="shared" si="33"/>
        <v>0.13041810510164942</v>
      </c>
      <c r="L58" s="22">
        <f t="shared" si="34"/>
        <v>0.1538933640199463</v>
      </c>
      <c r="M58" s="24">
        <f t="shared" si="35"/>
        <v>0.1538933640199463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1203.5999999999999</v>
      </c>
      <c r="AB58" s="156">
        <f>Poor!AB58</f>
        <v>0.25</v>
      </c>
      <c r="AC58" s="147">
        <f t="shared" si="41"/>
        <v>1203.5999999999999</v>
      </c>
      <c r="AD58" s="156">
        <f>Poor!AD58</f>
        <v>0.25</v>
      </c>
      <c r="AE58" s="147">
        <f t="shared" si="42"/>
        <v>1203.5999999999999</v>
      </c>
      <c r="AF58" s="122">
        <f t="shared" si="29"/>
        <v>0.25</v>
      </c>
      <c r="AG58" s="147">
        <f t="shared" si="36"/>
        <v>1203.5999999999999</v>
      </c>
      <c r="AH58" s="123">
        <f t="shared" si="37"/>
        <v>1</v>
      </c>
      <c r="AI58" s="112">
        <f t="shared" si="37"/>
        <v>4814.3999999999996</v>
      </c>
      <c r="AJ58" s="148">
        <f t="shared" si="38"/>
        <v>2407.1999999999998</v>
      </c>
      <c r="AK58" s="147">
        <f t="shared" si="39"/>
        <v>2407.1999999999998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Gifts/social support: type (Child support, Pension and Foster Care)</v>
      </c>
      <c r="B59" s="216">
        <v>0</v>
      </c>
      <c r="C59" s="216">
        <v>0</v>
      </c>
      <c r="D59" s="38">
        <f t="shared" si="25"/>
        <v>0</v>
      </c>
      <c r="E59" s="75">
        <f>Poor!E59</f>
        <v>1</v>
      </c>
      <c r="F59" s="75">
        <f>Poor!F59</f>
        <v>1.1100000000000001</v>
      </c>
      <c r="G59" s="75">
        <f>Poor!G59</f>
        <v>1</v>
      </c>
      <c r="H59" s="24">
        <f t="shared" si="30"/>
        <v>1.1100000000000001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Other income: e.g. Credit (cotton loans)</v>
      </c>
      <c r="B60" s="216">
        <v>0</v>
      </c>
      <c r="C60" s="216"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Remittances: no. times per year</v>
      </c>
      <c r="B61" s="216">
        <v>0</v>
      </c>
      <c r="C61" s="216">
        <v>0</v>
      </c>
      <c r="D61" s="38">
        <f t="shared" si="25"/>
        <v>0</v>
      </c>
      <c r="E61" s="75">
        <f>Poor!E61</f>
        <v>1</v>
      </c>
      <c r="F61" s="75">
        <f>Poor!F61</f>
        <v>1.1100000000000001</v>
      </c>
      <c r="G61" s="75">
        <f>Poor!G61</f>
        <v>1</v>
      </c>
      <c r="H61" s="24">
        <f t="shared" si="30"/>
        <v>1.1100000000000001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v>0</v>
      </c>
      <c r="C62" s="216"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v>0</v>
      </c>
      <c r="C63" s="216"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v>0</v>
      </c>
      <c r="C64" s="216"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31284</v>
      </c>
      <c r="C65" s="39">
        <f>SUM(C37:C64)</f>
        <v>-1005</v>
      </c>
      <c r="D65" s="42">
        <f>SUM(D37:D64)</f>
        <v>30279</v>
      </c>
      <c r="E65" s="32"/>
      <c r="F65" s="32"/>
      <c r="G65" s="32"/>
      <c r="H65" s="31"/>
      <c r="I65" s="39">
        <f>SUM(I37:I64)</f>
        <v>34779.879999999997</v>
      </c>
      <c r="J65" s="39">
        <f>SUM(J37:J64)</f>
        <v>34779.879999999997</v>
      </c>
      <c r="K65" s="40">
        <f>SUM(K37:K64)</f>
        <v>1</v>
      </c>
      <c r="L65" s="22">
        <f>SUM(L37:L64)</f>
        <v>1.1421007543792354</v>
      </c>
      <c r="M65" s="24">
        <f>SUM(M37:M64)</f>
        <v>1.1117465797212631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2972.33</v>
      </c>
      <c r="AB65" s="137"/>
      <c r="AC65" s="153">
        <f>SUM(AC37:AC64)</f>
        <v>1579.93</v>
      </c>
      <c r="AD65" s="137"/>
      <c r="AE65" s="153">
        <f>SUM(AE37:AE64)</f>
        <v>1579.93</v>
      </c>
      <c r="AF65" s="137"/>
      <c r="AG65" s="153">
        <f>SUM(AG37:AG64)</f>
        <v>1579.93</v>
      </c>
      <c r="AH65" s="137"/>
      <c r="AI65" s="153">
        <f>SUM(AI37:AI64)</f>
        <v>7712.12</v>
      </c>
      <c r="AJ65" s="153">
        <f>SUM(AJ37:AJ64)</f>
        <v>4552.26</v>
      </c>
      <c r="AK65" s="153">
        <f>SUM(AK37:AK64)</f>
        <v>3159.86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14533.35202676818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20346.69283747545</v>
      </c>
      <c r="J70" s="51">
        <f t="shared" ref="J70:J77" si="44">J124*I$83</f>
        <v>20346.69283747545</v>
      </c>
      <c r="K70" s="40">
        <f>B70/B$76</f>
        <v>0.46456182159468673</v>
      </c>
      <c r="L70" s="22">
        <f t="shared" ref="L70:L74" si="45">(L124*G$37*F$9/F$7)/B$130</f>
        <v>0.65038655023256131</v>
      </c>
      <c r="M70" s="24">
        <f>J70/B$76</f>
        <v>0.65038655023256131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5086.6732093688624</v>
      </c>
      <c r="AB70" s="156">
        <f>Poor!AB70</f>
        <v>0.25</v>
      </c>
      <c r="AC70" s="147">
        <f>$J70*AB70</f>
        <v>5086.6732093688624</v>
      </c>
      <c r="AD70" s="156">
        <f>Poor!AD70</f>
        <v>0.25</v>
      </c>
      <c r="AE70" s="147">
        <f>$J70*AD70</f>
        <v>5086.6732093688624</v>
      </c>
      <c r="AF70" s="156">
        <f>Poor!AF70</f>
        <v>0.25</v>
      </c>
      <c r="AG70" s="147">
        <f>$J70*AF70</f>
        <v>5086.6732093688624</v>
      </c>
      <c r="AH70" s="155">
        <f>SUM(Z70,AB70,AD70,AF70)</f>
        <v>1</v>
      </c>
      <c r="AI70" s="147">
        <f>SUM(AA70,AC70,AE70,AG70)</f>
        <v>20346.69283747545</v>
      </c>
      <c r="AJ70" s="148">
        <f>(AA70+AC70)</f>
        <v>10173.346418737725</v>
      </c>
      <c r="AK70" s="147">
        <f>(AE70+AG70)</f>
        <v>10173.346418737725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14376.222222222224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14433.187162524553</v>
      </c>
      <c r="J71" s="51">
        <f t="shared" si="44"/>
        <v>14433.187162524553</v>
      </c>
      <c r="K71" s="40">
        <f t="shared" ref="K71:K72" si="47">B71/B$76</f>
        <v>0.45953913253491319</v>
      </c>
      <c r="L71" s="22">
        <f t="shared" si="45"/>
        <v>0.49171420414667405</v>
      </c>
      <c r="M71" s="24">
        <f t="shared" ref="M71:M72" si="48">J71/B$76</f>
        <v>0.46136002948870197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26588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0.84989131824574859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2461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7.8666410944891962E-2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261.35820000000001</v>
      </c>
      <c r="AB73" s="156">
        <f>Poor!AB73</f>
        <v>0.09</v>
      </c>
      <c r="AC73" s="147">
        <f>$H$73*$B$73*AB73</f>
        <v>261.35820000000001</v>
      </c>
      <c r="AD73" s="156">
        <f>Poor!AD73</f>
        <v>0.23</v>
      </c>
      <c r="AE73" s="147">
        <f>$H$73*$B$73*AD73</f>
        <v>667.91539999999998</v>
      </c>
      <c r="AF73" s="156">
        <f>Poor!AF73</f>
        <v>0.59</v>
      </c>
      <c r="AG73" s="147">
        <f>$H$73*$B$73*AF73</f>
        <v>1713.3481999999999</v>
      </c>
      <c r="AH73" s="155">
        <f>SUM(Z73,AB73,AD73,AF73)</f>
        <v>1</v>
      </c>
      <c r="AI73" s="147">
        <f>SUM(AA73,AC73,AE73,AG73)</f>
        <v>2903.98</v>
      </c>
      <c r="AJ73" s="148">
        <f>(AA73+AC73)</f>
        <v>522.71640000000002</v>
      </c>
      <c r="AK73" s="147">
        <f>(AE73+AG73)</f>
        <v>2381.2635999999998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8541.4717306176917</v>
      </c>
      <c r="C74" s="39"/>
      <c r="D74" s="38"/>
      <c r="E74" s="32"/>
      <c r="F74" s="32"/>
      <c r="G74" s="32"/>
      <c r="H74" s="31"/>
      <c r="I74" s="39">
        <f>I128*I$83</f>
        <v>14433.187162524553</v>
      </c>
      <c r="J74" s="51">
        <f t="shared" si="44"/>
        <v>6917.3508253231275</v>
      </c>
      <c r="K74" s="40">
        <f>B74/B$76</f>
        <v>0.27303003869766307</v>
      </c>
      <c r="L74" s="22">
        <f t="shared" si="45"/>
        <v>0.25073435851399273</v>
      </c>
      <c r="M74" s="24">
        <f>J74/B$76</f>
        <v>0.22111465366715022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-2114.3432093688625</v>
      </c>
      <c r="AB74" s="156"/>
      <c r="AC74" s="147">
        <f>AC30*$I$83/4</f>
        <v>-3506.7432093688617</v>
      </c>
      <c r="AD74" s="156"/>
      <c r="AE74" s="147">
        <f>AE30*$I$83/4</f>
        <v>-3506.7432093688635</v>
      </c>
      <c r="AF74" s="156"/>
      <c r="AG74" s="147">
        <f>AG30*$I$83/4</f>
        <v>-3506.7432093688617</v>
      </c>
      <c r="AH74" s="155"/>
      <c r="AI74" s="147">
        <f>SUM(AA74,AC74,AE74,AG74)</f>
        <v>-12634.572837475451</v>
      </c>
      <c r="AJ74" s="148">
        <f>(AA74+AC74)</f>
        <v>-5621.0864187377247</v>
      </c>
      <c r="AK74" s="147">
        <f>(AE74+AG74)</f>
        <v>-7013.4864187377252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31284</v>
      </c>
      <c r="C76" s="39"/>
      <c r="D76" s="38"/>
      <c r="E76" s="32"/>
      <c r="F76" s="32"/>
      <c r="G76" s="32"/>
      <c r="H76" s="31"/>
      <c r="I76" s="39">
        <f>I130*I$83</f>
        <v>34779.879999999997</v>
      </c>
      <c r="J76" s="51">
        <f t="shared" si="44"/>
        <v>34779.879999999997</v>
      </c>
      <c r="K76" s="40">
        <f>SUM(K70:K75)</f>
        <v>2.1256887220179035</v>
      </c>
      <c r="L76" s="22">
        <f>SUM(L70:L75)</f>
        <v>1.3928351128932281</v>
      </c>
      <c r="M76" s="24">
        <f>SUM(M70:M75)</f>
        <v>1.3328612333884136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2972.33</v>
      </c>
      <c r="AB76" s="137"/>
      <c r="AC76" s="153">
        <f>AC65</f>
        <v>1579.93</v>
      </c>
      <c r="AD76" s="137"/>
      <c r="AE76" s="153">
        <f>AE65</f>
        <v>1579.93</v>
      </c>
      <c r="AF76" s="137"/>
      <c r="AG76" s="153">
        <f>AG65</f>
        <v>1579.93</v>
      </c>
      <c r="AH76" s="137"/>
      <c r="AI76" s="153">
        <f>SUM(AA76,AC76,AE76,AG76)</f>
        <v>7712.1200000000008</v>
      </c>
      <c r="AJ76" s="154">
        <f>SUM(AA76,AC76)</f>
        <v>4552.26</v>
      </c>
      <c r="AK76" s="154">
        <f>SUM(AE76,AG76)</f>
        <v>3159.86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16963.94222222222</v>
      </c>
      <c r="J77" s="100">
        <f t="shared" si="44"/>
        <v>9448.1058850207992</v>
      </c>
      <c r="K77" s="40"/>
      <c r="L77" s="22">
        <f>-(L131*G$37*F$9/F$7)/B$130</f>
        <v>-0.5422561763911975</v>
      </c>
      <c r="M77" s="24">
        <f>-J77/B$76</f>
        <v>-0.3020108005696458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2864.0584778603957</v>
      </c>
      <c r="AB77" s="112"/>
      <c r="AC77" s="111">
        <f>AC31*$I$83/4</f>
        <v>5647.8022112306317</v>
      </c>
      <c r="AD77" s="112"/>
      <c r="AE77" s="111">
        <f>AE31*$I$83/4</f>
        <v>5624.9679199744987</v>
      </c>
      <c r="AF77" s="112"/>
      <c r="AG77" s="111">
        <f>AG31*$I$83/4</f>
        <v>5559.7129129317491</v>
      </c>
      <c r="AH77" s="110"/>
      <c r="AI77" s="154">
        <f>SUM(AA77,AC77,AE77,AG77)</f>
        <v>19696.541521997275</v>
      </c>
      <c r="AJ77" s="153">
        <f>SUM(AA77,AC77)</f>
        <v>8511.8606890910269</v>
      </c>
      <c r="AK77" s="160">
        <f>SUM(AE77,AG77)</f>
        <v>11184.680832906248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186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-2114.3432093688625</v>
      </c>
      <c r="AB79" s="112"/>
      <c r="AC79" s="112">
        <f>AA79-AA74+AC65-AC70</f>
        <v>-3506.7432093688622</v>
      </c>
      <c r="AD79" s="112"/>
      <c r="AE79" s="112">
        <f>AC79-AC74+AE65-AE70</f>
        <v>-3506.7432093688631</v>
      </c>
      <c r="AF79" s="112"/>
      <c r="AG79" s="112">
        <f>AE79-AE74+AG65-AG70</f>
        <v>-3506.7432093688622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0.66091214045306179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7.1446277643945102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13788.155987238539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13788.155987238539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3447.0389968096347</v>
      </c>
      <c r="AB83" s="112"/>
      <c r="AC83" s="165">
        <f>$I$83*AB82/4</f>
        <v>3447.0389968096347</v>
      </c>
      <c r="AD83" s="112"/>
      <c r="AE83" s="165">
        <f>$I$83*AD82/4</f>
        <v>3447.0389968096347</v>
      </c>
      <c r="AF83" s="112"/>
      <c r="AG83" s="165">
        <f>$I$83*AF82/4</f>
        <v>3447.0389968096347</v>
      </c>
      <c r="AH83" s="165">
        <f>SUM(AA83,AC83,AE83,AG83)</f>
        <v>13788.155987238539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25222.651681256466</v>
      </c>
      <c r="C84" s="46"/>
      <c r="D84" s="235"/>
      <c r="E84" s="64"/>
      <c r="F84" s="64"/>
      <c r="G84" s="64"/>
      <c r="H84" s="236">
        <f>IF(B84=0,0,I84/B84)</f>
        <v>1.2304809535560171</v>
      </c>
      <c r="I84" s="234">
        <f>(B70*H70)+((1-(D29*H29))*I83)</f>
        <v>31035.992491963734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0.14505202884642993</v>
      </c>
      <c r="C91" s="75">
        <f t="shared" si="51"/>
        <v>-7.2526014423214963E-2</v>
      </c>
      <c r="D91" s="24">
        <f t="shared" ref="D91:D106" si="52">(B91+C91)</f>
        <v>7.2526014423214963E-2</v>
      </c>
      <c r="H91" s="24">
        <f t="shared" ref="H91:H106" si="53">(E37*F37/G37*F$7/F$9)</f>
        <v>0.94399999999999984</v>
      </c>
      <c r="I91" s="22">
        <f t="shared" ref="I91:I106" si="54">(D91*H91)</f>
        <v>6.8464557615514912E-2</v>
      </c>
      <c r="J91" s="24">
        <f t="shared" ref="J91:J99" si="55">IF(I$32&lt;=1+I$131,I91,L91+J$33*(I91-L91))</f>
        <v>6.8464557615514912E-2</v>
      </c>
      <c r="K91" s="22">
        <f t="shared" ref="K91:K106" si="56">(B91)</f>
        <v>0.14505202884642993</v>
      </c>
      <c r="L91" s="22">
        <f t="shared" ref="L91:L106" si="57">(K91*H91)</f>
        <v>0.13692911523102982</v>
      </c>
      <c r="M91" s="227">
        <f t="shared" si="49"/>
        <v>6.8464557615514912E-2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3.4449856851027104E-2</v>
      </c>
      <c r="C92" s="75">
        <f t="shared" si="51"/>
        <v>0</v>
      </c>
      <c r="D92" s="24">
        <f t="shared" si="52"/>
        <v>3.4449856851027104E-2</v>
      </c>
      <c r="H92" s="24">
        <f t="shared" si="53"/>
        <v>0.94399999999999984</v>
      </c>
      <c r="I92" s="22">
        <f t="shared" si="54"/>
        <v>3.2520664867369584E-2</v>
      </c>
      <c r="J92" s="24">
        <f t="shared" si="55"/>
        <v>3.2520664867369584E-2</v>
      </c>
      <c r="K92" s="22">
        <f t="shared" si="56"/>
        <v>3.4449856851027104E-2</v>
      </c>
      <c r="L92" s="22">
        <f t="shared" si="57"/>
        <v>3.2520664867369584E-2</v>
      </c>
      <c r="M92" s="227">
        <f t="shared" si="49"/>
        <v>3.2520664867369584E-2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0.94399999999999984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1.18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1.526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1.1199999999999999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1.1199999999999999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Amadumbe: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1.1199999999999999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Sweet Potatoes: kg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1.1199999999999999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crop: Cabbage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1.1199999999999999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beetroot: no. local meas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1.1199999999999999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Spinach: no produced</v>
      </c>
      <c r="B102" s="75">
        <f t="shared" si="51"/>
        <v>1.5230463028875142E-3</v>
      </c>
      <c r="C102" s="75">
        <f t="shared" si="51"/>
        <v>-3.6263007211607479E-4</v>
      </c>
      <c r="D102" s="24">
        <f t="shared" si="52"/>
        <v>1.1604162307714393E-3</v>
      </c>
      <c r="H102" s="24">
        <f t="shared" si="53"/>
        <v>1.1199999999999999</v>
      </c>
      <c r="I102" s="22">
        <f t="shared" si="54"/>
        <v>1.2996661784640119E-3</v>
      </c>
      <c r="J102" s="24">
        <f>IF(I$32&lt;=1+I131,I102,L102+J$33*(I102-L102))</f>
        <v>1.2996661784640119E-3</v>
      </c>
      <c r="K102" s="22">
        <f t="shared" si="56"/>
        <v>1.5230463028875142E-3</v>
      </c>
      <c r="L102" s="22">
        <f t="shared" si="57"/>
        <v>1.7058118592340158E-3</v>
      </c>
      <c r="M102" s="228">
        <f t="shared" si="49"/>
        <v>1.2996661784640119E-3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Other crop: pumpkin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1.1199999999999999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cashcrop: sugar cane (tons)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1.4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Agricultural cash income -- see Data2</v>
      </c>
      <c r="B105" s="75">
        <f t="shared" si="51"/>
        <v>7.4460041474500707E-2</v>
      </c>
      <c r="C105" s="75">
        <f t="shared" si="51"/>
        <v>0</v>
      </c>
      <c r="D105" s="24">
        <f t="shared" si="52"/>
        <v>7.4460041474500707E-2</v>
      </c>
      <c r="H105" s="24">
        <f t="shared" si="53"/>
        <v>1.1100000000000001</v>
      </c>
      <c r="I105" s="22">
        <f t="shared" si="54"/>
        <v>8.2650646036695793E-2</v>
      </c>
      <c r="J105" s="24">
        <f>IF(I$32&lt;=1+I131,I105,L105+J$33*(I105-L105))</f>
        <v>8.2650646036695793E-2</v>
      </c>
      <c r="K105" s="22">
        <f t="shared" si="56"/>
        <v>7.4460041474500707E-2</v>
      </c>
      <c r="L105" s="22">
        <f t="shared" si="57"/>
        <v>8.2650646036695793E-2</v>
      </c>
      <c r="M105" s="228">
        <f t="shared" si="49"/>
        <v>8.2650646036695793E-2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Construction cash income -- see Data2</v>
      </c>
      <c r="B106" s="75">
        <f t="shared" si="51"/>
        <v>2.2724817852607354E-2</v>
      </c>
      <c r="C106" s="75">
        <f t="shared" si="51"/>
        <v>0</v>
      </c>
      <c r="D106" s="24">
        <f t="shared" si="52"/>
        <v>2.2724817852607354E-2</v>
      </c>
      <c r="H106" s="24">
        <f t="shared" si="53"/>
        <v>1.1100000000000001</v>
      </c>
      <c r="I106" s="22">
        <f t="shared" si="54"/>
        <v>2.5224547816394164E-2</v>
      </c>
      <c r="J106" s="24">
        <f>IF(I$32&lt;=1+I132,I106,L106+J$33*(I106-L106))</f>
        <v>2.5224547816394164E-2</v>
      </c>
      <c r="K106" s="22">
        <f t="shared" si="56"/>
        <v>2.2724817852607354E-2</v>
      </c>
      <c r="L106" s="22">
        <f t="shared" si="57"/>
        <v>2.5224547816394164E-2</v>
      </c>
      <c r="M106" s="228">
        <f>(J106)</f>
        <v>2.5224547816394164E-2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Domestic work cash income -- see Data2</v>
      </c>
      <c r="B107" s="75">
        <f t="shared" si="51"/>
        <v>0.2117759621157877</v>
      </c>
      <c r="C107" s="75">
        <f t="shared" si="51"/>
        <v>0</v>
      </c>
      <c r="D107" s="24">
        <f t="shared" ref="D107:D118" si="59">(B107+C107)</f>
        <v>0.2117759621157877</v>
      </c>
      <c r="H107" s="24">
        <f t="shared" ref="H107:H118" si="60">(E53*F53/G53*F$7/F$9)</f>
        <v>1.1100000000000001</v>
      </c>
      <c r="I107" s="22">
        <f t="shared" ref="I107:I118" si="61">(D107*H107)</f>
        <v>0.23507131794852437</v>
      </c>
      <c r="J107" s="24">
        <f t="shared" ref="J107:J118" si="62">IF(I$32&lt;=1+I133,I107,L107+J$33*(I107-L107))</f>
        <v>0.23507131794852437</v>
      </c>
      <c r="K107" s="22">
        <f t="shared" ref="K107:K118" si="63">(B107)</f>
        <v>0.2117759621157877</v>
      </c>
      <c r="L107" s="22">
        <f t="shared" ref="L107:L118" si="64">(K107*H107)</f>
        <v>0.23507131794852437</v>
      </c>
      <c r="M107" s="228">
        <f t="shared" ref="M107:M118" si="65">(J107)</f>
        <v>0.23507131794852437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Formal Employment (conservancies, etc.)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1.18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Labour migration(formal employment): no. people per HH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0.59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Small business -- see Data2</v>
      </c>
      <c r="B110" s="75">
        <f t="shared" si="51"/>
        <v>9.2833298461715147E-2</v>
      </c>
      <c r="C110" s="75">
        <f t="shared" si="51"/>
        <v>0</v>
      </c>
      <c r="D110" s="24">
        <f t="shared" si="59"/>
        <v>9.2833298461715147E-2</v>
      </c>
      <c r="H110" s="24">
        <f t="shared" si="60"/>
        <v>0.94399999999999984</v>
      </c>
      <c r="I110" s="22">
        <f t="shared" si="61"/>
        <v>8.7634633747859084E-2</v>
      </c>
      <c r="J110" s="24">
        <f t="shared" si="62"/>
        <v>8.7634633747859084E-2</v>
      </c>
      <c r="K110" s="22">
        <f t="shared" si="63"/>
        <v>9.2833298461715147E-2</v>
      </c>
      <c r="L110" s="22">
        <f t="shared" si="64"/>
        <v>8.7634633747859084E-2</v>
      </c>
      <c r="M110" s="228">
        <f t="shared" si="65"/>
        <v>8.7634633747859084E-2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Social development -- see Data2</v>
      </c>
      <c r="B111" s="75">
        <f t="shared" si="51"/>
        <v>1.3901786444641844</v>
      </c>
      <c r="C111" s="75">
        <f t="shared" si="51"/>
        <v>0</v>
      </c>
      <c r="D111" s="24">
        <f t="shared" si="59"/>
        <v>1.3901786444641844</v>
      </c>
      <c r="H111" s="24">
        <f t="shared" si="60"/>
        <v>1.18</v>
      </c>
      <c r="I111" s="22">
        <f t="shared" si="61"/>
        <v>1.6404108004677376</v>
      </c>
      <c r="J111" s="24">
        <f t="shared" si="62"/>
        <v>1.6404108004677376</v>
      </c>
      <c r="K111" s="22">
        <f t="shared" si="63"/>
        <v>1.3901786444641844</v>
      </c>
      <c r="L111" s="22">
        <f t="shared" si="64"/>
        <v>1.6404108004677376</v>
      </c>
      <c r="M111" s="228">
        <f t="shared" si="65"/>
        <v>1.6404108004677376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Public works -- see Data2</v>
      </c>
      <c r="B112" s="75">
        <f t="shared" si="51"/>
        <v>0.29590613884671707</v>
      </c>
      <c r="C112" s="75">
        <f t="shared" si="51"/>
        <v>0</v>
      </c>
      <c r="D112" s="24">
        <f t="shared" si="59"/>
        <v>0.29590613884671707</v>
      </c>
      <c r="H112" s="24">
        <f t="shared" si="60"/>
        <v>1.18</v>
      </c>
      <c r="I112" s="22">
        <f t="shared" si="61"/>
        <v>0.34916924383912612</v>
      </c>
      <c r="J112" s="24">
        <f t="shared" si="62"/>
        <v>0.34916924383912612</v>
      </c>
      <c r="K112" s="22">
        <f t="shared" si="63"/>
        <v>0.29590613884671707</v>
      </c>
      <c r="L112" s="22">
        <f t="shared" si="64"/>
        <v>0.34916924383912612</v>
      </c>
      <c r="M112" s="228">
        <f t="shared" si="65"/>
        <v>0.34916924383912612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Gifts/social support: type (Child support, Pension and Foster Care)</v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1.1100000000000001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Other income: e.g. Credit (cotton loans)</v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Remittances: no. times per year</v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1.1100000000000001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2.2689038352158568</v>
      </c>
      <c r="C119" s="22">
        <f>SUM(C91:C118)</f>
        <v>-7.2888644495331043E-2</v>
      </c>
      <c r="D119" s="24">
        <f>SUM(D91:D118)</f>
        <v>2.1960151907205261</v>
      </c>
      <c r="E119" s="22"/>
      <c r="F119" s="2"/>
      <c r="G119" s="2"/>
      <c r="H119" s="31"/>
      <c r="I119" s="22">
        <f>SUM(I91:I118)</f>
        <v>2.5224460785176857</v>
      </c>
      <c r="J119" s="24">
        <f>SUM(J91:J118)</f>
        <v>2.5224460785176857</v>
      </c>
      <c r="K119" s="22">
        <f>SUM(K91:K118)</f>
        <v>2.2689038352158568</v>
      </c>
      <c r="L119" s="22">
        <f>SUM(L91:L118)</f>
        <v>2.5913167818139704</v>
      </c>
      <c r="M119" s="57">
        <f t="shared" si="49"/>
        <v>2.5224460785176857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1.0540460987110494</v>
      </c>
      <c r="C124" s="2"/>
      <c r="D124" s="24"/>
      <c r="H124" s="96">
        <f>(E70*F70/G$37*F$7/F$9)</f>
        <v>1.4</v>
      </c>
      <c r="I124" s="29">
        <f>IF(SUMPRODUCT($B$124:$B124,$H$124:$H124)&lt;I$119,($B124*$H124),I$119)</f>
        <v>1.4756645381954689</v>
      </c>
      <c r="J124" s="237">
        <f>IF(SUMPRODUCT($B$124:$B124,$H$124:$H124)&lt;J$119,($B124*$H124),J$119)</f>
        <v>1.4756645381954689</v>
      </c>
      <c r="K124" s="29">
        <f>(B124)</f>
        <v>1.0540460987110494</v>
      </c>
      <c r="L124" s="29">
        <f>IF(SUMPRODUCT($B$124:$B124,$H$124:$H124)&lt;L$119,($B124*$H124),L$119)</f>
        <v>1.4756645381954689</v>
      </c>
      <c r="M124" s="240">
        <f t="shared" si="66"/>
        <v>1.4756645381954689</v>
      </c>
      <c r="N124" s="58"/>
      <c r="O124" s="174">
        <f>B124*H124</f>
        <v>1.4756645381954689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1.0426501002402324</v>
      </c>
      <c r="C125" s="2"/>
      <c r="D125" s="24"/>
      <c r="H125" s="96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1.0467815403222167</v>
      </c>
      <c r="J125" s="237">
        <f>IF(SUMPRODUCT($B$124:$B125,$H$124:$H125)&lt;J$119,($B125*$H125),IF(SUMPRODUCT($B$124:$B124,$H$124:$H124)&lt;J$119,J$119-SUMPRODUCT($B$124:$B124,$H$124:$H124),0))</f>
        <v>1.0467815403222167</v>
      </c>
      <c r="K125" s="29">
        <f>(B125)</f>
        <v>1.0426501002402324</v>
      </c>
      <c r="L125" s="29">
        <f>IF(SUMPRODUCT($B$124:$B125,$H$124:$H125)&lt;L$119,($B125*$H125),IF(SUMPRODUCT($B$124:$B124,$H$124:$H124)&lt;L$119,L$119-SUMPRODUCT($B$124:$B124,$H$124:$H124),0))</f>
        <v>1.1156522436185015</v>
      </c>
      <c r="M125" s="240">
        <f t="shared" si="66"/>
        <v>1.0467815403222167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1.9283216714844393</v>
      </c>
      <c r="C126" s="2"/>
      <c r="D126" s="24"/>
      <c r="H126" s="96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1.9283216714844393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0.17848652149553201</v>
      </c>
      <c r="C127" s="2"/>
      <c r="D127" s="24"/>
      <c r="H127" s="96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0.17848652149553201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0.21061409536472778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0.61947890193026156</v>
      </c>
      <c r="C128" s="2"/>
      <c r="D128" s="31"/>
      <c r="E128" s="2"/>
      <c r="F128" s="2"/>
      <c r="G128" s="2"/>
      <c r="H128" s="24"/>
      <c r="I128" s="29">
        <f>(I30)</f>
        <v>1.0467815403222167</v>
      </c>
      <c r="J128" s="228">
        <f>(J30)</f>
        <v>0.50168788572782308</v>
      </c>
      <c r="K128" s="29">
        <f>(B128)</f>
        <v>0.61947890193026156</v>
      </c>
      <c r="L128" s="29">
        <f>IF(L124=L119,0,(L119-L124)/(B119-B124)*K128)</f>
        <v>0.56889214765278573</v>
      </c>
      <c r="M128" s="240">
        <f t="shared" si="66"/>
        <v>0.50168788572782308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2.2689038352158568</v>
      </c>
      <c r="C130" s="2"/>
      <c r="D130" s="31"/>
      <c r="E130" s="2"/>
      <c r="F130" s="2"/>
      <c r="G130" s="2"/>
      <c r="H130" s="24"/>
      <c r="I130" s="29">
        <f>(I119)</f>
        <v>2.5224460785176857</v>
      </c>
      <c r="J130" s="228">
        <f>(J119)</f>
        <v>2.5224460785176857</v>
      </c>
      <c r="K130" s="29">
        <f>(B130)</f>
        <v>2.2689038352158568</v>
      </c>
      <c r="L130" s="29">
        <f>(L119)</f>
        <v>2.5913167818139704</v>
      </c>
      <c r="M130" s="240">
        <f t="shared" si="66"/>
        <v>2.5224460785176857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1.2303271182834741</v>
      </c>
      <c r="J131" s="237">
        <f>IF(SUMPRODUCT($B124:$B125,$H124:$H125)&gt;(J119-J128),SUMPRODUCT($B124:$B125,$H124:$H125)+J128-J119,0)</f>
        <v>0.68523346368908067</v>
      </c>
      <c r="K131" s="29"/>
      <c r="L131" s="29">
        <f>IF(I131&lt;SUM(L126:L127),0,I131-(SUM(L126:L127)))</f>
        <v>1.2303271182834741</v>
      </c>
      <c r="M131" s="237">
        <f>IF(I131&lt;SUM(M126:M127),0,I131-(SUM(M126:M127)))</f>
        <v>1.2303271182834741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411" priority="132" operator="equal">
      <formula>16</formula>
    </cfRule>
    <cfRule type="cellIs" dxfId="410" priority="133" operator="equal">
      <formula>15</formula>
    </cfRule>
    <cfRule type="cellIs" dxfId="409" priority="134" operator="equal">
      <formula>14</formula>
    </cfRule>
    <cfRule type="cellIs" dxfId="408" priority="135" operator="equal">
      <formula>13</formula>
    </cfRule>
    <cfRule type="cellIs" dxfId="407" priority="136" operator="equal">
      <formula>12</formula>
    </cfRule>
    <cfRule type="cellIs" dxfId="406" priority="137" operator="equal">
      <formula>11</formula>
    </cfRule>
    <cfRule type="cellIs" dxfId="405" priority="138" operator="equal">
      <formula>10</formula>
    </cfRule>
    <cfRule type="cellIs" dxfId="404" priority="139" operator="equal">
      <formula>9</formula>
    </cfRule>
    <cfRule type="cellIs" dxfId="403" priority="140" operator="equal">
      <formula>8</formula>
    </cfRule>
    <cfRule type="cellIs" dxfId="402" priority="141" operator="equal">
      <formula>7</formula>
    </cfRule>
    <cfRule type="cellIs" dxfId="401" priority="142" operator="equal">
      <formula>6</formula>
    </cfRule>
    <cfRule type="cellIs" dxfId="400" priority="143" operator="equal">
      <formula>5</formula>
    </cfRule>
    <cfRule type="cellIs" dxfId="399" priority="144" operator="equal">
      <formula>4</formula>
    </cfRule>
    <cfRule type="cellIs" dxfId="398" priority="145" operator="equal">
      <formula>3</formula>
    </cfRule>
    <cfRule type="cellIs" dxfId="397" priority="146" operator="equal">
      <formula>2</formula>
    </cfRule>
    <cfRule type="cellIs" dxfId="396" priority="147" operator="equal">
      <formula>1</formula>
    </cfRule>
  </conditionalFormatting>
  <conditionalFormatting sqref="N29">
    <cfRule type="cellIs" dxfId="395" priority="116" operator="equal">
      <formula>16</formula>
    </cfRule>
    <cfRule type="cellIs" dxfId="394" priority="117" operator="equal">
      <formula>15</formula>
    </cfRule>
    <cfRule type="cellIs" dxfId="393" priority="118" operator="equal">
      <formula>14</formula>
    </cfRule>
    <cfRule type="cellIs" dxfId="392" priority="119" operator="equal">
      <formula>13</formula>
    </cfRule>
    <cfRule type="cellIs" dxfId="391" priority="120" operator="equal">
      <formula>12</formula>
    </cfRule>
    <cfRule type="cellIs" dxfId="390" priority="121" operator="equal">
      <formula>11</formula>
    </cfRule>
    <cfRule type="cellIs" dxfId="389" priority="122" operator="equal">
      <formula>10</formula>
    </cfRule>
    <cfRule type="cellIs" dxfId="388" priority="123" operator="equal">
      <formula>9</formula>
    </cfRule>
    <cfRule type="cellIs" dxfId="387" priority="124" operator="equal">
      <formula>8</formula>
    </cfRule>
    <cfRule type="cellIs" dxfId="386" priority="125" operator="equal">
      <formula>7</formula>
    </cfRule>
    <cfRule type="cellIs" dxfId="385" priority="126" operator="equal">
      <formula>6</formula>
    </cfRule>
    <cfRule type="cellIs" dxfId="384" priority="127" operator="equal">
      <formula>5</formula>
    </cfRule>
    <cfRule type="cellIs" dxfId="383" priority="128" operator="equal">
      <formula>4</formula>
    </cfRule>
    <cfRule type="cellIs" dxfId="382" priority="129" operator="equal">
      <formula>3</formula>
    </cfRule>
    <cfRule type="cellIs" dxfId="381" priority="130" operator="equal">
      <formula>2</formula>
    </cfRule>
    <cfRule type="cellIs" dxfId="380" priority="131" operator="equal">
      <formula>1</formula>
    </cfRule>
  </conditionalFormatting>
  <conditionalFormatting sqref="N116:N119">
    <cfRule type="cellIs" dxfId="379" priority="100" operator="equal">
      <formula>16</formula>
    </cfRule>
    <cfRule type="cellIs" dxfId="378" priority="101" operator="equal">
      <formula>15</formula>
    </cfRule>
    <cfRule type="cellIs" dxfId="377" priority="102" operator="equal">
      <formula>14</formula>
    </cfRule>
    <cfRule type="cellIs" dxfId="376" priority="103" operator="equal">
      <formula>13</formula>
    </cfRule>
    <cfRule type="cellIs" dxfId="375" priority="104" operator="equal">
      <formula>12</formula>
    </cfRule>
    <cfRule type="cellIs" dxfId="374" priority="105" operator="equal">
      <formula>11</formula>
    </cfRule>
    <cfRule type="cellIs" dxfId="373" priority="106" operator="equal">
      <formula>10</formula>
    </cfRule>
    <cfRule type="cellIs" dxfId="372" priority="107" operator="equal">
      <formula>9</formula>
    </cfRule>
    <cfRule type="cellIs" dxfId="371" priority="108" operator="equal">
      <formula>8</formula>
    </cfRule>
    <cfRule type="cellIs" dxfId="370" priority="109" operator="equal">
      <formula>7</formula>
    </cfRule>
    <cfRule type="cellIs" dxfId="369" priority="110" operator="equal">
      <formula>6</formula>
    </cfRule>
    <cfRule type="cellIs" dxfId="368" priority="111" operator="equal">
      <formula>5</formula>
    </cfRule>
    <cfRule type="cellIs" dxfId="367" priority="112" operator="equal">
      <formula>4</formula>
    </cfRule>
    <cfRule type="cellIs" dxfId="366" priority="113" operator="equal">
      <formula>3</formula>
    </cfRule>
    <cfRule type="cellIs" dxfId="365" priority="114" operator="equal">
      <formula>2</formula>
    </cfRule>
    <cfRule type="cellIs" dxfId="364" priority="115" operator="equal">
      <formula>1</formula>
    </cfRule>
  </conditionalFormatting>
  <conditionalFormatting sqref="N6:N28">
    <cfRule type="cellIs" dxfId="363" priority="52" operator="equal">
      <formula>16</formula>
    </cfRule>
    <cfRule type="cellIs" dxfId="362" priority="53" operator="equal">
      <formula>15</formula>
    </cfRule>
    <cfRule type="cellIs" dxfId="361" priority="54" operator="equal">
      <formula>14</formula>
    </cfRule>
    <cfRule type="cellIs" dxfId="360" priority="55" operator="equal">
      <formula>13</formula>
    </cfRule>
    <cfRule type="cellIs" dxfId="359" priority="56" operator="equal">
      <formula>12</formula>
    </cfRule>
    <cfRule type="cellIs" dxfId="358" priority="57" operator="equal">
      <formula>11</formula>
    </cfRule>
    <cfRule type="cellIs" dxfId="357" priority="58" operator="equal">
      <formula>10</formula>
    </cfRule>
    <cfRule type="cellIs" dxfId="356" priority="59" operator="equal">
      <formula>9</formula>
    </cfRule>
    <cfRule type="cellIs" dxfId="355" priority="60" operator="equal">
      <formula>8</formula>
    </cfRule>
    <cfRule type="cellIs" dxfId="354" priority="61" operator="equal">
      <formula>7</formula>
    </cfRule>
    <cfRule type="cellIs" dxfId="353" priority="62" operator="equal">
      <formula>6</formula>
    </cfRule>
    <cfRule type="cellIs" dxfId="352" priority="63" operator="equal">
      <formula>5</formula>
    </cfRule>
    <cfRule type="cellIs" dxfId="351" priority="64" operator="equal">
      <formula>4</formula>
    </cfRule>
    <cfRule type="cellIs" dxfId="350" priority="65" operator="equal">
      <formula>3</formula>
    </cfRule>
    <cfRule type="cellIs" dxfId="349" priority="66" operator="equal">
      <formula>2</formula>
    </cfRule>
    <cfRule type="cellIs" dxfId="348" priority="67" operator="equal">
      <formula>1</formula>
    </cfRule>
  </conditionalFormatting>
  <conditionalFormatting sqref="R31:T31">
    <cfRule type="cellIs" dxfId="347" priority="51" operator="greaterThan">
      <formula>0</formula>
    </cfRule>
  </conditionalFormatting>
  <conditionalFormatting sqref="R32:T32">
    <cfRule type="cellIs" dxfId="346" priority="50" operator="greaterThan">
      <formula>0</formula>
    </cfRule>
  </conditionalFormatting>
  <conditionalFormatting sqref="R30:T30">
    <cfRule type="cellIs" dxfId="345" priority="49" operator="greaterThan">
      <formula>0</formula>
    </cfRule>
  </conditionalFormatting>
  <conditionalFormatting sqref="N113:N115">
    <cfRule type="cellIs" dxfId="344" priority="33" operator="equal">
      <formula>16</formula>
    </cfRule>
    <cfRule type="cellIs" dxfId="343" priority="34" operator="equal">
      <formula>15</formula>
    </cfRule>
    <cfRule type="cellIs" dxfId="342" priority="35" operator="equal">
      <formula>14</formula>
    </cfRule>
    <cfRule type="cellIs" dxfId="341" priority="36" operator="equal">
      <formula>13</formula>
    </cfRule>
    <cfRule type="cellIs" dxfId="340" priority="37" operator="equal">
      <formula>12</formula>
    </cfRule>
    <cfRule type="cellIs" dxfId="339" priority="38" operator="equal">
      <formula>11</formula>
    </cfRule>
    <cfRule type="cellIs" dxfId="338" priority="39" operator="equal">
      <formula>10</formula>
    </cfRule>
    <cfRule type="cellIs" dxfId="337" priority="40" operator="equal">
      <formula>9</formula>
    </cfRule>
    <cfRule type="cellIs" dxfId="336" priority="41" operator="equal">
      <formula>8</formula>
    </cfRule>
    <cfRule type="cellIs" dxfId="335" priority="42" operator="equal">
      <formula>7</formula>
    </cfRule>
    <cfRule type="cellIs" dxfId="334" priority="43" operator="equal">
      <formula>6</formula>
    </cfRule>
    <cfRule type="cellIs" dxfId="333" priority="44" operator="equal">
      <formula>5</formula>
    </cfRule>
    <cfRule type="cellIs" dxfId="332" priority="45" operator="equal">
      <formula>4</formula>
    </cfRule>
    <cfRule type="cellIs" dxfId="331" priority="46" operator="equal">
      <formula>3</formula>
    </cfRule>
    <cfRule type="cellIs" dxfId="330" priority="47" operator="equal">
      <formula>2</formula>
    </cfRule>
    <cfRule type="cellIs" dxfId="329" priority="48" operator="equal">
      <formula>1</formula>
    </cfRule>
  </conditionalFormatting>
  <conditionalFormatting sqref="N91:N104">
    <cfRule type="cellIs" dxfId="328" priority="17" operator="equal">
      <formula>16</formula>
    </cfRule>
    <cfRule type="cellIs" dxfId="327" priority="18" operator="equal">
      <formula>15</formula>
    </cfRule>
    <cfRule type="cellIs" dxfId="326" priority="19" operator="equal">
      <formula>14</formula>
    </cfRule>
    <cfRule type="cellIs" dxfId="325" priority="20" operator="equal">
      <formula>13</formula>
    </cfRule>
    <cfRule type="cellIs" dxfId="324" priority="21" operator="equal">
      <formula>12</formula>
    </cfRule>
    <cfRule type="cellIs" dxfId="323" priority="22" operator="equal">
      <formula>11</formula>
    </cfRule>
    <cfRule type="cellIs" dxfId="322" priority="23" operator="equal">
      <formula>10</formula>
    </cfRule>
    <cfRule type="cellIs" dxfId="321" priority="24" operator="equal">
      <formula>9</formula>
    </cfRule>
    <cfRule type="cellIs" dxfId="320" priority="25" operator="equal">
      <formula>8</formula>
    </cfRule>
    <cfRule type="cellIs" dxfId="319" priority="26" operator="equal">
      <formula>7</formula>
    </cfRule>
    <cfRule type="cellIs" dxfId="318" priority="27" operator="equal">
      <formula>6</formula>
    </cfRule>
    <cfRule type="cellIs" dxfId="317" priority="28" operator="equal">
      <formula>5</formula>
    </cfRule>
    <cfRule type="cellIs" dxfId="316" priority="29" operator="equal">
      <formula>4</formula>
    </cfRule>
    <cfRule type="cellIs" dxfId="315" priority="30" operator="equal">
      <formula>3</formula>
    </cfRule>
    <cfRule type="cellIs" dxfId="314" priority="31" operator="equal">
      <formula>2</formula>
    </cfRule>
    <cfRule type="cellIs" dxfId="313" priority="32" operator="equal">
      <formula>1</formula>
    </cfRule>
  </conditionalFormatting>
  <conditionalFormatting sqref="N105:N112">
    <cfRule type="cellIs" dxfId="312" priority="1" operator="equal">
      <formula>16</formula>
    </cfRule>
    <cfRule type="cellIs" dxfId="311" priority="2" operator="equal">
      <formula>15</formula>
    </cfRule>
    <cfRule type="cellIs" dxfId="310" priority="3" operator="equal">
      <formula>14</formula>
    </cfRule>
    <cfRule type="cellIs" dxfId="309" priority="4" operator="equal">
      <formula>13</formula>
    </cfRule>
    <cfRule type="cellIs" dxfId="308" priority="5" operator="equal">
      <formula>12</formula>
    </cfRule>
    <cfRule type="cellIs" dxfId="307" priority="6" operator="equal">
      <formula>11</formula>
    </cfRule>
    <cfRule type="cellIs" dxfId="306" priority="7" operator="equal">
      <formula>10</formula>
    </cfRule>
    <cfRule type="cellIs" dxfId="305" priority="8" operator="equal">
      <formula>9</formula>
    </cfRule>
    <cfRule type="cellIs" dxfId="304" priority="9" operator="equal">
      <formula>8</formula>
    </cfRule>
    <cfRule type="cellIs" dxfId="303" priority="10" operator="equal">
      <formula>7</formula>
    </cfRule>
    <cfRule type="cellIs" dxfId="302" priority="11" operator="equal">
      <formula>6</formula>
    </cfRule>
    <cfRule type="cellIs" dxfId="301" priority="12" operator="equal">
      <formula>5</formula>
    </cfRule>
    <cfRule type="cellIs" dxfId="300" priority="13" operator="equal">
      <formula>4</formula>
    </cfRule>
    <cfRule type="cellIs" dxfId="299" priority="14" operator="equal">
      <formula>3</formula>
    </cfRule>
    <cfRule type="cellIs" dxfId="298" priority="15" operator="equal">
      <formula>2</formula>
    </cfRule>
    <cfRule type="cellIs" dxfId="297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4" activePane="bottomRight" state="frozen"/>
      <selection pane="topRight" activeCell="B1" sqref="B1"/>
      <selection pane="bottomLeft" activeCell="A3" sqref="A3"/>
      <selection pane="bottomRight" activeCell="E40" sqref="E40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">
        <v>187</v>
      </c>
      <c r="B1" s="244" t="s">
        <v>188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105</v>
      </c>
      <c r="AA1" s="262"/>
      <c r="AB1" s="261" t="s">
        <v>106</v>
      </c>
      <c r="AC1" s="262"/>
      <c r="AD1" s="261" t="s">
        <v>107</v>
      </c>
      <c r="AE1" s="262"/>
      <c r="AF1" s="261" t="s">
        <v>108</v>
      </c>
      <c r="AG1" s="262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109</v>
      </c>
      <c r="AA2" s="263"/>
      <c r="AB2" s="259" t="s">
        <v>110</v>
      </c>
      <c r="AC2" s="263"/>
      <c r="AD2" s="259" t="s">
        <v>111</v>
      </c>
      <c r="AE2" s="263"/>
      <c r="AF2" s="259" t="s">
        <v>112</v>
      </c>
      <c r="AG2" s="263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">
        <v>145</v>
      </c>
      <c r="B6" s="215">
        <v>3.5977546699875462E-2</v>
      </c>
      <c r="C6" s="215">
        <v>0</v>
      </c>
      <c r="D6" s="24">
        <f t="shared" ref="D6:D16" si="0">SUM(B6,C6)</f>
        <v>3.5977546699875462E-2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1.7988773349937731E-2</v>
      </c>
      <c r="J6" s="24">
        <f t="shared" ref="J6:J13" si="3">IF(I$32&lt;=1+I$131,I6,B6*H6+J$33*(I6-B6*H6))</f>
        <v>1.7988773349937731E-2</v>
      </c>
      <c r="K6" s="22">
        <f t="shared" ref="K6:K31" si="4">B6</f>
        <v>3.5977546699875462E-2</v>
      </c>
      <c r="L6" s="22">
        <f t="shared" ref="L6:L29" si="5">IF(K6="","",K6*H6)</f>
        <v>1.7988773349937731E-2</v>
      </c>
      <c r="M6" s="224">
        <f t="shared" ref="M6:M31" si="6">J6</f>
        <v>1.7988773349937731E-2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7.1955093399750925E-2</v>
      </c>
      <c r="Z6" s="116">
        <v>0.17</v>
      </c>
      <c r="AA6" s="121">
        <f>$M6*Z6*4</f>
        <v>1.2232365877957658E-2</v>
      </c>
      <c r="AB6" s="116">
        <v>0.17</v>
      </c>
      <c r="AC6" s="121">
        <f t="shared" ref="AC6:AC29" si="7">$M6*AB6*4</f>
        <v>1.2232365877957658E-2</v>
      </c>
      <c r="AD6" s="116">
        <v>0.33</v>
      </c>
      <c r="AE6" s="121">
        <f t="shared" ref="AE6:AE29" si="8">$M6*AD6*4</f>
        <v>2.3745180821917806E-2</v>
      </c>
      <c r="AF6" s="122">
        <f>1-SUM(Z6,AB6,AD6)</f>
        <v>0.32999999999999996</v>
      </c>
      <c r="AG6" s="121">
        <f>$M6*AF6*4</f>
        <v>2.3745180821917802E-2</v>
      </c>
      <c r="AH6" s="123">
        <f>SUM(Z6,AB6,AD6,AF6)</f>
        <v>1</v>
      </c>
      <c r="AI6" s="183">
        <f>SUM(AA6,AC6,AE6,AG6)/4</f>
        <v>1.7988773349937731E-2</v>
      </c>
      <c r="AJ6" s="120">
        <f>(AA6+AC6)/2</f>
        <v>1.2232365877957658E-2</v>
      </c>
      <c r="AK6" s="119">
        <f>(AE6+AG6)/2</f>
        <v>2.3745180821917802E-2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">
        <v>146</v>
      </c>
      <c r="B7" s="215">
        <v>2.8596602194894145E-2</v>
      </c>
      <c r="C7" s="215">
        <v>0</v>
      </c>
      <c r="D7" s="24">
        <f t="shared" si="0"/>
        <v>2.8596602194894145E-2</v>
      </c>
      <c r="E7" s="26">
        <v>0.5</v>
      </c>
      <c r="F7" s="27">
        <v>8800</v>
      </c>
      <c r="H7" s="24">
        <f t="shared" si="1"/>
        <v>0.5</v>
      </c>
      <c r="I7" s="22">
        <f t="shared" si="2"/>
        <v>1.4298301097447072E-2</v>
      </c>
      <c r="J7" s="24">
        <f t="shared" si="3"/>
        <v>1.4298301097447072E-2</v>
      </c>
      <c r="K7" s="22">
        <f t="shared" si="4"/>
        <v>2.8596602194894145E-2</v>
      </c>
      <c r="L7" s="22">
        <f t="shared" si="5"/>
        <v>1.4298301097447072E-2</v>
      </c>
      <c r="M7" s="224">
        <f t="shared" si="6"/>
        <v>1.4298301097447072E-2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3310.8818669346656</v>
      </c>
      <c r="S7" s="222">
        <f>IF($B$81=0,0,(SUMIF($N$6:$N$28,$U7,L$6:L$28)+SUMIF($N$91:$N$118,$U7,L$91:L$118))*$I$83*Poor!$B$81/$B$81)</f>
        <v>2682.8158138025015</v>
      </c>
      <c r="T7" s="222">
        <f>IF($B$81=0,0,(SUMIF($N$6:$N$28,$U7,M$6:M$28)+SUMIF($N$91:$N$118,$U7,M$91:M$118))*$I$83*Poor!$B$81/$B$81)</f>
        <v>2689.6652295096924</v>
      </c>
      <c r="U7" s="223">
        <v>1</v>
      </c>
      <c r="V7" s="56"/>
      <c r="W7" s="115"/>
      <c r="X7" s="124">
        <v>4</v>
      </c>
      <c r="Y7" s="183">
        <f t="shared" ref="Y7:Y29" si="9">M7*4</f>
        <v>5.7193204389788289E-2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5.7193204389788289E-2</v>
      </c>
      <c r="AH7" s="123">
        <f t="shared" ref="AH7:AH30" si="12">SUM(Z7,AB7,AD7,AF7)</f>
        <v>1</v>
      </c>
      <c r="AI7" s="183">
        <f t="shared" ref="AI7:AI30" si="13">SUM(AA7,AC7,AE7,AG7)/4</f>
        <v>1.4298301097447072E-2</v>
      </c>
      <c r="AJ7" s="120">
        <f t="shared" ref="AJ7:AJ31" si="14">(AA7+AC7)/2</f>
        <v>0</v>
      </c>
      <c r="AK7" s="119">
        <f t="shared" ref="AK7:AK31" si="15">(AE7+AG7)/2</f>
        <v>2.8596602194894145E-2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">
        <v>147</v>
      </c>
      <c r="B8" s="215">
        <v>1.361111111111111E-2</v>
      </c>
      <c r="C8" s="215">
        <v>0</v>
      </c>
      <c r="D8" s="24">
        <f t="shared" si="0"/>
        <v>1.361111111111111E-2</v>
      </c>
      <c r="E8" s="26">
        <v>1</v>
      </c>
      <c r="F8" s="22" t="s">
        <v>23</v>
      </c>
      <c r="H8" s="24">
        <f t="shared" si="1"/>
        <v>1</v>
      </c>
      <c r="I8" s="22">
        <f t="shared" si="2"/>
        <v>1.361111111111111E-2</v>
      </c>
      <c r="J8" s="24">
        <f t="shared" si="3"/>
        <v>1.361111111111111E-2</v>
      </c>
      <c r="K8" s="22">
        <f t="shared" si="4"/>
        <v>1.361111111111111E-2</v>
      </c>
      <c r="L8" s="22">
        <f t="shared" si="5"/>
        <v>1.361111111111111E-2</v>
      </c>
      <c r="M8" s="224">
        <f t="shared" si="6"/>
        <v>1.361111111111111E-2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1526.206542727313</v>
      </c>
      <c r="S8" s="222">
        <f>IF($B$81=0,0,(SUMIF($N$6:$N$28,$U8,L$6:L$28)+SUMIF($N$91:$N$118,$U8,L$91:L$118))*$I$83*Poor!$B$81/$B$81)</f>
        <v>1389.1733333333334</v>
      </c>
      <c r="T8" s="222">
        <f>IF($B$81=0,0,(SUMIF($N$6:$N$28,$U8,M$6:M$28)+SUMIF($N$91:$N$118,$U8,M$91:M$118))*$I$83*Poor!$B$81/$B$81)</f>
        <v>1370.0966443153345</v>
      </c>
      <c r="U8" s="223">
        <v>2</v>
      </c>
      <c r="V8" s="184"/>
      <c r="W8" s="115"/>
      <c r="X8" s="124">
        <v>1</v>
      </c>
      <c r="Y8" s="183">
        <f t="shared" si="9"/>
        <v>5.4444444444444441E-2</v>
      </c>
      <c r="Z8" s="125">
        <f>IF($Y8=0,0,AA8/$Y8)</f>
        <v>0.57209994994997415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3.1147663941720811E-2</v>
      </c>
      <c r="AB8" s="125">
        <f>IF($Y8=0,0,AC8/$Y8)</f>
        <v>0.4279000500500259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2.329678050272363E-2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1.361111111111111E-2</v>
      </c>
      <c r="AJ8" s="120">
        <f t="shared" si="14"/>
        <v>2.7222222222222221E-2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">
        <v>148</v>
      </c>
      <c r="B9" s="215">
        <v>0.12322019489414693</v>
      </c>
      <c r="C9" s="215">
        <v>0</v>
      </c>
      <c r="D9" s="24">
        <f t="shared" si="0"/>
        <v>0.12322019489414693</v>
      </c>
      <c r="E9" s="26">
        <v>1.0900000000000001</v>
      </c>
      <c r="F9" s="28">
        <v>8800</v>
      </c>
      <c r="H9" s="24">
        <f t="shared" si="1"/>
        <v>1.0900000000000001</v>
      </c>
      <c r="I9" s="22">
        <f t="shared" si="2"/>
        <v>0.13431001243462015</v>
      </c>
      <c r="J9" s="24">
        <f t="shared" si="3"/>
        <v>0.13431001243462015</v>
      </c>
      <c r="K9" s="22">
        <f t="shared" si="4"/>
        <v>0.12322019489414693</v>
      </c>
      <c r="L9" s="22">
        <f t="shared" si="5"/>
        <v>0.13431001243462015</v>
      </c>
      <c r="M9" s="224">
        <f t="shared" si="6"/>
        <v>0.13431001243462015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1095.5690994329716</v>
      </c>
      <c r="S9" s="222">
        <f>IF($B$81=0,0,(SUMIF($N$6:$N$28,$U9,L$6:L$28)+SUMIF($N$91:$N$118,$U9,L$91:L$118))*$I$83*Poor!$B$81/$B$81)</f>
        <v>445.17921885212519</v>
      </c>
      <c r="T9" s="222">
        <f>IF($B$81=0,0,(SUMIF($N$6:$N$28,$U9,M$6:M$28)+SUMIF($N$91:$N$118,$U9,M$91:M$118))*$I$83*Poor!$B$81/$B$81)</f>
        <v>445.17921885212519</v>
      </c>
      <c r="U9" s="223">
        <v>3</v>
      </c>
      <c r="V9" s="56"/>
      <c r="W9" s="115"/>
      <c r="X9" s="124">
        <v>1</v>
      </c>
      <c r="Y9" s="183">
        <f t="shared" si="9"/>
        <v>0.53724004973848061</v>
      </c>
      <c r="Z9" s="125">
        <f>IF($Y9=0,0,AA9/$Y9)</f>
        <v>0.57209994994997426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0.30735500556650641</v>
      </c>
      <c r="AB9" s="125">
        <f>IF($Y9=0,0,AC9/$Y9)</f>
        <v>0.42790005005002579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0.2298850441719742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0.13431001243462015</v>
      </c>
      <c r="AJ9" s="120">
        <f t="shared" si="14"/>
        <v>0.2686200248692403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">
        <v>149</v>
      </c>
      <c r="B10" s="215">
        <v>2.3382926058530512E-2</v>
      </c>
      <c r="C10" s="215">
        <v>-5.2473495485678727E-3</v>
      </c>
      <c r="D10" s="24">
        <f t="shared" si="0"/>
        <v>1.8135576509962639E-2</v>
      </c>
      <c r="E10" s="26">
        <v>0.8</v>
      </c>
      <c r="H10" s="24">
        <f t="shared" si="1"/>
        <v>0.8</v>
      </c>
      <c r="I10" s="22">
        <f t="shared" si="2"/>
        <v>1.4508461207970112E-2</v>
      </c>
      <c r="J10" s="24">
        <f t="shared" si="3"/>
        <v>1.8558712213199255E-2</v>
      </c>
      <c r="K10" s="22">
        <f t="shared" si="4"/>
        <v>2.3382926058530512E-2</v>
      </c>
      <c r="L10" s="22">
        <f t="shared" si="5"/>
        <v>1.8706340846824411E-2</v>
      </c>
      <c r="M10" s="224">
        <f t="shared" si="6"/>
        <v>1.8558712213199255E-2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7.423484885279702E-2</v>
      </c>
      <c r="Z10" s="125">
        <f>IF($Y10=0,0,AA10/$Y10)</f>
        <v>0.57209994994997415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4.2469753313229074E-2</v>
      </c>
      <c r="AB10" s="125">
        <f>IF($Y10=0,0,AC10/$Y10)</f>
        <v>0.42790005005002579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3.1765095539567946E-2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1.8558712213199255E-2</v>
      </c>
      <c r="AJ10" s="120">
        <f t="shared" si="14"/>
        <v>3.711742442639851E-2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">
        <v>150</v>
      </c>
      <c r="B11" s="215">
        <v>5.6812901618929013E-3</v>
      </c>
      <c r="C11" s="215">
        <v>9.7512702366127028E-3</v>
      </c>
      <c r="D11" s="24">
        <f t="shared" si="0"/>
        <v>1.5432560398505605E-2</v>
      </c>
      <c r="E11" s="26">
        <v>0.8</v>
      </c>
      <c r="H11" s="24">
        <f t="shared" si="1"/>
        <v>0.8</v>
      </c>
      <c r="I11" s="22">
        <f t="shared" si="2"/>
        <v>1.2346048318804485E-2</v>
      </c>
      <c r="J11" s="24">
        <f t="shared" si="3"/>
        <v>4.8193738115037904E-3</v>
      </c>
      <c r="K11" s="22">
        <f t="shared" si="4"/>
        <v>5.6812901618929013E-3</v>
      </c>
      <c r="L11" s="22">
        <f t="shared" si="5"/>
        <v>4.5450321295143212E-3</v>
      </c>
      <c r="M11" s="224">
        <f t="shared" si="6"/>
        <v>4.8193738115037904E-3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10048.517627056288</v>
      </c>
      <c r="S11" s="222">
        <f>IF($B$81=0,0,(SUMIF($N$6:$N$28,$U11,L$6:L$28)+SUMIF($N$91:$N$118,$U11,L$91:L$118))*$I$83*Poor!$B$81/$B$81)</f>
        <v>7728.6066666666657</v>
      </c>
      <c r="T11" s="222">
        <f>IF($B$81=0,0,(SUMIF($N$6:$N$28,$U11,M$6:M$28)+SUMIF($N$91:$N$118,$U11,M$91:M$118))*$I$83*Poor!$B$81/$B$81)</f>
        <v>7700.9416226183448</v>
      </c>
      <c r="U11" s="223">
        <v>5</v>
      </c>
      <c r="V11" s="56"/>
      <c r="W11" s="115"/>
      <c r="X11" s="124">
        <v>1</v>
      </c>
      <c r="Y11" s="183">
        <f t="shared" si="9"/>
        <v>1.9277495246015162E-2</v>
      </c>
      <c r="Z11" s="125">
        <f>IF($Y11=0,0,AA11/$Y11)</f>
        <v>0.57209994994997415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1.1028654065406139E-2</v>
      </c>
      <c r="AB11" s="125">
        <f>IF($Y11=0,0,AC11/$Y11)</f>
        <v>0.42790005005002579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8.2488411806090223E-3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4.8193738115037904E-3</v>
      </c>
      <c r="AJ11" s="120">
        <f t="shared" si="14"/>
        <v>9.6387476230075809E-3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">
        <v>151</v>
      </c>
      <c r="B12" s="215">
        <v>3.4044831880448317E-3</v>
      </c>
      <c r="C12" s="215">
        <v>6.8648816936488167E-4</v>
      </c>
      <c r="D12" s="24">
        <f t="shared" si="0"/>
        <v>4.0909713574097135E-3</v>
      </c>
      <c r="E12" s="26">
        <v>0.8</v>
      </c>
      <c r="H12" s="24">
        <f t="shared" si="1"/>
        <v>0.8</v>
      </c>
      <c r="I12" s="22">
        <f t="shared" si="2"/>
        <v>3.2727770859277711E-3</v>
      </c>
      <c r="J12" s="24">
        <f t="shared" si="3"/>
        <v>2.7429001695315918E-3</v>
      </c>
      <c r="K12" s="22">
        <f t="shared" si="4"/>
        <v>3.4044831880448317E-3</v>
      </c>
      <c r="L12" s="22">
        <f t="shared" si="5"/>
        <v>2.7235865504358654E-3</v>
      </c>
      <c r="M12" s="224">
        <f t="shared" si="6"/>
        <v>2.7429001695315918E-3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121.2080495528232</v>
      </c>
      <c r="S12" s="222">
        <f>IF($B$81=0,0,(SUMIF($N$6:$N$28,$U12,L$6:L$28)+SUMIF($N$91:$N$118,$U12,L$91:L$118))*$I$83*Poor!$B$81/$B$81)</f>
        <v>98.504612527759264</v>
      </c>
      <c r="T12" s="222">
        <f>IF($B$81=0,0,(SUMIF($N$6:$N$28,$U12,M$6:M$28)+SUMIF($N$91:$N$118,$U12,M$91:M$118))*$I$83*Poor!$B$81/$B$81)</f>
        <v>99.370651016491237</v>
      </c>
      <c r="U12" s="223">
        <v>6</v>
      </c>
      <c r="V12" s="56"/>
      <c r="W12" s="117"/>
      <c r="X12" s="118"/>
      <c r="Y12" s="183">
        <f t="shared" si="9"/>
        <v>1.0971600678126367E-2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7.3509724543446668E-3</v>
      </c>
      <c r="AF12" s="122">
        <f>1-SUM(Z12,AB12,AD12)</f>
        <v>0.32999999999999996</v>
      </c>
      <c r="AG12" s="121">
        <f>$M12*AF12*4</f>
        <v>3.6206282237817009E-3</v>
      </c>
      <c r="AH12" s="123">
        <f t="shared" si="12"/>
        <v>1</v>
      </c>
      <c r="AI12" s="183">
        <f t="shared" si="13"/>
        <v>2.7429001695315918E-3</v>
      </c>
      <c r="AJ12" s="120">
        <f t="shared" si="14"/>
        <v>0</v>
      </c>
      <c r="AK12" s="119">
        <f t="shared" si="15"/>
        <v>5.4858003390631837E-3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">
        <v>152</v>
      </c>
      <c r="B13" s="215">
        <v>7.5887297633872976E-4</v>
      </c>
      <c r="C13" s="215">
        <v>1.517745952677459E-4</v>
      </c>
      <c r="D13" s="24">
        <f t="shared" si="0"/>
        <v>9.1064757160647569E-4</v>
      </c>
      <c r="E13" s="26">
        <v>0.8</v>
      </c>
      <c r="H13" s="24">
        <f t="shared" si="1"/>
        <v>0.8</v>
      </c>
      <c r="I13" s="22">
        <f t="shared" si="2"/>
        <v>7.2851805728518055E-4</v>
      </c>
      <c r="J13" s="24">
        <f t="shared" si="3"/>
        <v>6.1136839889827036E-4</v>
      </c>
      <c r="K13" s="22">
        <f t="shared" si="4"/>
        <v>7.5887297633872976E-4</v>
      </c>
      <c r="L13" s="22">
        <f t="shared" si="5"/>
        <v>6.0709838107098383E-4</v>
      </c>
      <c r="M13" s="225">
        <f t="shared" si="6"/>
        <v>6.1136839889827036E-4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2477.3683198261147</v>
      </c>
      <c r="S13" s="222">
        <f>IF($B$81=0,0,(SUMIF($N$6:$N$28,$U13,L$6:L$28)+SUMIF($N$91:$N$118,$U13,L$91:L$118))*$I$83*Poor!$B$81/$B$81)</f>
        <v>2234.8000000000002</v>
      </c>
      <c r="T13" s="222">
        <f>IF($B$81=0,0,(SUMIF($N$6:$N$28,$U13,M$6:M$28)+SUMIF($N$91:$N$118,$U13,M$91:M$118))*$I$83*Poor!$B$81/$B$81)</f>
        <v>2234.8000000000002</v>
      </c>
      <c r="U13" s="223">
        <v>7</v>
      </c>
      <c r="V13" s="56"/>
      <c r="W13" s="110"/>
      <c r="X13" s="118"/>
      <c r="Y13" s="183">
        <f t="shared" si="9"/>
        <v>2.4454735955930815E-3</v>
      </c>
      <c r="Z13" s="116">
        <v>1</v>
      </c>
      <c r="AA13" s="121">
        <f>$M13*Z13*4</f>
        <v>2.4454735955930815E-3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6.1136839889827036E-4</v>
      </c>
      <c r="AJ13" s="120">
        <f t="shared" si="14"/>
        <v>1.2227367977965407E-3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">
        <v>153</v>
      </c>
      <c r="B14" s="215">
        <v>6.2893244084682443E-3</v>
      </c>
      <c r="C14" s="215">
        <v>0</v>
      </c>
      <c r="D14" s="24">
        <f t="shared" si="0"/>
        <v>6.2893244084682443E-3</v>
      </c>
      <c r="E14" s="26">
        <v>0.8</v>
      </c>
      <c r="F14" s="22"/>
      <c r="H14" s="24">
        <f t="shared" si="1"/>
        <v>0.8</v>
      </c>
      <c r="I14" s="22">
        <f t="shared" si="2"/>
        <v>5.0314595267745956E-3</v>
      </c>
      <c r="J14" s="24">
        <f>IF(I$32&lt;=1+I131,I14,B14*H14+J$33*(I14-B14*H14))</f>
        <v>5.0314595267745956E-3</v>
      </c>
      <c r="K14" s="22">
        <f t="shared" si="4"/>
        <v>6.2893244084682443E-3</v>
      </c>
      <c r="L14" s="22">
        <f t="shared" si="5"/>
        <v>5.0314595267745956E-3</v>
      </c>
      <c r="M14" s="225">
        <f t="shared" si="6"/>
        <v>5.0314595267745956E-3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2.0125838107098382E-2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2.0125838107098382E-2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5.0314595267745956E-3</v>
      </c>
      <c r="AJ14" s="120">
        <f t="shared" si="14"/>
        <v>1.0062919053549191E-2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">
        <v>154</v>
      </c>
      <c r="B15" s="215">
        <v>2.9898731320049808E-3</v>
      </c>
      <c r="C15" s="215">
        <v>0</v>
      </c>
      <c r="D15" s="24">
        <f t="shared" si="0"/>
        <v>2.9898731320049808E-3</v>
      </c>
      <c r="E15" s="26">
        <v>0.8</v>
      </c>
      <c r="F15" s="22"/>
      <c r="H15" s="24">
        <f t="shared" si="1"/>
        <v>0.8</v>
      </c>
      <c r="I15" s="22">
        <f t="shared" si="2"/>
        <v>2.3918985056039848E-3</v>
      </c>
      <c r="J15" s="24">
        <f>IF(I$32&lt;=1+I131,I15,B15*H15+J$33*(I15-B15*H15))</f>
        <v>2.3918985056039848E-3</v>
      </c>
      <c r="K15" s="22">
        <f t="shared" si="4"/>
        <v>2.9898731320049808E-3</v>
      </c>
      <c r="L15" s="22">
        <f t="shared" si="5"/>
        <v>2.3918985056039848E-3</v>
      </c>
      <c r="M15" s="226">
        <f t="shared" si="6"/>
        <v>2.3918985056039848E-3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9071.1055896149574</v>
      </c>
      <c r="S15" s="222">
        <f>IF($B$81=0,0,(SUMIF($N$6:$N$28,$U15,L$6:L$28)+SUMIF($N$91:$N$118,$U15,L$91:L$118))*$I$83*Poor!$B$81/$B$81)</f>
        <v>8698.9599999999991</v>
      </c>
      <c r="T15" s="222">
        <f>IF($B$81=0,0,(SUMIF($N$6:$N$28,$U15,M$6:M$28)+SUMIF($N$91:$N$118,$U15,M$91:M$118))*$I$83*Poor!$B$81/$B$81)</f>
        <v>8698.9599999999991</v>
      </c>
      <c r="U15" s="223">
        <v>9</v>
      </c>
      <c r="V15" s="56"/>
      <c r="W15" s="110"/>
      <c r="X15" s="118"/>
      <c r="Y15" s="183">
        <f t="shared" si="9"/>
        <v>9.5675940224159393E-3</v>
      </c>
      <c r="Z15" s="116">
        <v>0.25</v>
      </c>
      <c r="AA15" s="121">
        <f t="shared" si="16"/>
        <v>2.3918985056039848E-3</v>
      </c>
      <c r="AB15" s="116">
        <v>0.25</v>
      </c>
      <c r="AC15" s="121">
        <f t="shared" si="7"/>
        <v>2.3918985056039848E-3</v>
      </c>
      <c r="AD15" s="116">
        <v>0.25</v>
      </c>
      <c r="AE15" s="121">
        <f t="shared" si="8"/>
        <v>2.3918985056039848E-3</v>
      </c>
      <c r="AF15" s="122">
        <f t="shared" si="10"/>
        <v>0.25</v>
      </c>
      <c r="AG15" s="121">
        <f t="shared" si="11"/>
        <v>2.3918985056039848E-3</v>
      </c>
      <c r="AH15" s="123">
        <f t="shared" si="12"/>
        <v>1</v>
      </c>
      <c r="AI15" s="183">
        <f t="shared" si="13"/>
        <v>2.3918985056039848E-3</v>
      </c>
      <c r="AJ15" s="120">
        <f t="shared" si="14"/>
        <v>2.3918985056039848E-3</v>
      </c>
      <c r="AK15" s="119">
        <f t="shared" si="15"/>
        <v>2.3918985056039848E-3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">
        <v>155</v>
      </c>
      <c r="B16" s="215">
        <v>8.0923100871731007E-4</v>
      </c>
      <c r="C16" s="215">
        <v>1.5644458281444587E-4</v>
      </c>
      <c r="D16" s="24">
        <f t="shared" si="0"/>
        <v>9.6567559153175591E-4</v>
      </c>
      <c r="E16" s="26">
        <v>0.8</v>
      </c>
      <c r="F16" s="22"/>
      <c r="H16" s="24">
        <f t="shared" si="1"/>
        <v>0.8</v>
      </c>
      <c r="I16" s="22">
        <f t="shared" si="2"/>
        <v>7.7254047322540477E-4</v>
      </c>
      <c r="J16" s="24">
        <f>IF(I$32&lt;=1+I131,I16,B16*H16+J$33*(I16-B16*H16))</f>
        <v>6.5178620996505111E-4</v>
      </c>
      <c r="K16" s="22">
        <f t="shared" si="4"/>
        <v>8.0923100871731007E-4</v>
      </c>
      <c r="L16" s="22">
        <f t="shared" si="5"/>
        <v>6.4738480697384808E-4</v>
      </c>
      <c r="M16" s="224">
        <f t="shared" si="6"/>
        <v>6.5178620996505111E-4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2.6071448398602044E-3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2.6071448398602044E-3</v>
      </c>
      <c r="AH16" s="123">
        <f t="shared" si="12"/>
        <v>1</v>
      </c>
      <c r="AI16" s="183">
        <f t="shared" si="13"/>
        <v>6.5178620996505111E-4</v>
      </c>
      <c r="AJ16" s="120">
        <f t="shared" si="14"/>
        <v>0</v>
      </c>
      <c r="AK16" s="119">
        <f t="shared" si="15"/>
        <v>1.3035724199301022E-3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">
        <v>156</v>
      </c>
      <c r="B17" s="215">
        <v>3.8126992528019926E-3</v>
      </c>
      <c r="C17" s="215">
        <v>0</v>
      </c>
      <c r="D17" s="24">
        <f>SUM(B17,C17)</f>
        <v>3.8126992528019926E-3</v>
      </c>
      <c r="E17" s="26">
        <v>0.8</v>
      </c>
      <c r="F17" s="22"/>
      <c r="H17" s="24">
        <f t="shared" si="1"/>
        <v>0.8</v>
      </c>
      <c r="I17" s="22">
        <f t="shared" si="2"/>
        <v>3.0501594022415944E-3</v>
      </c>
      <c r="J17" s="24">
        <f t="shared" ref="J17:J25" si="17">IF(I$32&lt;=1+I131,I17,B17*H17+J$33*(I17-B17*H17))</f>
        <v>3.0501594022415944E-3</v>
      </c>
      <c r="K17" s="22">
        <f t="shared" si="4"/>
        <v>3.8126992528019926E-3</v>
      </c>
      <c r="L17" s="22">
        <f t="shared" si="5"/>
        <v>3.0501594022415944E-3</v>
      </c>
      <c r="M17" s="225">
        <f t="shared" si="6"/>
        <v>3.0501594022415944E-3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1148.448889985616</v>
      </c>
      <c r="S17" s="222">
        <f>IF($B$81=0,0,(SUMIF($N$6:$N$28,$U17,L$6:L$28)+SUMIF($N$91:$N$118,$U17,L$91:L$118))*$I$83*Poor!$B$81/$B$81)</f>
        <v>881.06666666666661</v>
      </c>
      <c r="T17" s="222">
        <f>IF($B$81=0,0,(SUMIF($N$6:$N$28,$U17,M$6:M$28)+SUMIF($N$91:$N$118,$U17,M$91:M$118))*$I$83*Poor!$B$81/$B$81)</f>
        <v>881.06666666666661</v>
      </c>
      <c r="U17" s="223">
        <v>11</v>
      </c>
      <c r="V17" s="56"/>
      <c r="W17" s="110"/>
      <c r="X17" s="118"/>
      <c r="Y17" s="183">
        <f t="shared" si="9"/>
        <v>1.2200637608966378E-2</v>
      </c>
      <c r="Z17" s="116">
        <v>0.29409999999999997</v>
      </c>
      <c r="AA17" s="121">
        <f t="shared" si="16"/>
        <v>3.5882075207970114E-3</v>
      </c>
      <c r="AB17" s="116">
        <v>0.17649999999999999</v>
      </c>
      <c r="AC17" s="121">
        <f t="shared" si="7"/>
        <v>2.1534125379825656E-3</v>
      </c>
      <c r="AD17" s="116">
        <v>0.23530000000000001</v>
      </c>
      <c r="AE17" s="121">
        <f t="shared" si="8"/>
        <v>2.8708100293897889E-3</v>
      </c>
      <c r="AF17" s="122">
        <f t="shared" si="10"/>
        <v>0.29410000000000003</v>
      </c>
      <c r="AG17" s="121">
        <f t="shared" si="11"/>
        <v>3.5882075207970118E-3</v>
      </c>
      <c r="AH17" s="123">
        <f t="shared" si="12"/>
        <v>1</v>
      </c>
      <c r="AI17" s="183">
        <f t="shared" si="13"/>
        <v>3.0501594022415944E-3</v>
      </c>
      <c r="AJ17" s="120">
        <f t="shared" si="14"/>
        <v>2.8708100293897885E-3</v>
      </c>
      <c r="AK17" s="119">
        <f t="shared" si="15"/>
        <v>3.2295087750934003E-3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">
        <v>157</v>
      </c>
      <c r="B18" s="215">
        <v>7.4533001245330015E-3</v>
      </c>
      <c r="C18" s="215">
        <v>4.9688667496886668E-3</v>
      </c>
      <c r="D18" s="24">
        <f t="shared" ref="D18:D20" si="18">SUM(B18,C18)</f>
        <v>1.2422166874221669E-2</v>
      </c>
      <c r="E18" s="26">
        <v>0.8</v>
      </c>
      <c r="F18" s="22"/>
      <c r="H18" s="24">
        <f t="shared" ref="H18:H20" si="19">(E18*F$7/F$9)</f>
        <v>0.8</v>
      </c>
      <c r="I18" s="22">
        <f t="shared" ref="I18:I20" si="20">(D18*H18)</f>
        <v>9.9377334993773353E-3</v>
      </c>
      <c r="J18" s="24">
        <f t="shared" si="17"/>
        <v>6.1024339140335658E-3</v>
      </c>
      <c r="K18" s="22">
        <f t="shared" ref="K18:K20" si="21">B18</f>
        <v>7.4533001245330015E-3</v>
      </c>
      <c r="L18" s="22">
        <f t="shared" ref="L18:L20" si="22">IF(K18="","",K18*H18)</f>
        <v>5.9626400996264017E-3</v>
      </c>
      <c r="M18" s="225">
        <f t="shared" ref="M18:M20" si="23">J18</f>
        <v>6.1024339140335658E-3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2592.6389326114268</v>
      </c>
      <c r="S18" s="222">
        <f>IF($B$81=0,0,(SUMIF($N$6:$N$28,$U18,L$6:L$28)+SUMIF($N$91:$N$118,$U18,L$91:L$118))*$I$83*Poor!$B$81/$B$81)</f>
        <v>2107.0126482810269</v>
      </c>
      <c r="T18" s="222">
        <f>IF($B$81=0,0,(SUMIF($N$6:$N$28,$U18,M$6:M$28)+SUMIF($N$91:$N$118,$U18,M$91:M$118))*$I$83*Poor!$B$81/$B$81)</f>
        <v>2107.0126482810269</v>
      </c>
      <c r="U18" s="223">
        <v>12</v>
      </c>
      <c r="V18" s="56"/>
      <c r="W18" s="110"/>
      <c r="X18" s="118"/>
      <c r="Y18" s="183">
        <f t="shared" ref="Y18:Y20" si="24">M18*4</f>
        <v>2.4409735656134263E-2</v>
      </c>
      <c r="Z18" s="116">
        <v>1.2941</v>
      </c>
      <c r="AA18" s="121">
        <f t="shared" ref="AA18:AA20" si="25">$M18*Z18*4</f>
        <v>3.1588638912603349E-2</v>
      </c>
      <c r="AB18" s="116">
        <v>1.1765000000000001</v>
      </c>
      <c r="AC18" s="121">
        <f t="shared" ref="AC18:AC20" si="26">$M18*AB18*4</f>
        <v>2.8718053999441964E-2</v>
      </c>
      <c r="AD18" s="116">
        <v>1.2353000000000001</v>
      </c>
      <c r="AE18" s="121">
        <f t="shared" ref="AE18:AE20" si="27">$M18*AD18*4</f>
        <v>3.0153346456022658E-2</v>
      </c>
      <c r="AF18" s="122">
        <f t="shared" ref="AF18:AF20" si="28">1-SUM(Z18,AB18,AD18)</f>
        <v>-2.7059000000000002</v>
      </c>
      <c r="AG18" s="121">
        <f t="shared" ref="AG18:AG20" si="29">$M18*AF18*4</f>
        <v>-6.6050303711933711E-2</v>
      </c>
      <c r="AH18" s="123">
        <f t="shared" ref="AH18:AH20" si="30">SUM(Z18,AB18,AD18,AF18)</f>
        <v>1</v>
      </c>
      <c r="AI18" s="183">
        <f t="shared" ref="AI18:AI20" si="31">SUM(AA18,AC18,AE18,AG18)/4</f>
        <v>6.102433914033565E-3</v>
      </c>
      <c r="AJ18" s="120">
        <f t="shared" ref="AJ18:AJ20" si="32">(AA18+AC18)/2</f>
        <v>3.0153346456022655E-2</v>
      </c>
      <c r="AK18" s="119">
        <f t="shared" ref="AK18:AK20" si="33">(AE18+AG18)/2</f>
        <v>-1.7948478627955525E-2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">
        <v>158</v>
      </c>
      <c r="B19" s="215">
        <v>3.518264840182648E-3</v>
      </c>
      <c r="C19" s="215">
        <v>7.189497716894977E-3</v>
      </c>
      <c r="D19" s="24">
        <f t="shared" si="18"/>
        <v>1.0707762557077624E-2</v>
      </c>
      <c r="E19" s="26">
        <v>0.8</v>
      </c>
      <c r="F19" s="22"/>
      <c r="H19" s="24">
        <f t="shared" si="19"/>
        <v>0.8</v>
      </c>
      <c r="I19" s="22">
        <f t="shared" si="20"/>
        <v>8.5662100456621003E-3</v>
      </c>
      <c r="J19" s="24">
        <f t="shared" si="17"/>
        <v>3.0168807918307364E-3</v>
      </c>
      <c r="K19" s="22">
        <f t="shared" si="21"/>
        <v>3.518264840182648E-3</v>
      </c>
      <c r="L19" s="22">
        <f t="shared" si="22"/>
        <v>2.8146118721461186E-3</v>
      </c>
      <c r="M19" s="225">
        <f t="shared" si="23"/>
        <v>3.0168807918307364E-3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1.2067523167322946E-2</v>
      </c>
      <c r="Z19" s="116">
        <v>2.2940999999999998</v>
      </c>
      <c r="AA19" s="121">
        <f t="shared" si="25"/>
        <v>2.7684104898155568E-2</v>
      </c>
      <c r="AB19" s="116">
        <v>2.1764999999999999</v>
      </c>
      <c r="AC19" s="121">
        <f t="shared" si="26"/>
        <v>2.6264964173678389E-2</v>
      </c>
      <c r="AD19" s="116">
        <v>2.2353000000000001</v>
      </c>
      <c r="AE19" s="121">
        <f t="shared" si="27"/>
        <v>2.6974534535916982E-2</v>
      </c>
      <c r="AF19" s="122">
        <f t="shared" si="28"/>
        <v>-5.7058999999999997</v>
      </c>
      <c r="AG19" s="121">
        <f t="shared" si="29"/>
        <v>-6.8856080440427986E-2</v>
      </c>
      <c r="AH19" s="123">
        <f t="shared" si="30"/>
        <v>1</v>
      </c>
      <c r="AI19" s="183">
        <f t="shared" si="31"/>
        <v>3.0168807918307394E-3</v>
      </c>
      <c r="AJ19" s="120">
        <f t="shared" si="32"/>
        <v>2.6974534535916979E-2</v>
      </c>
      <c r="AK19" s="119">
        <f t="shared" si="33"/>
        <v>-2.09407729522555E-2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">
        <v>159</v>
      </c>
      <c r="B20" s="215">
        <v>2.1575342465753424E-4</v>
      </c>
      <c r="C20" s="215">
        <v>0</v>
      </c>
      <c r="D20" s="24">
        <f t="shared" si="18"/>
        <v>2.1575342465753424E-4</v>
      </c>
      <c r="E20" s="26">
        <v>0.8</v>
      </c>
      <c r="F20" s="22"/>
      <c r="H20" s="24">
        <f t="shared" si="19"/>
        <v>0.8</v>
      </c>
      <c r="I20" s="22">
        <f t="shared" si="20"/>
        <v>1.7260273972602739E-4</v>
      </c>
      <c r="J20" s="24">
        <f t="shared" si="17"/>
        <v>1.7260273972602739E-4</v>
      </c>
      <c r="K20" s="22">
        <f t="shared" si="21"/>
        <v>2.1575342465753424E-4</v>
      </c>
      <c r="L20" s="22">
        <f t="shared" si="22"/>
        <v>1.7260273972602739E-4</v>
      </c>
      <c r="M20" s="225">
        <f t="shared" si="23"/>
        <v>1.7260273972602739E-4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31271.442953672617</v>
      </c>
      <c r="S20" s="222">
        <f>IF($B$81=0,0,(SUMIF($N$6:$N$28,$U20,L$6:L$28)+SUMIF($N$91:$N$118,$U20,L$91:L$118))*$I$83*Poor!$B$81/$B$81)</f>
        <v>29988.519999999997</v>
      </c>
      <c r="T20" s="222">
        <f>IF($B$81=0,0,(SUMIF($N$6:$N$28,$U20,M$6:M$28)+SUMIF($N$91:$N$118,$U20,M$91:M$118))*$I$83*Poor!$B$81/$B$81)</f>
        <v>29988.519999999997</v>
      </c>
      <c r="U20" s="223">
        <v>14</v>
      </c>
      <c r="V20" s="56"/>
      <c r="W20" s="110"/>
      <c r="X20" s="118"/>
      <c r="Y20" s="183">
        <f t="shared" si="24"/>
        <v>6.9041095890410957E-4</v>
      </c>
      <c r="Z20" s="116">
        <v>3.2940999999999998</v>
      </c>
      <c r="AA20" s="121">
        <f t="shared" si="25"/>
        <v>2.2742827397260273E-3</v>
      </c>
      <c r="AB20" s="116">
        <v>3.1764999999999999</v>
      </c>
      <c r="AC20" s="121">
        <f t="shared" si="26"/>
        <v>2.193090410958904E-3</v>
      </c>
      <c r="AD20" s="116">
        <v>3.2353000000000001</v>
      </c>
      <c r="AE20" s="121">
        <f t="shared" si="27"/>
        <v>2.2336865753424659E-3</v>
      </c>
      <c r="AF20" s="122">
        <f t="shared" si="28"/>
        <v>-8.7058999999999997</v>
      </c>
      <c r="AG20" s="121">
        <f t="shared" si="29"/>
        <v>-6.0106487671232871E-3</v>
      </c>
      <c r="AH20" s="123">
        <f t="shared" si="30"/>
        <v>1</v>
      </c>
      <c r="AI20" s="183">
        <f t="shared" si="31"/>
        <v>1.7260273972602761E-4</v>
      </c>
      <c r="AJ20" s="120">
        <f t="shared" si="32"/>
        <v>2.2336865753424659E-3</v>
      </c>
      <c r="AK20" s="119">
        <f t="shared" si="33"/>
        <v>-1.8884810958904106E-3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">
        <v>160</v>
      </c>
      <c r="B21" s="215">
        <v>6.8041718555417185E-3</v>
      </c>
      <c r="C21" s="215">
        <v>1.7010429638854303E-3</v>
      </c>
      <c r="D21" s="24">
        <f t="shared" ref="D21:D25" si="34">SUM(B21,C21)</f>
        <v>8.5052148194271482E-3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8.5052148194271482E-3</v>
      </c>
      <c r="J21" s="24">
        <f t="shared" si="17"/>
        <v>6.8639931629874531E-3</v>
      </c>
      <c r="K21" s="22">
        <f t="shared" ref="K21:K25" si="37">B21</f>
        <v>6.8041718555417185E-3</v>
      </c>
      <c r="L21" s="22">
        <f t="shared" ref="L21:L25" si="38">IF(K21="","",K21*H21)</f>
        <v>6.8041718555417185E-3</v>
      </c>
      <c r="M21" s="225">
        <f t="shared" ref="M21:M25" si="39">J21</f>
        <v>6.8639931629874531E-3</v>
      </c>
      <c r="N21" s="229">
        <v>6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348.63627017420481</v>
      </c>
      <c r="S21" s="222">
        <f>IF($B$81=0,0,(SUMIF($N$6:$N$28,$U21,L$6:L$28)+SUMIF($N$91:$N$118,$U21,L$91:L$118))*$I$83*Poor!$B$81/$B$81)</f>
        <v>314.5</v>
      </c>
      <c r="T21" s="222">
        <f>IF($B$81=0,0,(SUMIF($N$6:$N$28,$U21,M$6:M$28)+SUMIF($N$91:$N$118,$U21,M$91:M$118))*$I$83*Poor!$B$81/$B$81)</f>
        <v>314.5</v>
      </c>
      <c r="U21" s="223">
        <v>15</v>
      </c>
      <c r="V21" s="56"/>
      <c r="W21" s="110"/>
      <c r="X21" s="118"/>
      <c r="Y21" s="183">
        <f t="shared" ref="Y21:Y25" si="40">M21*4</f>
        <v>2.7455972651949812E-2</v>
      </c>
      <c r="Z21" s="116">
        <v>4.2941000000000003</v>
      </c>
      <c r="AA21" s="121">
        <f t="shared" ref="AA21:AA25" si="41">$M21*Z21*4</f>
        <v>0.1178986921647377</v>
      </c>
      <c r="AB21" s="116">
        <v>4.1764999999999999</v>
      </c>
      <c r="AC21" s="121">
        <f t="shared" ref="AC21:AC25" si="42">$M21*AB21*4</f>
        <v>0.11466986978086839</v>
      </c>
      <c r="AD21" s="116">
        <v>4.2352999999999996</v>
      </c>
      <c r="AE21" s="121">
        <f t="shared" ref="AE21:AE25" si="43">$M21*AD21*4</f>
        <v>0.11628428097280302</v>
      </c>
      <c r="AF21" s="122">
        <f t="shared" ref="AF21:AF25" si="44">1-SUM(Z21,AB21,AD21)</f>
        <v>-11.7059</v>
      </c>
      <c r="AG21" s="121">
        <f t="shared" ref="AG21:AG25" si="45">$M21*AF21*4</f>
        <v>-0.3213968702664593</v>
      </c>
      <c r="AH21" s="123">
        <f t="shared" ref="AH21:AH25" si="46">SUM(Z21,AB21,AD21,AF21)</f>
        <v>1</v>
      </c>
      <c r="AI21" s="183">
        <f t="shared" ref="AI21:AI25" si="47">SUM(AA21,AC21,AE21,AG21)/4</f>
        <v>6.8639931629874557E-3</v>
      </c>
      <c r="AJ21" s="120">
        <f t="shared" ref="AJ21:AJ25" si="48">(AA21+AC21)/2</f>
        <v>0.11628428097280305</v>
      </c>
      <c r="AK21" s="119">
        <f t="shared" ref="AK21:AK25" si="49">(AE21+AG21)/2</f>
        <v>-0.10255629464682814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">
        <v>161</v>
      </c>
      <c r="B22" s="215">
        <v>3.3997509339975094E-4</v>
      </c>
      <c r="C22" s="215">
        <v>8.4993773349937763E-5</v>
      </c>
      <c r="D22" s="24">
        <f t="shared" si="34"/>
        <v>4.2496886674968869E-4</v>
      </c>
      <c r="E22" s="26">
        <v>1</v>
      </c>
      <c r="F22" s="22"/>
      <c r="H22" s="24">
        <f t="shared" si="35"/>
        <v>1</v>
      </c>
      <c r="I22" s="22">
        <f t="shared" si="36"/>
        <v>4.2496886674968869E-4</v>
      </c>
      <c r="J22" s="24">
        <f t="shared" si="17"/>
        <v>3.4296410587885149E-4</v>
      </c>
      <c r="K22" s="22">
        <f t="shared" si="37"/>
        <v>3.3997509339975094E-4</v>
      </c>
      <c r="L22" s="22">
        <f t="shared" si="38"/>
        <v>3.3997509339975094E-4</v>
      </c>
      <c r="M22" s="225">
        <f t="shared" si="39"/>
        <v>3.4296410587885149E-4</v>
      </c>
      <c r="N22" s="229">
        <v>6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943.77889137746513</v>
      </c>
      <c r="S22" s="222">
        <f>IF($B$81=0,0,(SUMIF($N$6:$N$28,$U22,L$6:L$28)+SUMIF($N$91:$N$118,$U22,L$91:L$118))*$I$83*Poor!$B$81/$B$81)</f>
        <v>767</v>
      </c>
      <c r="T22" s="222">
        <f>IF($B$81=0,0,(SUMIF($N$6:$N$28,$U22,M$6:M$28)+SUMIF($N$91:$N$118,$U22,M$91:M$118))*$I$83*Poor!$B$81/$B$81)</f>
        <v>767</v>
      </c>
      <c r="U22" s="223">
        <v>16</v>
      </c>
      <c r="V22" s="56"/>
      <c r="W22" s="110"/>
      <c r="X22" s="118"/>
      <c r="Y22" s="183">
        <f t="shared" si="40"/>
        <v>1.371856423515406E-3</v>
      </c>
      <c r="Z22" s="116">
        <v>5.2941000000000003</v>
      </c>
      <c r="AA22" s="121">
        <f t="shared" si="41"/>
        <v>7.2627450917329113E-3</v>
      </c>
      <c r="AB22" s="116">
        <v>5.1764999999999999</v>
      </c>
      <c r="AC22" s="121">
        <f t="shared" si="42"/>
        <v>7.1014147763274992E-3</v>
      </c>
      <c r="AD22" s="116">
        <v>5.2352999999999996</v>
      </c>
      <c r="AE22" s="121">
        <f t="shared" si="43"/>
        <v>7.1820799340302048E-3</v>
      </c>
      <c r="AF22" s="122">
        <f t="shared" si="44"/>
        <v>-14.7059</v>
      </c>
      <c r="AG22" s="121">
        <f t="shared" si="45"/>
        <v>-2.017438337857521E-2</v>
      </c>
      <c r="AH22" s="123">
        <f t="shared" si="46"/>
        <v>1</v>
      </c>
      <c r="AI22" s="183">
        <f t="shared" si="47"/>
        <v>3.4296410587885112E-4</v>
      </c>
      <c r="AJ22" s="120">
        <f t="shared" si="48"/>
        <v>7.1820799340302048E-3</v>
      </c>
      <c r="AK22" s="119">
        <f t="shared" si="49"/>
        <v>-6.4961517222725026E-3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">
        <v>162</v>
      </c>
      <c r="B23" s="215">
        <v>0</v>
      </c>
      <c r="C23" s="215"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63955.803032966454</v>
      </c>
      <c r="S23" s="179">
        <f>SUM(S7:S22)</f>
        <v>57336.138960130076</v>
      </c>
      <c r="T23" s="179">
        <f>SUM(T7:T22)</f>
        <v>57297.112681259678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">
        <v>162</v>
      </c>
      <c r="B24" s="215">
        <v>0</v>
      </c>
      <c r="C24" s="215"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31035.992491963734</v>
      </c>
      <c r="S24" s="41">
        <f>IF($B$81=0,0,(SUM(($B$70*$H$70))+((1-$D$29)*$I$83))*Poor!$B$81/$B$81)</f>
        <v>31035.992491963734</v>
      </c>
      <c r="T24" s="41">
        <f>IF($B$81=0,0,(SUM(($B$70*$H$70))+((1-$D$29)*$I$83))*Poor!$B$81/$B$81)</f>
        <v>31035.992491963734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">
        <v>162</v>
      </c>
      <c r="B25" s="215">
        <v>0</v>
      </c>
      <c r="C25" s="215"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47999.934714185954</v>
      </c>
      <c r="S25" s="41">
        <f>IF($B$81=0,0,(SUM(($B$70*$H$70),($B$71*$H$71))+((1-$D$29)*$I$83))*Poor!$B$81/$B$81)</f>
        <v>47999.934714185954</v>
      </c>
      <c r="T25" s="41">
        <f>IF($B$81=0,0,(SUM(($B$70*$H$70),($B$71*$H$71))+((1-$D$29)*$I$83))*Poor!$B$81/$B$81)</f>
        <v>47999.934714185954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">
        <v>163</v>
      </c>
      <c r="B26" s="215">
        <v>0.15281322971912611</v>
      </c>
      <c r="C26" s="215">
        <v>0</v>
      </c>
      <c r="D26" s="24">
        <f>SUM(B26,C26)</f>
        <v>0.15281322971912611</v>
      </c>
      <c r="E26" s="26">
        <v>1</v>
      </c>
      <c r="F26" s="22"/>
      <c r="H26" s="24">
        <f t="shared" si="1"/>
        <v>1</v>
      </c>
      <c r="I26" s="22">
        <f t="shared" si="2"/>
        <v>0.15281322971912611</v>
      </c>
      <c r="J26" s="24">
        <f>IF(I$32&lt;=1+I131,I26,B26*H26+J$33*(I26-B26*H26))</f>
        <v>0.15281322971912611</v>
      </c>
      <c r="K26" s="22">
        <f t="shared" si="4"/>
        <v>0.15281322971912611</v>
      </c>
      <c r="L26" s="22">
        <f t="shared" si="5"/>
        <v>0.15281322971912611</v>
      </c>
      <c r="M26" s="224">
        <f t="shared" si="6"/>
        <v>0.15281322971912611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79373.774714185944</v>
      </c>
      <c r="S26" s="41">
        <f>IF($B$81=0,0,(SUM(($B$70*$H$70),($B$71*$H$71),($B$72*$H$72))+((1-$D$29)*$I$83))*Poor!$B$81/$B$81)</f>
        <v>79373.774714185944</v>
      </c>
      <c r="T26" s="41">
        <f>IF($B$81=0,0,(SUM(($B$70*$H$70),($B$71*$H$71),($B$72*$H$72))+((1-$D$29)*$I$83))*Poor!$B$81/$B$81)</f>
        <v>79373.774714185944</v>
      </c>
      <c r="U26" s="56"/>
      <c r="V26" s="56"/>
      <c r="W26" s="110"/>
      <c r="X26" s="118"/>
      <c r="Y26" s="183">
        <f t="shared" si="9"/>
        <v>0.61125291887650446</v>
      </c>
      <c r="Z26" s="116">
        <v>0.25</v>
      </c>
      <c r="AA26" s="121">
        <f t="shared" si="16"/>
        <v>0.15281322971912611</v>
      </c>
      <c r="AB26" s="116">
        <v>0.25</v>
      </c>
      <c r="AC26" s="121">
        <f t="shared" si="7"/>
        <v>0.15281322971912611</v>
      </c>
      <c r="AD26" s="116">
        <v>0.25</v>
      </c>
      <c r="AE26" s="121">
        <f t="shared" si="8"/>
        <v>0.15281322971912611</v>
      </c>
      <c r="AF26" s="122">
        <f t="shared" si="10"/>
        <v>0.25</v>
      </c>
      <c r="AG26" s="121">
        <f t="shared" si="11"/>
        <v>0.15281322971912611</v>
      </c>
      <c r="AH26" s="123">
        <f t="shared" si="12"/>
        <v>1</v>
      </c>
      <c r="AI26" s="183">
        <f t="shared" si="13"/>
        <v>0.15281322971912611</v>
      </c>
      <c r="AJ26" s="120">
        <f t="shared" si="14"/>
        <v>0.15281322971912611</v>
      </c>
      <c r="AK26" s="119">
        <f t="shared" si="15"/>
        <v>0.15281322971912611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">
        <v>164</v>
      </c>
      <c r="B27" s="215">
        <v>2.7708873287671229E-2</v>
      </c>
      <c r="C27" s="215">
        <v>-2.7708873287671229E-2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2.6734423457121077E-2</v>
      </c>
      <c r="K27" s="22">
        <f t="shared" si="4"/>
        <v>2.7708873287671229E-2</v>
      </c>
      <c r="L27" s="22">
        <f t="shared" si="5"/>
        <v>2.7708873287671229E-2</v>
      </c>
      <c r="M27" s="226">
        <f t="shared" si="6"/>
        <v>2.6734423457121077E-2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0.10693769382848431</v>
      </c>
      <c r="Z27" s="116">
        <v>0.25</v>
      </c>
      <c r="AA27" s="121">
        <f t="shared" si="16"/>
        <v>2.6734423457121077E-2</v>
      </c>
      <c r="AB27" s="116">
        <v>0.25</v>
      </c>
      <c r="AC27" s="121">
        <f t="shared" si="7"/>
        <v>2.6734423457121077E-2</v>
      </c>
      <c r="AD27" s="116">
        <v>0.25</v>
      </c>
      <c r="AE27" s="121">
        <f t="shared" si="8"/>
        <v>2.6734423457121077E-2</v>
      </c>
      <c r="AF27" s="122">
        <f t="shared" si="10"/>
        <v>0.25</v>
      </c>
      <c r="AG27" s="121">
        <f t="shared" si="11"/>
        <v>2.6734423457121077E-2</v>
      </c>
      <c r="AH27" s="123">
        <f t="shared" si="12"/>
        <v>1</v>
      </c>
      <c r="AI27" s="183">
        <f t="shared" si="13"/>
        <v>2.6734423457121077E-2</v>
      </c>
      <c r="AJ27" s="120">
        <f t="shared" si="14"/>
        <v>2.6734423457121077E-2</v>
      </c>
      <c r="AK27" s="119">
        <f t="shared" si="15"/>
        <v>2.6734423457121077E-2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">
        <v>165</v>
      </c>
      <c r="B28" s="215">
        <v>0</v>
      </c>
      <c r="C28" s="215"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">
        <v>166</v>
      </c>
      <c r="B29" s="215">
        <v>0.22095135289539228</v>
      </c>
      <c r="C29" s="215">
        <v>3.7963461891236893E-3</v>
      </c>
      <c r="D29" s="24">
        <f>SUM(B29,C29)</f>
        <v>0.22474769908451597</v>
      </c>
      <c r="E29" s="26">
        <v>1</v>
      </c>
      <c r="F29" s="22"/>
      <c r="H29" s="24">
        <f t="shared" si="1"/>
        <v>1</v>
      </c>
      <c r="I29" s="22">
        <f t="shared" si="2"/>
        <v>0.22474769908451597</v>
      </c>
      <c r="J29" s="24">
        <f>IF(I$32&lt;=1+I131,I29,B29*H29+J$33*(I29-B29*H29))</f>
        <v>0.22108486062998312</v>
      </c>
      <c r="K29" s="22">
        <f t="shared" si="4"/>
        <v>0.22095135289539228</v>
      </c>
      <c r="L29" s="22">
        <f t="shared" si="5"/>
        <v>0.22095135289539228</v>
      </c>
      <c r="M29" s="224">
        <f t="shared" si="6"/>
        <v>0.22108486062998312</v>
      </c>
      <c r="N29" s="229"/>
      <c r="P29" s="22"/>
      <c r="V29" s="56"/>
      <c r="W29" s="110"/>
      <c r="X29" s="118"/>
      <c r="Y29" s="183">
        <f t="shared" si="9"/>
        <v>0.88433944251993246</v>
      </c>
      <c r="Z29" s="116">
        <v>0.25</v>
      </c>
      <c r="AA29" s="121">
        <f t="shared" si="16"/>
        <v>0.22108486062998312</v>
      </c>
      <c r="AB29" s="116">
        <v>0.25</v>
      </c>
      <c r="AC29" s="121">
        <f t="shared" si="7"/>
        <v>0.22108486062998312</v>
      </c>
      <c r="AD29" s="116">
        <v>0.25</v>
      </c>
      <c r="AE29" s="121">
        <f t="shared" si="8"/>
        <v>0.22108486062998312</v>
      </c>
      <c r="AF29" s="122">
        <f t="shared" si="10"/>
        <v>0.25</v>
      </c>
      <c r="AG29" s="121">
        <f t="shared" si="11"/>
        <v>0.22108486062998312</v>
      </c>
      <c r="AH29" s="123">
        <f t="shared" si="12"/>
        <v>1</v>
      </c>
      <c r="AI29" s="183">
        <f t="shared" si="13"/>
        <v>0.22108486062998312</v>
      </c>
      <c r="AJ29" s="120">
        <f t="shared" si="14"/>
        <v>0.22108486062998312</v>
      </c>
      <c r="AK29" s="119">
        <f t="shared" si="15"/>
        <v>0.22108486062998312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">
        <v>56</v>
      </c>
      <c r="B30" s="215">
        <v>0.59274655759651318</v>
      </c>
      <c r="C30" s="103"/>
      <c r="D30" s="24">
        <f>(D119-B124)</f>
        <v>2.2003412204874531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2.1994829371860769</v>
      </c>
      <c r="J30" s="231">
        <f>IF(I$32&lt;=1,I30,1-SUM(J6:J29))</f>
        <v>0.36480275524847883</v>
      </c>
      <c r="K30" s="22">
        <f t="shared" si="4"/>
        <v>0.59274655759651318</v>
      </c>
      <c r="L30" s="22">
        <f>IF(L124=L119,0,IF(K30="",0,(L119-L124)/(B119-B124)*K30))</f>
        <v>0.59273942713175776</v>
      </c>
      <c r="M30" s="175">
        <f t="shared" si="6"/>
        <v>0.36480275524847883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1.4592110209939153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6.1897021972501735E-2</v>
      </c>
      <c r="AC30" s="187">
        <f>IF(AC79*4/$I$83+SUM(AC6:AC29)&lt;1,AC79*4/$I$83,1-SUM(AC6:AC29))</f>
        <v>9.0320816628977063E-2</v>
      </c>
      <c r="AD30" s="122">
        <f>IF($Y30=0,0,AE30/($Y$30))</f>
        <v>0.26053853105457281</v>
      </c>
      <c r="AE30" s="187">
        <f>IF(AE79*4/$I$83+SUM(AE6:AE29)&lt;1,AE79*4/$I$83,1-SUM(AE6:AE29))</f>
        <v>0.38018069590839809</v>
      </c>
      <c r="AF30" s="122">
        <f>IF($Y30=0,0,AG30/($Y$30))</f>
        <v>0.6775644469729255</v>
      </c>
      <c r="AG30" s="187">
        <f>IF(AG79*4/$I$83+SUM(AG6:AG29)&lt;1,AG79*4/$I$83,1-SUM(AG6:AG29))</f>
        <v>0.98870950845654015</v>
      </c>
      <c r="AH30" s="123">
        <f t="shared" si="12"/>
        <v>1</v>
      </c>
      <c r="AI30" s="183">
        <f t="shared" si="13"/>
        <v>0.36480275524847883</v>
      </c>
      <c r="AJ30" s="120">
        <f t="shared" si="14"/>
        <v>4.5160408314488532E-2</v>
      </c>
      <c r="AK30" s="119">
        <f t="shared" si="15"/>
        <v>0.68444510218246912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-0.22821804283694291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1.2610856339238445</v>
      </c>
      <c r="C32" s="29">
        <f>SUM(C6:C31)</f>
        <v>-4.4694978592366239E-3</v>
      </c>
      <c r="D32" s="24">
        <f>SUM(D6:D30)</f>
        <v>2.8642107989555479</v>
      </c>
      <c r="E32" s="2"/>
      <c r="F32" s="2"/>
      <c r="H32" s="17"/>
      <c r="I32" s="22">
        <f>SUM(I6:I30)</f>
        <v>2.8269606565316105</v>
      </c>
      <c r="J32" s="17"/>
      <c r="L32" s="22">
        <f>SUM(L6:L30)</f>
        <v>1.2282180428369429</v>
      </c>
      <c r="M32" s="23"/>
      <c r="N32" s="56"/>
      <c r="O32" s="2"/>
      <c r="P32" s="22"/>
      <c r="Q32" s="234" t="s">
        <v>143</v>
      </c>
      <c r="R32" s="234">
        <f t="shared" si="50"/>
        <v>15417.971681219489</v>
      </c>
      <c r="S32" s="234">
        <f t="shared" si="50"/>
        <v>22037.635754055867</v>
      </c>
      <c r="T32" s="234">
        <f t="shared" si="50"/>
        <v>22076.662032926266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3.5167428874985134E-2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">
        <v>167</v>
      </c>
      <c r="B37" s="216">
        <v>6583.333333333333</v>
      </c>
      <c r="C37" s="216">
        <v>0</v>
      </c>
      <c r="D37" s="38">
        <f>SUM(B37,C37)</f>
        <v>6583.333333333333</v>
      </c>
      <c r="E37" s="233">
        <v>0.8</v>
      </c>
      <c r="F37" s="26">
        <v>1.18</v>
      </c>
      <c r="G37" s="26">
        <v>1</v>
      </c>
      <c r="H37" s="24">
        <f t="shared" ref="H37:H49" si="51">(E37*F37)</f>
        <v>0.94399999999999995</v>
      </c>
      <c r="I37" s="39">
        <f t="shared" ref="I37:I49" si="52">D37*H37</f>
        <v>6214.6666666666661</v>
      </c>
      <c r="J37" s="38">
        <f t="shared" ref="J37:J49" si="53">J91*I$83</f>
        <v>6214.6666666666661</v>
      </c>
      <c r="K37" s="40">
        <f t="shared" ref="K37:K49" si="54">(B37/B$65)</f>
        <v>0.14252827111402983</v>
      </c>
      <c r="L37" s="22">
        <f t="shared" ref="L37:L49" si="55">(K37*H37)</f>
        <v>0.13454668793164415</v>
      </c>
      <c r="M37" s="24">
        <f t="shared" ref="M37:M49" si="56">J37/B$65</f>
        <v>0.13454668793164415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6214.6666666666661</v>
      </c>
      <c r="AH37" s="123">
        <f>SUM(Z37,AB37,AD37,AF37)</f>
        <v>1</v>
      </c>
      <c r="AI37" s="112">
        <f>SUM(AA37,AC37,AE37,AG37)</f>
        <v>6214.6666666666661</v>
      </c>
      <c r="AJ37" s="148">
        <f>(AA37+AC37)</f>
        <v>0</v>
      </c>
      <c r="AK37" s="147">
        <f>(AE37+AG37)</f>
        <v>6214.6666666666661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">
        <v>168</v>
      </c>
      <c r="B38" s="216">
        <v>1500</v>
      </c>
      <c r="C38" s="216">
        <v>-833.33333333333337</v>
      </c>
      <c r="D38" s="38">
        <f t="shared" ref="D38:D47" si="58">SUM(B38,C38)</f>
        <v>666.66666666666663</v>
      </c>
      <c r="E38" s="26">
        <v>0.8</v>
      </c>
      <c r="F38" s="26">
        <v>1.18</v>
      </c>
      <c r="G38" s="22">
        <f t="shared" ref="G38:G64" si="59">(G$37)</f>
        <v>1</v>
      </c>
      <c r="H38" s="24">
        <f t="shared" si="51"/>
        <v>0.94399999999999995</v>
      </c>
      <c r="I38" s="39">
        <f t="shared" si="52"/>
        <v>629.33333333333326</v>
      </c>
      <c r="J38" s="38">
        <f t="shared" si="53"/>
        <v>1388.3349559516782</v>
      </c>
      <c r="K38" s="40">
        <f t="shared" si="54"/>
        <v>3.2474795950032109E-2</v>
      </c>
      <c r="L38" s="22">
        <f t="shared" si="55"/>
        <v>3.0656207376830308E-2</v>
      </c>
      <c r="M38" s="24">
        <f t="shared" si="56"/>
        <v>3.0057262936551712E-2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1388.3349559516782</v>
      </c>
      <c r="AH38" s="123">
        <f t="shared" ref="AH38:AI58" si="61">SUM(Z38,AB38,AD38,AF38)</f>
        <v>1</v>
      </c>
      <c r="AI38" s="112">
        <f t="shared" si="61"/>
        <v>1388.3349559516782</v>
      </c>
      <c r="AJ38" s="148">
        <f t="shared" ref="AJ38:AJ64" si="62">(AA38+AC38)</f>
        <v>0</v>
      </c>
      <c r="AK38" s="147">
        <f t="shared" ref="AK38:AK64" si="63">(AE38+AG38)</f>
        <v>1388.3349559516782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">
        <v>169</v>
      </c>
      <c r="B39" s="216">
        <v>0</v>
      </c>
      <c r="C39" s="216">
        <v>0</v>
      </c>
      <c r="D39" s="38">
        <f t="shared" si="58"/>
        <v>0</v>
      </c>
      <c r="E39" s="26">
        <v>0.8</v>
      </c>
      <c r="F39" s="26">
        <v>1.18</v>
      </c>
      <c r="G39" s="22">
        <f t="shared" si="59"/>
        <v>1</v>
      </c>
      <c r="H39" s="24">
        <f t="shared" si="51"/>
        <v>0.94399999999999995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0.57209994994997415</v>
      </c>
      <c r="AA39" s="147">
        <f t="shared" ref="AA39:AA64" si="64">$J39*Z39</f>
        <v>0</v>
      </c>
      <c r="AB39" s="122">
        <f>AB8</f>
        <v>0.4279000500500259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">
        <v>170</v>
      </c>
      <c r="B40" s="216">
        <v>83</v>
      </c>
      <c r="C40" s="216">
        <v>0</v>
      </c>
      <c r="D40" s="38">
        <f t="shared" si="58"/>
        <v>83</v>
      </c>
      <c r="E40" s="26">
        <v>1</v>
      </c>
      <c r="F40" s="26">
        <v>1.18</v>
      </c>
      <c r="G40" s="22">
        <f t="shared" si="59"/>
        <v>1</v>
      </c>
      <c r="H40" s="24">
        <f t="shared" si="51"/>
        <v>1.18</v>
      </c>
      <c r="I40" s="39">
        <f t="shared" si="52"/>
        <v>97.94</v>
      </c>
      <c r="J40" s="38">
        <f t="shared" si="53"/>
        <v>97.94</v>
      </c>
      <c r="K40" s="40">
        <f t="shared" si="54"/>
        <v>1.7969387092351102E-3</v>
      </c>
      <c r="L40" s="22">
        <f t="shared" si="55"/>
        <v>2.1203876768974301E-3</v>
      </c>
      <c r="M40" s="24">
        <f t="shared" si="56"/>
        <v>2.1203876768974301E-3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0.57209994994997426</v>
      </c>
      <c r="AA40" s="147">
        <f t="shared" si="64"/>
        <v>56.03146909810048</v>
      </c>
      <c r="AB40" s="122">
        <f>AB9</f>
        <v>0.42790005005002579</v>
      </c>
      <c r="AC40" s="147">
        <f t="shared" si="65"/>
        <v>41.908530901899525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97.94</v>
      </c>
      <c r="AJ40" s="148">
        <f t="shared" si="62"/>
        <v>97.94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">
        <v>148</v>
      </c>
      <c r="B41" s="216">
        <v>0</v>
      </c>
      <c r="C41" s="216">
        <v>0</v>
      </c>
      <c r="D41" s="38">
        <f t="shared" si="58"/>
        <v>0</v>
      </c>
      <c r="E41" s="75">
        <f>E9</f>
        <v>1.0900000000000001</v>
      </c>
      <c r="F41" s="26">
        <v>1.4</v>
      </c>
      <c r="G41" s="22">
        <f t="shared" si="59"/>
        <v>1</v>
      </c>
      <c r="H41" s="24">
        <f t="shared" si="51"/>
        <v>1.526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0.57209994994997415</v>
      </c>
      <c r="AA41" s="147">
        <f t="shared" si="64"/>
        <v>0</v>
      </c>
      <c r="AB41" s="122">
        <f>AB11</f>
        <v>0.42790005005002579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">
        <v>149</v>
      </c>
      <c r="B42" s="216">
        <v>600</v>
      </c>
      <c r="C42" s="216">
        <v>140</v>
      </c>
      <c r="D42" s="38">
        <f t="shared" si="58"/>
        <v>740</v>
      </c>
      <c r="E42" s="75">
        <f>E10</f>
        <v>0.8</v>
      </c>
      <c r="F42" s="26">
        <v>1.4</v>
      </c>
      <c r="G42" s="22">
        <f t="shared" si="59"/>
        <v>1</v>
      </c>
      <c r="H42" s="24">
        <f t="shared" si="51"/>
        <v>1.1199999999999999</v>
      </c>
      <c r="I42" s="39">
        <f t="shared" si="52"/>
        <v>828.8</v>
      </c>
      <c r="J42" s="38">
        <f t="shared" si="53"/>
        <v>677.51425284759762</v>
      </c>
      <c r="K42" s="40">
        <f t="shared" si="54"/>
        <v>1.2989918380012844E-2</v>
      </c>
      <c r="L42" s="22">
        <f t="shared" si="55"/>
        <v>1.4548708585614384E-2</v>
      </c>
      <c r="M42" s="24">
        <f t="shared" si="56"/>
        <v>1.4668091409642797E-2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169.3785632118994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338.75712642379881</v>
      </c>
      <c r="AF42" s="122">
        <f t="shared" si="57"/>
        <v>0.25</v>
      </c>
      <c r="AG42" s="147">
        <f t="shared" si="60"/>
        <v>169.3785632118994</v>
      </c>
      <c r="AH42" s="123">
        <f t="shared" si="61"/>
        <v>1</v>
      </c>
      <c r="AI42" s="112">
        <f t="shared" si="61"/>
        <v>677.51425284759762</v>
      </c>
      <c r="AJ42" s="148">
        <f t="shared" si="62"/>
        <v>169.3785632118994</v>
      </c>
      <c r="AK42" s="147">
        <f t="shared" si="63"/>
        <v>508.13568963569821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">
        <v>171</v>
      </c>
      <c r="B43" s="216">
        <v>153.33333333333334</v>
      </c>
      <c r="C43" s="216">
        <v>-153.33333333333334</v>
      </c>
      <c r="D43" s="38">
        <f t="shared" si="58"/>
        <v>0</v>
      </c>
      <c r="E43" s="75">
        <f>E11</f>
        <v>0.8</v>
      </c>
      <c r="F43" s="26">
        <v>1.4</v>
      </c>
      <c r="G43" s="22">
        <f t="shared" si="59"/>
        <v>1</v>
      </c>
      <c r="H43" s="24">
        <f t="shared" si="51"/>
        <v>1.1199999999999999</v>
      </c>
      <c r="I43" s="39">
        <f t="shared" si="52"/>
        <v>0</v>
      </c>
      <c r="J43" s="38">
        <f t="shared" si="53"/>
        <v>165.69391354786922</v>
      </c>
      <c r="K43" s="40">
        <f t="shared" si="54"/>
        <v>3.3196458082255047E-3</v>
      </c>
      <c r="L43" s="22">
        <f t="shared" si="55"/>
        <v>3.718003305212565E-3</v>
      </c>
      <c r="M43" s="24">
        <f t="shared" si="56"/>
        <v>3.5872506884195425E-3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41.423478386967304</v>
      </c>
      <c r="AB43" s="116">
        <v>0.25</v>
      </c>
      <c r="AC43" s="147">
        <f t="shared" si="65"/>
        <v>41.423478386967304</v>
      </c>
      <c r="AD43" s="116">
        <v>0.25</v>
      </c>
      <c r="AE43" s="147">
        <f t="shared" si="66"/>
        <v>41.423478386967304</v>
      </c>
      <c r="AF43" s="122">
        <f t="shared" si="57"/>
        <v>0.25</v>
      </c>
      <c r="AG43" s="147">
        <f t="shared" si="60"/>
        <v>41.423478386967304</v>
      </c>
      <c r="AH43" s="123">
        <f t="shared" si="61"/>
        <v>1</v>
      </c>
      <c r="AI43" s="112">
        <f t="shared" si="61"/>
        <v>165.69391354786922</v>
      </c>
      <c r="AJ43" s="148">
        <f t="shared" si="62"/>
        <v>82.846956773934608</v>
      </c>
      <c r="AK43" s="147">
        <f t="shared" si="63"/>
        <v>82.846956773934608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">
        <v>158</v>
      </c>
      <c r="B44" s="216">
        <v>219.33333333333334</v>
      </c>
      <c r="C44" s="216">
        <v>-219.33333333333334</v>
      </c>
      <c r="D44" s="38">
        <f t="shared" si="58"/>
        <v>0</v>
      </c>
      <c r="E44" s="75">
        <f>E19</f>
        <v>0.8</v>
      </c>
      <c r="F44" s="26">
        <v>1.4</v>
      </c>
      <c r="G44" s="22">
        <f t="shared" si="59"/>
        <v>1</v>
      </c>
      <c r="H44" s="24">
        <f t="shared" si="51"/>
        <v>1.1199999999999999</v>
      </c>
      <c r="I44" s="39">
        <f t="shared" si="52"/>
        <v>0</v>
      </c>
      <c r="J44" s="38">
        <f t="shared" si="53"/>
        <v>237.01433720543034</v>
      </c>
      <c r="K44" s="40">
        <f t="shared" si="54"/>
        <v>4.7485368300269181E-3</v>
      </c>
      <c r="L44" s="22">
        <f t="shared" si="55"/>
        <v>5.3183612496301479E-3</v>
      </c>
      <c r="M44" s="24">
        <f t="shared" si="56"/>
        <v>5.1313281586523023E-3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59.253584301357584</v>
      </c>
      <c r="AB44" s="116">
        <v>0.25</v>
      </c>
      <c r="AC44" s="147">
        <f t="shared" si="65"/>
        <v>59.253584301357584</v>
      </c>
      <c r="AD44" s="116">
        <v>0.25</v>
      </c>
      <c r="AE44" s="147">
        <f t="shared" si="66"/>
        <v>59.253584301357584</v>
      </c>
      <c r="AF44" s="122">
        <f t="shared" si="57"/>
        <v>0.25</v>
      </c>
      <c r="AG44" s="147">
        <f t="shared" si="60"/>
        <v>59.253584301357584</v>
      </c>
      <c r="AH44" s="123">
        <f t="shared" si="61"/>
        <v>1</v>
      </c>
      <c r="AI44" s="112">
        <f t="shared" si="61"/>
        <v>237.01433720543034</v>
      </c>
      <c r="AJ44" s="148">
        <f t="shared" si="62"/>
        <v>118.50716860271517</v>
      </c>
      <c r="AK44" s="147">
        <f t="shared" si="63"/>
        <v>118.50716860271517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">
        <v>157</v>
      </c>
      <c r="B45" s="216">
        <v>186.66666666666666</v>
      </c>
      <c r="C45" s="216">
        <v>-186.66666666666666</v>
      </c>
      <c r="D45" s="38">
        <f t="shared" si="58"/>
        <v>0</v>
      </c>
      <c r="E45" s="75">
        <f>E18</f>
        <v>0.8</v>
      </c>
      <c r="F45" s="26">
        <v>1.4</v>
      </c>
      <c r="G45" s="22">
        <f t="shared" si="59"/>
        <v>1</v>
      </c>
      <c r="H45" s="24">
        <f t="shared" si="51"/>
        <v>1.1199999999999999</v>
      </c>
      <c r="I45" s="39">
        <f t="shared" si="52"/>
        <v>0</v>
      </c>
      <c r="J45" s="38">
        <f t="shared" si="53"/>
        <v>201.71432953653641</v>
      </c>
      <c r="K45" s="40">
        <f t="shared" si="54"/>
        <v>4.0413079404484405E-3</v>
      </c>
      <c r="L45" s="22">
        <f t="shared" si="55"/>
        <v>4.5262648933022528E-3</v>
      </c>
      <c r="M45" s="24">
        <f t="shared" si="56"/>
        <v>4.3670877945977031E-3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50.428582384134103</v>
      </c>
      <c r="AB45" s="116">
        <v>0.25</v>
      </c>
      <c r="AC45" s="147">
        <f t="shared" si="65"/>
        <v>50.428582384134103</v>
      </c>
      <c r="AD45" s="116">
        <v>0.25</v>
      </c>
      <c r="AE45" s="147">
        <f t="shared" si="66"/>
        <v>50.428582384134103</v>
      </c>
      <c r="AF45" s="122">
        <f t="shared" si="57"/>
        <v>0.25</v>
      </c>
      <c r="AG45" s="147">
        <f t="shared" si="60"/>
        <v>50.428582384134103</v>
      </c>
      <c r="AH45" s="123">
        <f t="shared" si="61"/>
        <v>1</v>
      </c>
      <c r="AI45" s="112">
        <f t="shared" si="61"/>
        <v>201.71432953653641</v>
      </c>
      <c r="AJ45" s="148">
        <f t="shared" si="62"/>
        <v>100.85716476826821</v>
      </c>
      <c r="AK45" s="147">
        <f t="shared" si="63"/>
        <v>100.85716476826821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">
        <v>172</v>
      </c>
      <c r="B46" s="216">
        <v>45</v>
      </c>
      <c r="C46" s="216">
        <v>-45</v>
      </c>
      <c r="D46" s="38">
        <f t="shared" si="58"/>
        <v>0</v>
      </c>
      <c r="E46" s="75">
        <f>E12</f>
        <v>0.8</v>
      </c>
      <c r="F46" s="26">
        <v>1.4</v>
      </c>
      <c r="G46" s="22">
        <f t="shared" si="59"/>
        <v>1</v>
      </c>
      <c r="H46" s="24">
        <f t="shared" si="51"/>
        <v>1.1199999999999999</v>
      </c>
      <c r="I46" s="39">
        <f t="shared" si="52"/>
        <v>0</v>
      </c>
      <c r="J46" s="38">
        <f t="shared" si="53"/>
        <v>48.627561584700743</v>
      </c>
      <c r="K46" s="40">
        <f t="shared" si="54"/>
        <v>9.7424387850096334E-4</v>
      </c>
      <c r="L46" s="22">
        <f t="shared" si="55"/>
        <v>1.0911531439210789E-3</v>
      </c>
      <c r="M46" s="24">
        <f t="shared" si="56"/>
        <v>1.0527800933405177E-3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12.156890396175186</v>
      </c>
      <c r="AB46" s="116">
        <v>0.25</v>
      </c>
      <c r="AC46" s="147">
        <f t="shared" si="65"/>
        <v>12.156890396175186</v>
      </c>
      <c r="AD46" s="116">
        <v>0.25</v>
      </c>
      <c r="AE46" s="147">
        <f t="shared" si="66"/>
        <v>12.156890396175186</v>
      </c>
      <c r="AF46" s="122">
        <f t="shared" si="57"/>
        <v>0.25</v>
      </c>
      <c r="AG46" s="147">
        <f t="shared" si="60"/>
        <v>12.156890396175186</v>
      </c>
      <c r="AH46" s="123">
        <f t="shared" si="61"/>
        <v>1</v>
      </c>
      <c r="AI46" s="112">
        <f t="shared" si="61"/>
        <v>48.627561584700743</v>
      </c>
      <c r="AJ46" s="148">
        <f t="shared" si="62"/>
        <v>24.313780792350371</v>
      </c>
      <c r="AK46" s="147">
        <f t="shared" si="63"/>
        <v>24.313780792350371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">
        <v>152</v>
      </c>
      <c r="B47" s="216">
        <v>10</v>
      </c>
      <c r="C47" s="216">
        <v>-10</v>
      </c>
      <c r="D47" s="38">
        <f t="shared" si="58"/>
        <v>0</v>
      </c>
      <c r="E47" s="75">
        <f>E13</f>
        <v>0.8</v>
      </c>
      <c r="F47" s="26">
        <v>1.4</v>
      </c>
      <c r="G47" s="22">
        <f t="shared" si="59"/>
        <v>1</v>
      </c>
      <c r="H47" s="24">
        <f t="shared" si="51"/>
        <v>1.1199999999999999</v>
      </c>
      <c r="I47" s="39">
        <f t="shared" si="52"/>
        <v>0</v>
      </c>
      <c r="J47" s="38">
        <f t="shared" si="53"/>
        <v>10.806124796600164</v>
      </c>
      <c r="K47" s="40">
        <f t="shared" si="54"/>
        <v>2.1649863966688074E-4</v>
      </c>
      <c r="L47" s="22">
        <f t="shared" si="55"/>
        <v>2.4247847642690641E-4</v>
      </c>
      <c r="M47" s="24">
        <f t="shared" si="56"/>
        <v>2.3395113185344839E-4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2.701531199150041</v>
      </c>
      <c r="AB47" s="116">
        <v>0.25</v>
      </c>
      <c r="AC47" s="147">
        <f t="shared" si="65"/>
        <v>2.701531199150041</v>
      </c>
      <c r="AD47" s="116">
        <v>0.25</v>
      </c>
      <c r="AE47" s="147">
        <f t="shared" si="66"/>
        <v>2.701531199150041</v>
      </c>
      <c r="AF47" s="122">
        <f t="shared" si="57"/>
        <v>0.25</v>
      </c>
      <c r="AG47" s="147">
        <f t="shared" si="60"/>
        <v>2.701531199150041</v>
      </c>
      <c r="AH47" s="123">
        <f t="shared" si="61"/>
        <v>1</v>
      </c>
      <c r="AI47" s="112">
        <f t="shared" si="61"/>
        <v>10.806124796600164</v>
      </c>
      <c r="AJ47" s="148">
        <f t="shared" si="62"/>
        <v>5.4030623983000821</v>
      </c>
      <c r="AK47" s="147">
        <f t="shared" si="63"/>
        <v>5.4030623983000821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">
        <v>173</v>
      </c>
      <c r="B48" s="216">
        <v>26</v>
      </c>
      <c r="C48" s="216">
        <v>-10</v>
      </c>
      <c r="D48" s="38">
        <f>SUM(B48,C48)</f>
        <v>16</v>
      </c>
      <c r="E48" s="75">
        <f>E16</f>
        <v>0.8</v>
      </c>
      <c r="F48" s="26">
        <v>1.4</v>
      </c>
      <c r="G48" s="22">
        <f t="shared" si="59"/>
        <v>1</v>
      </c>
      <c r="H48" s="24">
        <f t="shared" si="51"/>
        <v>1.1199999999999999</v>
      </c>
      <c r="I48" s="39">
        <f t="shared" si="52"/>
        <v>17.919999999999998</v>
      </c>
      <c r="J48" s="38">
        <f t="shared" si="53"/>
        <v>28.72612479660016</v>
      </c>
      <c r="K48" s="40">
        <f t="shared" si="54"/>
        <v>5.6289646313388987E-4</v>
      </c>
      <c r="L48" s="22">
        <f t="shared" si="55"/>
        <v>6.3044403870995654E-4</v>
      </c>
      <c r="M48" s="24">
        <f t="shared" si="56"/>
        <v>6.2191669413649863E-4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7.1815311991500401</v>
      </c>
      <c r="AB48" s="116">
        <v>0.25</v>
      </c>
      <c r="AC48" s="147">
        <f t="shared" si="65"/>
        <v>7.1815311991500401</v>
      </c>
      <c r="AD48" s="116">
        <v>0.25</v>
      </c>
      <c r="AE48" s="147">
        <f t="shared" si="66"/>
        <v>7.1815311991500401</v>
      </c>
      <c r="AF48" s="122">
        <f t="shared" si="57"/>
        <v>0.25</v>
      </c>
      <c r="AG48" s="147">
        <f t="shared" si="60"/>
        <v>7.1815311991500401</v>
      </c>
      <c r="AH48" s="123">
        <f t="shared" si="61"/>
        <v>1</v>
      </c>
      <c r="AI48" s="112">
        <f t="shared" si="61"/>
        <v>28.72612479660016</v>
      </c>
      <c r="AJ48" s="148">
        <f t="shared" si="62"/>
        <v>14.36306239830008</v>
      </c>
      <c r="AK48" s="147">
        <f t="shared" si="63"/>
        <v>14.36306239830008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">
        <v>156</v>
      </c>
      <c r="B49" s="216">
        <v>0</v>
      </c>
      <c r="C49" s="216">
        <v>0</v>
      </c>
      <c r="D49" s="38">
        <f t="shared" ref="D49:D64" si="67">SUM(B49,C49)</f>
        <v>0</v>
      </c>
      <c r="E49" s="75">
        <f>E17</f>
        <v>0.8</v>
      </c>
      <c r="F49" s="26">
        <v>1.4</v>
      </c>
      <c r="G49" s="22">
        <f t="shared" si="59"/>
        <v>1</v>
      </c>
      <c r="H49" s="24">
        <f t="shared" si="51"/>
        <v>1.1199999999999999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">
        <v>174</v>
      </c>
      <c r="B50" s="216">
        <v>0</v>
      </c>
      <c r="C50" s="216">
        <v>0</v>
      </c>
      <c r="D50" s="38">
        <f t="shared" si="67"/>
        <v>0</v>
      </c>
      <c r="E50" s="26">
        <v>1</v>
      </c>
      <c r="F50" s="26">
        <v>1.4</v>
      </c>
      <c r="G50" s="22">
        <f t="shared" si="59"/>
        <v>1</v>
      </c>
      <c r="H50" s="24">
        <f t="shared" ref="H50:H64" si="68">(E50*F50)</f>
        <v>1.4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">
        <v>175</v>
      </c>
      <c r="B51" s="216">
        <v>1280</v>
      </c>
      <c r="C51" s="216">
        <v>0</v>
      </c>
      <c r="D51" s="38">
        <f t="shared" si="67"/>
        <v>1280</v>
      </c>
      <c r="E51" s="26">
        <v>1</v>
      </c>
      <c r="F51" s="26">
        <v>1.1100000000000001</v>
      </c>
      <c r="G51" s="22">
        <f t="shared" si="59"/>
        <v>1</v>
      </c>
      <c r="H51" s="24">
        <f t="shared" si="68"/>
        <v>1.1100000000000001</v>
      </c>
      <c r="I51" s="39">
        <f t="shared" si="69"/>
        <v>1420.8000000000002</v>
      </c>
      <c r="J51" s="38">
        <f t="shared" si="70"/>
        <v>1420.8</v>
      </c>
      <c r="K51" s="40">
        <f t="shared" si="71"/>
        <v>2.7711825877360735E-2</v>
      </c>
      <c r="L51" s="22">
        <f t="shared" si="72"/>
        <v>3.0760126723870417E-2</v>
      </c>
      <c r="M51" s="24">
        <f t="shared" si="73"/>
        <v>3.0760126723870414E-2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">
        <v>176</v>
      </c>
      <c r="B52" s="216">
        <v>0</v>
      </c>
      <c r="C52" s="216">
        <v>0</v>
      </c>
      <c r="D52" s="38">
        <f t="shared" si="67"/>
        <v>0</v>
      </c>
      <c r="E52" s="26">
        <v>1</v>
      </c>
      <c r="F52" s="26">
        <v>1.1100000000000001</v>
      </c>
      <c r="G52" s="22">
        <f t="shared" si="59"/>
        <v>1</v>
      </c>
      <c r="H52" s="24">
        <f t="shared" si="68"/>
        <v>1.1100000000000001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">
        <v>177</v>
      </c>
      <c r="B53" s="216">
        <v>733.33333333333337</v>
      </c>
      <c r="C53" s="216">
        <v>0</v>
      </c>
      <c r="D53" s="38">
        <f t="shared" si="67"/>
        <v>733.33333333333337</v>
      </c>
      <c r="E53" s="26">
        <v>1</v>
      </c>
      <c r="F53" s="26">
        <v>1.1100000000000001</v>
      </c>
      <c r="G53" s="22">
        <f t="shared" si="59"/>
        <v>1</v>
      </c>
      <c r="H53" s="24">
        <f t="shared" si="68"/>
        <v>1.1100000000000001</v>
      </c>
      <c r="I53" s="39">
        <f t="shared" si="69"/>
        <v>814.00000000000011</v>
      </c>
      <c r="J53" s="38">
        <f t="shared" si="70"/>
        <v>814.00000000000023</v>
      </c>
      <c r="K53" s="40">
        <f t="shared" si="71"/>
        <v>1.5876566908904589E-2</v>
      </c>
      <c r="L53" s="22">
        <f t="shared" si="72"/>
        <v>1.7622989268884094E-2</v>
      </c>
      <c r="M53" s="24">
        <f t="shared" si="73"/>
        <v>1.7622989268884098E-2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">
        <v>178</v>
      </c>
      <c r="B54" s="216">
        <v>0</v>
      </c>
      <c r="C54" s="216">
        <v>0</v>
      </c>
      <c r="D54" s="38">
        <f t="shared" si="67"/>
        <v>0</v>
      </c>
      <c r="E54" s="26">
        <v>1</v>
      </c>
      <c r="F54" s="26">
        <v>1.18</v>
      </c>
      <c r="G54" s="22">
        <f t="shared" si="59"/>
        <v>1</v>
      </c>
      <c r="H54" s="24">
        <f t="shared" si="68"/>
        <v>1.18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">
        <v>179</v>
      </c>
      <c r="B55" s="216">
        <v>0</v>
      </c>
      <c r="C55" s="216">
        <v>0</v>
      </c>
      <c r="D55" s="38">
        <f t="shared" si="67"/>
        <v>0</v>
      </c>
      <c r="E55" s="26">
        <v>0.5</v>
      </c>
      <c r="F55" s="26">
        <v>1.18</v>
      </c>
      <c r="G55" s="22">
        <f t="shared" si="59"/>
        <v>1</v>
      </c>
      <c r="H55" s="24">
        <f t="shared" si="68"/>
        <v>0.59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">
        <v>180</v>
      </c>
      <c r="B56" s="216">
        <v>933.33333333333337</v>
      </c>
      <c r="C56" s="216">
        <v>0</v>
      </c>
      <c r="D56" s="38">
        <f t="shared" si="67"/>
        <v>933.33333333333337</v>
      </c>
      <c r="E56" s="26">
        <v>0.8</v>
      </c>
      <c r="F56" s="26">
        <v>1.18</v>
      </c>
      <c r="G56" s="22">
        <f t="shared" si="59"/>
        <v>1</v>
      </c>
      <c r="H56" s="24">
        <f t="shared" si="68"/>
        <v>0.94399999999999995</v>
      </c>
      <c r="I56" s="39">
        <f t="shared" si="69"/>
        <v>881.06666666666661</v>
      </c>
      <c r="J56" s="38">
        <f t="shared" si="70"/>
        <v>881.06666666666661</v>
      </c>
      <c r="K56" s="40">
        <f t="shared" si="71"/>
        <v>2.0206539702242204E-2</v>
      </c>
      <c r="L56" s="22">
        <f t="shared" si="72"/>
        <v>1.9074973478916641E-2</v>
      </c>
      <c r="M56" s="24">
        <f t="shared" si="73"/>
        <v>1.9074973478916638E-2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220.26666666666665</v>
      </c>
      <c r="AB56" s="116">
        <v>0.25</v>
      </c>
      <c r="AC56" s="147">
        <f t="shared" si="65"/>
        <v>220.26666666666665</v>
      </c>
      <c r="AD56" s="116">
        <v>0.25</v>
      </c>
      <c r="AE56" s="147">
        <f t="shared" si="66"/>
        <v>220.26666666666665</v>
      </c>
      <c r="AF56" s="122">
        <f t="shared" si="57"/>
        <v>0.25</v>
      </c>
      <c r="AG56" s="147">
        <f t="shared" si="60"/>
        <v>220.26666666666665</v>
      </c>
      <c r="AH56" s="123">
        <f t="shared" si="61"/>
        <v>1</v>
      </c>
      <c r="AI56" s="112">
        <f t="shared" si="61"/>
        <v>881.06666666666661</v>
      </c>
      <c r="AJ56" s="148">
        <f t="shared" si="62"/>
        <v>440.5333333333333</v>
      </c>
      <c r="AK56" s="147">
        <f t="shared" si="63"/>
        <v>440.5333333333333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">
        <v>181</v>
      </c>
      <c r="B57" s="216">
        <v>25414</v>
      </c>
      <c r="C57" s="216">
        <v>0</v>
      </c>
      <c r="D57" s="38">
        <f t="shared" si="67"/>
        <v>25414</v>
      </c>
      <c r="E57" s="26">
        <v>1</v>
      </c>
      <c r="F57" s="26">
        <v>1.18</v>
      </c>
      <c r="G57" s="22">
        <f t="shared" si="59"/>
        <v>1</v>
      </c>
      <c r="H57" s="24">
        <f t="shared" si="68"/>
        <v>1.18</v>
      </c>
      <c r="I57" s="39">
        <f t="shared" si="69"/>
        <v>29988.519999999997</v>
      </c>
      <c r="J57" s="38">
        <f t="shared" si="70"/>
        <v>29988.519999999997</v>
      </c>
      <c r="K57" s="40">
        <f t="shared" si="71"/>
        <v>0.55020964284941065</v>
      </c>
      <c r="L57" s="22">
        <f t="shared" si="72"/>
        <v>0.64924737856230452</v>
      </c>
      <c r="M57" s="24">
        <f t="shared" si="73"/>
        <v>0.64924737856230452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7497.1299999999992</v>
      </c>
      <c r="AB57" s="116">
        <v>0.25</v>
      </c>
      <c r="AC57" s="147">
        <f t="shared" si="65"/>
        <v>7497.1299999999992</v>
      </c>
      <c r="AD57" s="116">
        <v>0.25</v>
      </c>
      <c r="AE57" s="147">
        <f t="shared" si="66"/>
        <v>7497.1299999999992</v>
      </c>
      <c r="AF57" s="122">
        <f t="shared" si="57"/>
        <v>0.25</v>
      </c>
      <c r="AG57" s="147">
        <f t="shared" si="60"/>
        <v>7497.1299999999992</v>
      </c>
      <c r="AH57" s="123">
        <f t="shared" si="61"/>
        <v>1</v>
      </c>
      <c r="AI57" s="112">
        <f t="shared" si="61"/>
        <v>29988.519999999997</v>
      </c>
      <c r="AJ57" s="148">
        <f t="shared" si="62"/>
        <v>14994.259999999998</v>
      </c>
      <c r="AK57" s="147">
        <f t="shared" si="63"/>
        <v>14994.259999999998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">
        <v>182</v>
      </c>
      <c r="B58" s="216">
        <v>7372</v>
      </c>
      <c r="C58" s="216">
        <v>0</v>
      </c>
      <c r="D58" s="38">
        <f t="shared" si="67"/>
        <v>7372</v>
      </c>
      <c r="E58" s="26">
        <v>1</v>
      </c>
      <c r="F58" s="26">
        <v>1.18</v>
      </c>
      <c r="G58" s="22">
        <f t="shared" si="59"/>
        <v>1</v>
      </c>
      <c r="H58" s="24">
        <f t="shared" si="68"/>
        <v>1.18</v>
      </c>
      <c r="I58" s="39">
        <f t="shared" si="69"/>
        <v>8698.9599999999991</v>
      </c>
      <c r="J58" s="38">
        <f t="shared" si="70"/>
        <v>8698.9599999999991</v>
      </c>
      <c r="K58" s="40">
        <f t="shared" si="71"/>
        <v>0.15960279716242448</v>
      </c>
      <c r="L58" s="22">
        <f t="shared" si="72"/>
        <v>0.18833130065166087</v>
      </c>
      <c r="M58" s="24">
        <f t="shared" si="73"/>
        <v>0.18833130065166087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2174.7399999999998</v>
      </c>
      <c r="AB58" s="116">
        <v>0.25</v>
      </c>
      <c r="AC58" s="147">
        <f t="shared" si="65"/>
        <v>2174.7399999999998</v>
      </c>
      <c r="AD58" s="116">
        <v>0.25</v>
      </c>
      <c r="AE58" s="147">
        <f t="shared" si="66"/>
        <v>2174.7399999999998</v>
      </c>
      <c r="AF58" s="122">
        <f t="shared" si="57"/>
        <v>0.25</v>
      </c>
      <c r="AG58" s="147">
        <f t="shared" si="60"/>
        <v>2174.7399999999998</v>
      </c>
      <c r="AH58" s="123">
        <f t="shared" si="61"/>
        <v>1</v>
      </c>
      <c r="AI58" s="112">
        <f t="shared" si="61"/>
        <v>8698.9599999999991</v>
      </c>
      <c r="AJ58" s="148">
        <f t="shared" si="62"/>
        <v>4349.4799999999996</v>
      </c>
      <c r="AK58" s="147">
        <f t="shared" si="63"/>
        <v>4349.4799999999996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">
        <v>183</v>
      </c>
      <c r="B59" s="216">
        <v>0</v>
      </c>
      <c r="C59" s="216">
        <v>0</v>
      </c>
      <c r="D59" s="38">
        <f t="shared" si="67"/>
        <v>0</v>
      </c>
      <c r="E59" s="26">
        <v>1</v>
      </c>
      <c r="F59" s="26">
        <v>1.1100000000000001</v>
      </c>
      <c r="G59" s="22">
        <f t="shared" si="59"/>
        <v>1</v>
      </c>
      <c r="H59" s="24">
        <f t="shared" si="68"/>
        <v>1.1100000000000001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">
        <v>184</v>
      </c>
      <c r="B60" s="216">
        <v>767</v>
      </c>
      <c r="C60" s="216">
        <v>0</v>
      </c>
      <c r="D60" s="38">
        <f t="shared" si="67"/>
        <v>767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767</v>
      </c>
      <c r="J60" s="38">
        <f t="shared" si="70"/>
        <v>767</v>
      </c>
      <c r="K60" s="40">
        <f t="shared" si="71"/>
        <v>1.6605445662449751E-2</v>
      </c>
      <c r="L60" s="22">
        <f t="shared" si="72"/>
        <v>1.6605445662449751E-2</v>
      </c>
      <c r="M60" s="24">
        <f t="shared" si="73"/>
        <v>1.6605445662449751E-2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191.75</v>
      </c>
      <c r="AB60" s="116">
        <v>0.25</v>
      </c>
      <c r="AC60" s="147">
        <f t="shared" si="65"/>
        <v>191.75</v>
      </c>
      <c r="AD60" s="116">
        <v>0.25</v>
      </c>
      <c r="AE60" s="147">
        <f t="shared" si="66"/>
        <v>191.75</v>
      </c>
      <c r="AF60" s="122">
        <f t="shared" si="57"/>
        <v>0.25</v>
      </c>
      <c r="AG60" s="147">
        <f t="shared" si="60"/>
        <v>191.75</v>
      </c>
      <c r="AH60" s="123">
        <f t="shared" si="74"/>
        <v>1</v>
      </c>
      <c r="AI60" s="112">
        <f t="shared" si="74"/>
        <v>767</v>
      </c>
      <c r="AJ60" s="148">
        <f t="shared" si="62"/>
        <v>383.5</v>
      </c>
      <c r="AK60" s="147">
        <f t="shared" si="63"/>
        <v>383.5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">
        <v>185</v>
      </c>
      <c r="B61" s="216">
        <v>283.33333333333331</v>
      </c>
      <c r="C61" s="216">
        <v>0</v>
      </c>
      <c r="D61" s="38">
        <f t="shared" si="67"/>
        <v>283.33333333333331</v>
      </c>
      <c r="E61" s="26">
        <v>1</v>
      </c>
      <c r="F61" s="26">
        <v>1.1100000000000001</v>
      </c>
      <c r="G61" s="22">
        <f t="shared" si="59"/>
        <v>1</v>
      </c>
      <c r="H61" s="24">
        <f t="shared" si="68"/>
        <v>1.1100000000000001</v>
      </c>
      <c r="I61" s="39">
        <f t="shared" si="69"/>
        <v>314.5</v>
      </c>
      <c r="J61" s="38">
        <f t="shared" si="70"/>
        <v>314.5</v>
      </c>
      <c r="K61" s="40">
        <f t="shared" si="71"/>
        <v>6.1341281238949542E-3</v>
      </c>
      <c r="L61" s="22">
        <f t="shared" si="72"/>
        <v>6.8088822175233999E-3</v>
      </c>
      <c r="M61" s="24">
        <f t="shared" si="73"/>
        <v>6.8088822175233991E-3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78.625</v>
      </c>
      <c r="AB61" s="116">
        <v>0.25</v>
      </c>
      <c r="AC61" s="147">
        <f t="shared" si="65"/>
        <v>78.625</v>
      </c>
      <c r="AD61" s="116">
        <v>0.25</v>
      </c>
      <c r="AE61" s="147">
        <f t="shared" si="66"/>
        <v>78.625</v>
      </c>
      <c r="AF61" s="122">
        <f t="shared" si="57"/>
        <v>0.25</v>
      </c>
      <c r="AG61" s="147">
        <f t="shared" si="60"/>
        <v>78.625</v>
      </c>
      <c r="AH61" s="123">
        <f t="shared" si="74"/>
        <v>1</v>
      </c>
      <c r="AI61" s="112">
        <f t="shared" si="74"/>
        <v>314.5</v>
      </c>
      <c r="AJ61" s="148">
        <f t="shared" si="62"/>
        <v>157.25</v>
      </c>
      <c r="AK61" s="147">
        <f t="shared" si="63"/>
        <v>157.25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">
        <v>162</v>
      </c>
      <c r="B62" s="216">
        <v>0</v>
      </c>
      <c r="C62" s="216"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">
        <v>162</v>
      </c>
      <c r="B63" s="216">
        <v>0</v>
      </c>
      <c r="C63" s="216"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">
        <v>162</v>
      </c>
      <c r="B64" s="216">
        <v>0</v>
      </c>
      <c r="C64" s="216"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46189.666666666672</v>
      </c>
      <c r="C65" s="41">
        <f>SUM(C37:C64)</f>
        <v>-1317.6666666666667</v>
      </c>
      <c r="D65" s="42">
        <f>SUM(D37:D64)</f>
        <v>44872.000000000007</v>
      </c>
      <c r="E65" s="32"/>
      <c r="F65" s="32"/>
      <c r="G65" s="32"/>
      <c r="H65" s="31"/>
      <c r="I65" s="39">
        <f>SUM(I37:I64)</f>
        <v>50673.506666666661</v>
      </c>
      <c r="J65" s="39">
        <f>SUM(J37:J64)</f>
        <v>51955.88493360034</v>
      </c>
      <c r="K65" s="40">
        <f>SUM(K37:K64)</f>
        <v>0.99999999999999967</v>
      </c>
      <c r="L65" s="22">
        <f>SUM(L37:L64)</f>
        <v>1.125849793243799</v>
      </c>
      <c r="M65" s="24">
        <f>SUM(M37:M64)</f>
        <v>1.1248378410813458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10561.067296843599</v>
      </c>
      <c r="AB65" s="137"/>
      <c r="AC65" s="153">
        <f>SUM(AC37:AC64)</f>
        <v>10377.565795435499</v>
      </c>
      <c r="AD65" s="137"/>
      <c r="AE65" s="153">
        <f>SUM(AE37:AE64)</f>
        <v>10674.4143909574</v>
      </c>
      <c r="AF65" s="137"/>
      <c r="AG65" s="153">
        <f>SUM(AG37:AG64)</f>
        <v>18108.037450363845</v>
      </c>
      <c r="AH65" s="137"/>
      <c r="AI65" s="153">
        <f>SUM(AI37:AI64)</f>
        <v>49721.084933600338</v>
      </c>
      <c r="AJ65" s="153">
        <f>SUM(AJ37:AJ64)</f>
        <v>20938.633092279098</v>
      </c>
      <c r="AK65" s="153">
        <f>SUM(AK37:AK64)</f>
        <v>28782.451841321239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14533.35202676818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20346.69283747545</v>
      </c>
      <c r="J70" s="51">
        <f t="shared" ref="J70:J77" si="75">J124*I$83</f>
        <v>20346.69283747545</v>
      </c>
      <c r="K70" s="40">
        <f>B70/B$76</f>
        <v>0.31464509435952148</v>
      </c>
      <c r="L70" s="22">
        <f t="shared" ref="L70:L75" si="76">(L124*G$37*F$9/F$7)/B$130</f>
        <v>0.44050313210333003</v>
      </c>
      <c r="M70" s="24">
        <f>J70/B$76</f>
        <v>0.44050313210333009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5086.6732093688624</v>
      </c>
      <c r="AB70" s="116">
        <v>0.25</v>
      </c>
      <c r="AC70" s="147">
        <f>$J70*AB70</f>
        <v>5086.6732093688624</v>
      </c>
      <c r="AD70" s="116">
        <v>0.25</v>
      </c>
      <c r="AE70" s="147">
        <f>$J70*AD70</f>
        <v>5086.6732093688624</v>
      </c>
      <c r="AF70" s="122">
        <f>1-SUM(Z70,AB70,AD70)</f>
        <v>0.25</v>
      </c>
      <c r="AG70" s="147">
        <f>$J70*AF70</f>
        <v>5086.6732093688624</v>
      </c>
      <c r="AH70" s="155">
        <f>SUM(Z70,AB70,AD70,AF70)</f>
        <v>1</v>
      </c>
      <c r="AI70" s="147">
        <f>SUM(AA70,AC70,AE70,AG70)</f>
        <v>20346.69283747545</v>
      </c>
      <c r="AJ70" s="148">
        <f>(AA70+AC70)</f>
        <v>10173.346418737725</v>
      </c>
      <c r="AK70" s="147">
        <f>(AE70+AG70)</f>
        <v>10173.346418737725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14376.222222222224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16963.94222222222</v>
      </c>
      <c r="J71" s="51">
        <f t="shared" si="75"/>
        <v>16963.94222222222</v>
      </c>
      <c r="K71" s="40">
        <f t="shared" ref="K71:K72" si="78">B71/B$76</f>
        <v>0.3112432554659893</v>
      </c>
      <c r="L71" s="22">
        <f t="shared" si="76"/>
        <v>0.36726704144986727</v>
      </c>
      <c r="M71" s="24">
        <f t="shared" ref="M71:M72" si="79">J71/B$76</f>
        <v>0.36726704144986727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26588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9615.2925799622462</v>
      </c>
      <c r="K72" s="40">
        <f t="shared" si="78"/>
        <v>0.57562658314630255</v>
      </c>
      <c r="L72" s="22">
        <f t="shared" si="76"/>
        <v>0.14113996476607127</v>
      </c>
      <c r="M72" s="24">
        <f t="shared" si="79"/>
        <v>0.20816977635608783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3323.6666666666665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7.1956931203948929E-2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352.97339999999997</v>
      </c>
      <c r="AB73" s="116">
        <v>0.09</v>
      </c>
      <c r="AC73" s="147">
        <f>$H$73*$B$73*AB73</f>
        <v>352.97339999999997</v>
      </c>
      <c r="AD73" s="116">
        <v>0.23</v>
      </c>
      <c r="AE73" s="147">
        <f>$H$73*$B$73*AD73</f>
        <v>902.04313333333323</v>
      </c>
      <c r="AF73" s="122">
        <f>1-SUM(Z73,AB73,AD73)</f>
        <v>0.59</v>
      </c>
      <c r="AG73" s="147">
        <f>$H$73*$B$73*AF73</f>
        <v>2313.936733333333</v>
      </c>
      <c r="AH73" s="155">
        <f>SUM(Z73,AB73,AD73,AF73)</f>
        <v>1</v>
      </c>
      <c r="AI73" s="147">
        <f>SUM(AA73,AC73,AE73,AG73)</f>
        <v>3921.9266666666663</v>
      </c>
      <c r="AJ73" s="148">
        <f>(AA73+AC73)</f>
        <v>705.94679999999994</v>
      </c>
      <c r="AK73" s="147">
        <f>(AE73+AG73)</f>
        <v>3215.9798666666661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8172.8819970393961</v>
      </c>
      <c r="C74" s="46"/>
      <c r="D74" s="38"/>
      <c r="E74" s="32"/>
      <c r="F74" s="32"/>
      <c r="G74" s="32"/>
      <c r="H74" s="31"/>
      <c r="I74" s="39">
        <f>I128*I$83</f>
        <v>30326.813829191215</v>
      </c>
      <c r="J74" s="51">
        <f t="shared" si="75"/>
        <v>5029.9572939404288</v>
      </c>
      <c r="K74" s="40">
        <f>B74/B$76</f>
        <v>0.17694178345169689</v>
      </c>
      <c r="L74" s="22">
        <f t="shared" si="76"/>
        <v>0.17693965492453045</v>
      </c>
      <c r="M74" s="24">
        <f>J74/B$76</f>
        <v>0.10889789117206074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311.33937714377606</v>
      </c>
      <c r="AD74" s="156"/>
      <c r="AE74" s="147">
        <f>AE30*$I$83/4</f>
        <v>1310.4976846304733</v>
      </c>
      <c r="AF74" s="156"/>
      <c r="AG74" s="147">
        <f>AG30*$I$83/4</f>
        <v>3408.120232166179</v>
      </c>
      <c r="AH74" s="155"/>
      <c r="AI74" s="147">
        <f>SUM(AA74,AC74,AE74,AG74)</f>
        <v>5029.9572939404279</v>
      </c>
      <c r="AJ74" s="148">
        <f>(AA74+AC74)</f>
        <v>311.33937714377606</v>
      </c>
      <c r="AK74" s="147">
        <f>(AE74+AG74)</f>
        <v>4718.617916796652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15087.638096303541</v>
      </c>
      <c r="AB75" s="158"/>
      <c r="AC75" s="149">
        <f>AA75+AC65-SUM(AC70,AC74)</f>
        <v>20067.191305226399</v>
      </c>
      <c r="AD75" s="158"/>
      <c r="AE75" s="149">
        <f>AC75+AE65-SUM(AE70,AE74)</f>
        <v>24344.43480218446</v>
      </c>
      <c r="AF75" s="158"/>
      <c r="AG75" s="149">
        <f>IF(SUM(AG6:AG29)+((AG65-AG70-$J$75)*4/I$83)&lt;1,0,AG65-AG70-$J$75-(1-SUM(AG6:AG29))*I$83/4)</f>
        <v>9613.244008828804</v>
      </c>
      <c r="AH75" s="134"/>
      <c r="AI75" s="149">
        <f>AI76-SUM(AI70,AI74)</f>
        <v>24344.434802184467</v>
      </c>
      <c r="AJ75" s="151">
        <f>AJ76-SUM(AJ70,AJ74)</f>
        <v>10453.947296397597</v>
      </c>
      <c r="AK75" s="149">
        <f>AJ75+AK76-SUM(AK70,AK74)</f>
        <v>24344.43480218446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46189.666666666672</v>
      </c>
      <c r="C76" s="46"/>
      <c r="D76" s="38"/>
      <c r="E76" s="32"/>
      <c r="F76" s="32"/>
      <c r="G76" s="32"/>
      <c r="H76" s="31"/>
      <c r="I76" s="39">
        <f>I130*I$83</f>
        <v>50673.506666666661</v>
      </c>
      <c r="J76" s="51">
        <f t="shared" si="75"/>
        <v>51955.884933600348</v>
      </c>
      <c r="K76" s="40">
        <f>SUM(K70:K75)</f>
        <v>1.4504136476274592</v>
      </c>
      <c r="L76" s="22">
        <f>SUM(L70:L75)</f>
        <v>1.125849793243799</v>
      </c>
      <c r="M76" s="24">
        <f>SUM(M70:M75)</f>
        <v>1.124837841081346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10561.067296843599</v>
      </c>
      <c r="AB76" s="137"/>
      <c r="AC76" s="153">
        <f>AC65</f>
        <v>10377.565795435499</v>
      </c>
      <c r="AD76" s="137"/>
      <c r="AE76" s="153">
        <f>AE65</f>
        <v>10674.4143909574</v>
      </c>
      <c r="AF76" s="137"/>
      <c r="AG76" s="153">
        <f>AG65</f>
        <v>18108.037450363845</v>
      </c>
      <c r="AH76" s="137"/>
      <c r="AI76" s="153">
        <f>SUM(AA76,AC76,AE76,AG76)</f>
        <v>49721.084933600345</v>
      </c>
      <c r="AJ76" s="154">
        <f>SUM(AA76,AC76)</f>
        <v>20938.633092279098</v>
      </c>
      <c r="AK76" s="154">
        <f>SUM(AE76,AG76)</f>
        <v>28782.451841321243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16963.942222222227</v>
      </c>
      <c r="J77" s="100">
        <f t="shared" si="75"/>
        <v>0</v>
      </c>
      <c r="K77" s="40"/>
      <c r="L77" s="22">
        <f>-(L131*G$37*F$9/F$7)/B$130</f>
        <v>-0.22612707668379617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9613.244008828804</v>
      </c>
      <c r="AB78" s="112"/>
      <c r="AC78" s="112">
        <f>IF(AA75&lt;0,0,AA75)</f>
        <v>15087.638096303541</v>
      </c>
      <c r="AD78" s="112"/>
      <c r="AE78" s="112">
        <f>AC75</f>
        <v>20067.191305226399</v>
      </c>
      <c r="AF78" s="112"/>
      <c r="AG78" s="112">
        <f>AE75</f>
        <v>24344.43480218446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">
        <v>186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15087.638096303541</v>
      </c>
      <c r="AB79" s="112"/>
      <c r="AC79" s="112">
        <f>AA79-AA74+AC65-AC70</f>
        <v>20378.530682370176</v>
      </c>
      <c r="AD79" s="112"/>
      <c r="AE79" s="112">
        <f>AC79-AC74+AE65-AE70</f>
        <v>25654.932486814934</v>
      </c>
      <c r="AF79" s="112"/>
      <c r="AG79" s="112">
        <f>AE79-AE74+AG65-AG70</f>
        <v>37365.799043179446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v>0.66091214045306179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v>7.1446277643945102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13788.155987238539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13788.155987238539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3447.0389968096347</v>
      </c>
      <c r="AB83" s="112"/>
      <c r="AC83" s="165">
        <f>$I$83*AB82/4</f>
        <v>3447.0389968096347</v>
      </c>
      <c r="AD83" s="112"/>
      <c r="AE83" s="165">
        <f>$I$83*AD82/4</f>
        <v>3447.0389968096347</v>
      </c>
      <c r="AF83" s="112"/>
      <c r="AG83" s="165">
        <f>$I$83*AF82/4</f>
        <v>3447.0389968096347</v>
      </c>
      <c r="AH83" s="165">
        <f>SUM(AA83,AC83,AE83,AG83)</f>
        <v>13788.155987238539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25222.651681256466</v>
      </c>
      <c r="C84" s="46"/>
      <c r="D84" s="235"/>
      <c r="E84" s="64"/>
      <c r="F84" s="64"/>
      <c r="G84" s="64"/>
      <c r="H84" s="236">
        <f>IF(B84=0,0,I84/B84)</f>
        <v>1.2304809535560171</v>
      </c>
      <c r="I84" s="234">
        <f>(B70*H70)+((1-(D29*H29))*I83)</f>
        <v>31035.992491963734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0.47746292828616516</v>
      </c>
      <c r="C91" s="60">
        <f t="shared" si="81"/>
        <v>0</v>
      </c>
      <c r="D91" s="24">
        <f>SUM(B91,C91)</f>
        <v>0.47746292828616516</v>
      </c>
      <c r="H91" s="24">
        <f>(E37*F37/G37*F$7/F$9)</f>
        <v>0.94399999999999984</v>
      </c>
      <c r="I91" s="22">
        <f t="shared" ref="I91" si="82">(D91*H91)</f>
        <v>0.45072500430213985</v>
      </c>
      <c r="J91" s="24">
        <f>IF(I$32&lt;=1+I$131,I91,L91+J$33*(I91-L91))</f>
        <v>0.45072500430213985</v>
      </c>
      <c r="K91" s="22">
        <f t="shared" ref="K91" si="83">IF(B91="",0,B91)</f>
        <v>0.47746292828616516</v>
      </c>
      <c r="L91" s="22">
        <f t="shared" ref="L91" si="84">(K91*H91)</f>
        <v>0.45072500430213985</v>
      </c>
      <c r="M91" s="227">
        <f t="shared" si="80"/>
        <v>0.45072500430213985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0.10878902163482244</v>
      </c>
      <c r="C92" s="60">
        <f t="shared" si="81"/>
        <v>-6.043834535267914E-2</v>
      </c>
      <c r="D92" s="24">
        <f t="shared" ref="D92:D118" si="86">SUM(B92,C92)</f>
        <v>4.8350676282143304E-2</v>
      </c>
      <c r="H92" s="24">
        <f t="shared" ref="H92:H118" si="87">(E38*F38/G38*F$7/F$9)</f>
        <v>0.94399999999999984</v>
      </c>
      <c r="I92" s="22">
        <f t="shared" ref="I92:I118" si="88">(D92*H92)</f>
        <v>4.564303841034327E-2</v>
      </c>
      <c r="J92" s="24">
        <f t="shared" ref="J92:J118" si="89">IF(I$32&lt;=1+I$131,I92,L92+J$33*(I92-L92))</f>
        <v>0.10069040103960493</v>
      </c>
      <c r="K92" s="22">
        <f t="shared" ref="K92:K118" si="90">IF(B92="",0,B92)</f>
        <v>0.10878902163482244</v>
      </c>
      <c r="L92" s="22">
        <f t="shared" ref="L92:L118" si="91">(K92*H92)</f>
        <v>0.10269683642327238</v>
      </c>
      <c r="M92" s="227">
        <f t="shared" ref="M92:M118" si="92">(J92)</f>
        <v>0.10069040103960493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0.94399999999999984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6.0196591971268419E-3</v>
      </c>
      <c r="C94" s="60">
        <f t="shared" si="81"/>
        <v>0</v>
      </c>
      <c r="D94" s="24">
        <f t="shared" si="86"/>
        <v>6.0196591971268419E-3</v>
      </c>
      <c r="H94" s="24">
        <f t="shared" si="87"/>
        <v>1.18</v>
      </c>
      <c r="I94" s="22">
        <f t="shared" si="88"/>
        <v>7.1031978526096733E-3</v>
      </c>
      <c r="J94" s="24">
        <f t="shared" si="89"/>
        <v>7.1031978526096733E-3</v>
      </c>
      <c r="K94" s="22">
        <f t="shared" si="90"/>
        <v>6.0196591971268419E-3</v>
      </c>
      <c r="L94" s="22">
        <f t="shared" si="91"/>
        <v>7.1031978526096733E-3</v>
      </c>
      <c r="M94" s="227">
        <f t="shared" si="92"/>
        <v>7.1031978526096733E-3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1.526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4.3515608653928978E-2</v>
      </c>
      <c r="C96" s="60">
        <f t="shared" si="81"/>
        <v>1.0153642019250095E-2</v>
      </c>
      <c r="D96" s="24">
        <f t="shared" si="86"/>
        <v>5.366925067317907E-2</v>
      </c>
      <c r="H96" s="24">
        <f t="shared" si="87"/>
        <v>1.1199999999999999</v>
      </c>
      <c r="I96" s="22">
        <f t="shared" si="88"/>
        <v>6.0109560753960553E-2</v>
      </c>
      <c r="J96" s="24">
        <f t="shared" si="89"/>
        <v>4.9137408473958574E-2</v>
      </c>
      <c r="K96" s="22">
        <f t="shared" si="90"/>
        <v>4.3515608653928978E-2</v>
      </c>
      <c r="L96" s="22">
        <f t="shared" si="91"/>
        <v>4.8737481692400449E-2</v>
      </c>
      <c r="M96" s="227">
        <f t="shared" si="92"/>
        <v>4.9137408473958574E-2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potatoes: kg produced</v>
      </c>
      <c r="B97" s="60">
        <f t="shared" si="81"/>
        <v>1.1120655544892961E-2</v>
      </c>
      <c r="C97" s="60">
        <f t="shared" si="81"/>
        <v>-1.1120655544892961E-2</v>
      </c>
      <c r="D97" s="24">
        <f t="shared" si="86"/>
        <v>0</v>
      </c>
      <c r="H97" s="24">
        <f t="shared" si="87"/>
        <v>1.1199999999999999</v>
      </c>
      <c r="I97" s="22">
        <f t="shared" si="88"/>
        <v>0</v>
      </c>
      <c r="J97" s="24">
        <f t="shared" si="89"/>
        <v>1.2017119163811695E-2</v>
      </c>
      <c r="K97" s="22">
        <f t="shared" si="90"/>
        <v>1.1120655544892961E-2</v>
      </c>
      <c r="L97" s="22">
        <f t="shared" si="91"/>
        <v>1.2455134210280114E-2</v>
      </c>
      <c r="M97" s="227">
        <f t="shared" si="92"/>
        <v>1.2017119163811695E-2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Amadumbe: kg produced</v>
      </c>
      <c r="B98" s="60">
        <f t="shared" si="81"/>
        <v>1.590737249682515E-2</v>
      </c>
      <c r="C98" s="60">
        <f t="shared" si="81"/>
        <v>-1.590737249682515E-2</v>
      </c>
      <c r="D98" s="24">
        <f t="shared" si="86"/>
        <v>0</v>
      </c>
      <c r="H98" s="24">
        <f t="shared" si="87"/>
        <v>1.1199999999999999</v>
      </c>
      <c r="I98" s="22">
        <f t="shared" si="88"/>
        <v>0</v>
      </c>
      <c r="J98" s="24">
        <f t="shared" si="89"/>
        <v>1.7189705238669774E-2</v>
      </c>
      <c r="K98" s="22">
        <f t="shared" si="90"/>
        <v>1.590737249682515E-2</v>
      </c>
      <c r="L98" s="22">
        <f t="shared" si="91"/>
        <v>1.7816257196444165E-2</v>
      </c>
      <c r="M98" s="227">
        <f t="shared" si="92"/>
        <v>1.7189705238669774E-2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Sweet Potatoes: kg produced</v>
      </c>
      <c r="B99" s="60">
        <f t="shared" si="81"/>
        <v>1.3538189359000126E-2</v>
      </c>
      <c r="C99" s="60">
        <f t="shared" si="81"/>
        <v>-1.3538189359000126E-2</v>
      </c>
      <c r="D99" s="24">
        <f t="shared" si="86"/>
        <v>0</v>
      </c>
      <c r="H99" s="24">
        <f t="shared" si="87"/>
        <v>1.1199999999999999</v>
      </c>
      <c r="I99" s="22">
        <f t="shared" si="88"/>
        <v>0</v>
      </c>
      <c r="J99" s="24">
        <f t="shared" si="89"/>
        <v>1.4629536373335975E-2</v>
      </c>
      <c r="K99" s="22">
        <f t="shared" si="90"/>
        <v>1.3538189359000126E-2</v>
      </c>
      <c r="L99" s="22">
        <f t="shared" si="91"/>
        <v>1.5162772082080139E-2</v>
      </c>
      <c r="M99" s="227">
        <f t="shared" si="92"/>
        <v>1.4629536373335975E-2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Other crop: Cabbage</v>
      </c>
      <c r="B100" s="60">
        <f t="shared" si="81"/>
        <v>3.2636706490446732E-3</v>
      </c>
      <c r="C100" s="60">
        <f t="shared" si="81"/>
        <v>-3.2636706490446732E-3</v>
      </c>
      <c r="D100" s="24">
        <f t="shared" si="86"/>
        <v>0</v>
      </c>
      <c r="H100" s="24">
        <f t="shared" si="87"/>
        <v>1.1199999999999999</v>
      </c>
      <c r="I100" s="22">
        <f t="shared" si="88"/>
        <v>0</v>
      </c>
      <c r="J100" s="24">
        <f t="shared" si="89"/>
        <v>3.52676323285778E-3</v>
      </c>
      <c r="K100" s="22">
        <f t="shared" si="90"/>
        <v>3.2636706490446732E-3</v>
      </c>
      <c r="L100" s="22">
        <f t="shared" si="91"/>
        <v>3.6553111269300338E-3</v>
      </c>
      <c r="M100" s="227">
        <f t="shared" si="92"/>
        <v>3.52676323285778E-3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beetroot: no. local meas</v>
      </c>
      <c r="B101" s="60">
        <f t="shared" si="81"/>
        <v>7.2526014423214958E-4</v>
      </c>
      <c r="C101" s="60">
        <f t="shared" si="81"/>
        <v>-7.2526014423214958E-4</v>
      </c>
      <c r="D101" s="24">
        <f t="shared" si="86"/>
        <v>0</v>
      </c>
      <c r="H101" s="24">
        <f t="shared" si="87"/>
        <v>1.1199999999999999</v>
      </c>
      <c r="I101" s="22">
        <f t="shared" si="88"/>
        <v>0</v>
      </c>
      <c r="J101" s="24">
        <f t="shared" si="89"/>
        <v>7.8372516285728439E-4</v>
      </c>
      <c r="K101" s="22">
        <f t="shared" si="90"/>
        <v>7.2526014423214958E-4</v>
      </c>
      <c r="L101" s="22">
        <f t="shared" si="91"/>
        <v>8.1229136154000749E-4</v>
      </c>
      <c r="M101" s="227">
        <f t="shared" si="92"/>
        <v>7.8372516285728439E-4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Spinach: no produced</v>
      </c>
      <c r="B102" s="60">
        <f t="shared" si="81"/>
        <v>1.8856763750035889E-3</v>
      </c>
      <c r="C102" s="60">
        <f t="shared" si="81"/>
        <v>-7.2526014423214958E-4</v>
      </c>
      <c r="D102" s="24">
        <f t="shared" si="86"/>
        <v>1.1604162307714393E-3</v>
      </c>
      <c r="H102" s="24">
        <f t="shared" si="87"/>
        <v>1.1199999999999999</v>
      </c>
      <c r="I102" s="22">
        <f t="shared" si="88"/>
        <v>1.2996661784640119E-3</v>
      </c>
      <c r="J102" s="24">
        <f t="shared" si="89"/>
        <v>2.0833913413212963E-3</v>
      </c>
      <c r="K102" s="22">
        <f t="shared" si="90"/>
        <v>1.8856763750035889E-3</v>
      </c>
      <c r="L102" s="22">
        <f t="shared" si="91"/>
        <v>2.1119575400040192E-3</v>
      </c>
      <c r="M102" s="227">
        <f t="shared" si="92"/>
        <v>2.0833913413212963E-3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Other crop: pumpkin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1.1199999999999999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Other cashcrop: sugar cane (tons)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1.4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Agricultural cash income -- see Data2</v>
      </c>
      <c r="B105" s="60">
        <f t="shared" si="81"/>
        <v>9.2833298461715147E-2</v>
      </c>
      <c r="C105" s="60">
        <f t="shared" si="81"/>
        <v>0</v>
      </c>
      <c r="D105" s="24">
        <f t="shared" si="86"/>
        <v>9.2833298461715147E-2</v>
      </c>
      <c r="H105" s="24">
        <f t="shared" si="87"/>
        <v>1.1100000000000001</v>
      </c>
      <c r="I105" s="22">
        <f t="shared" si="88"/>
        <v>0.10304496129250382</v>
      </c>
      <c r="J105" s="24">
        <f t="shared" si="89"/>
        <v>0.10304496129250382</v>
      </c>
      <c r="K105" s="22">
        <f t="shared" si="90"/>
        <v>9.2833298461715147E-2</v>
      </c>
      <c r="L105" s="22">
        <f t="shared" si="91"/>
        <v>0.10304496129250382</v>
      </c>
      <c r="M105" s="227">
        <f t="shared" si="92"/>
        <v>0.10304496129250382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Construction cash income -- see Data2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1.1100000000000001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Domestic work cash income -- see Data2</v>
      </c>
      <c r="B107" s="60">
        <f t="shared" si="81"/>
        <v>5.3185743910357644E-2</v>
      </c>
      <c r="C107" s="60">
        <f t="shared" si="81"/>
        <v>0</v>
      </c>
      <c r="D107" s="24">
        <f t="shared" si="86"/>
        <v>5.3185743910357644E-2</v>
      </c>
      <c r="H107" s="24">
        <f t="shared" si="87"/>
        <v>1.1100000000000001</v>
      </c>
      <c r="I107" s="22">
        <f t="shared" si="88"/>
        <v>5.9036175740496993E-2</v>
      </c>
      <c r="J107" s="24">
        <f t="shared" si="89"/>
        <v>5.9036175740496993E-2</v>
      </c>
      <c r="K107" s="22">
        <f t="shared" si="90"/>
        <v>5.3185743910357644E-2</v>
      </c>
      <c r="L107" s="22">
        <f t="shared" si="91"/>
        <v>5.9036175740496993E-2</v>
      </c>
      <c r="M107" s="227">
        <f t="shared" si="92"/>
        <v>5.9036175740496993E-2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Formal Employment (conservancies, etc.)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1.18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Labour migration(formal employment): no. people per HH</v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0.59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Small business -- see Data2</v>
      </c>
      <c r="B110" s="60">
        <f t="shared" si="81"/>
        <v>6.7690946795000637E-2</v>
      </c>
      <c r="C110" s="60">
        <f t="shared" si="81"/>
        <v>0</v>
      </c>
      <c r="D110" s="24">
        <f t="shared" si="86"/>
        <v>6.7690946795000637E-2</v>
      </c>
      <c r="H110" s="24">
        <f t="shared" si="87"/>
        <v>0.94399999999999984</v>
      </c>
      <c r="I110" s="22">
        <f t="shared" si="88"/>
        <v>6.3900253774480595E-2</v>
      </c>
      <c r="J110" s="24">
        <f t="shared" si="89"/>
        <v>6.3900253774480595E-2</v>
      </c>
      <c r="K110" s="22">
        <f t="shared" si="90"/>
        <v>6.7690946795000637E-2</v>
      </c>
      <c r="L110" s="22">
        <f t="shared" si="91"/>
        <v>6.3900253774480595E-2</v>
      </c>
      <c r="M110" s="227">
        <f t="shared" si="92"/>
        <v>6.3900253774480595E-2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Social development -- see Data2</v>
      </c>
      <c r="B111" s="60">
        <f t="shared" si="81"/>
        <v>1.843176130551585</v>
      </c>
      <c r="C111" s="60">
        <f t="shared" si="81"/>
        <v>0</v>
      </c>
      <c r="D111" s="24">
        <f t="shared" si="86"/>
        <v>1.843176130551585</v>
      </c>
      <c r="H111" s="24">
        <f t="shared" si="87"/>
        <v>1.18</v>
      </c>
      <c r="I111" s="22">
        <f t="shared" si="88"/>
        <v>2.1749478340508701</v>
      </c>
      <c r="J111" s="24">
        <f t="shared" si="89"/>
        <v>2.1749478340508701</v>
      </c>
      <c r="K111" s="22">
        <f t="shared" si="90"/>
        <v>1.843176130551585</v>
      </c>
      <c r="L111" s="22">
        <f t="shared" si="91"/>
        <v>2.1749478340508701</v>
      </c>
      <c r="M111" s="227">
        <f t="shared" si="92"/>
        <v>2.1749478340508701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Public works -- see Data2</v>
      </c>
      <c r="B112" s="60">
        <f t="shared" si="81"/>
        <v>0.53466177832794071</v>
      </c>
      <c r="C112" s="60">
        <f t="shared" si="81"/>
        <v>0</v>
      </c>
      <c r="D112" s="24">
        <f t="shared" si="86"/>
        <v>0.53466177832794071</v>
      </c>
      <c r="H112" s="24">
        <f t="shared" si="87"/>
        <v>1.18</v>
      </c>
      <c r="I112" s="22">
        <f t="shared" si="88"/>
        <v>0.63090089842696995</v>
      </c>
      <c r="J112" s="24">
        <f t="shared" si="89"/>
        <v>0.63090089842696995</v>
      </c>
      <c r="K112" s="22">
        <f t="shared" si="90"/>
        <v>0.53466177832794071</v>
      </c>
      <c r="L112" s="22">
        <f t="shared" si="91"/>
        <v>0.63090089842696995</v>
      </c>
      <c r="M112" s="227">
        <f t="shared" si="92"/>
        <v>0.63090089842696995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Gifts/social support: type (Child support, Pension and Foster Care)</v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1.1100000000000001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>Other income: e.g. Credit (cotton loans)</v>
      </c>
      <c r="B114" s="60">
        <f t="shared" si="81"/>
        <v>5.5627453062605879E-2</v>
      </c>
      <c r="C114" s="60">
        <f t="shared" si="81"/>
        <v>0</v>
      </c>
      <c r="D114" s="24">
        <f t="shared" si="86"/>
        <v>5.5627453062605879E-2</v>
      </c>
      <c r="H114" s="24">
        <f t="shared" si="87"/>
        <v>1</v>
      </c>
      <c r="I114" s="22">
        <f t="shared" si="88"/>
        <v>5.5627453062605879E-2</v>
      </c>
      <c r="J114" s="24">
        <f t="shared" si="89"/>
        <v>5.5627453062605879E-2</v>
      </c>
      <c r="K114" s="22">
        <f t="shared" si="90"/>
        <v>5.5627453062605879E-2</v>
      </c>
      <c r="L114" s="22">
        <f t="shared" si="91"/>
        <v>5.5627453062605879E-2</v>
      </c>
      <c r="M114" s="227">
        <f t="shared" si="92"/>
        <v>5.5627453062605879E-2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>Remittances: no. times per year</v>
      </c>
      <c r="B115" s="60">
        <f t="shared" si="81"/>
        <v>2.0549037419910904E-2</v>
      </c>
      <c r="C115" s="60">
        <f t="shared" si="81"/>
        <v>0</v>
      </c>
      <c r="D115" s="24">
        <f t="shared" si="86"/>
        <v>2.0549037419910904E-2</v>
      </c>
      <c r="H115" s="24">
        <f t="shared" si="87"/>
        <v>1.1100000000000001</v>
      </c>
      <c r="I115" s="22">
        <f t="shared" si="88"/>
        <v>2.2809431536101106E-2</v>
      </c>
      <c r="J115" s="24">
        <f t="shared" si="89"/>
        <v>2.2809431536101106E-2</v>
      </c>
      <c r="K115" s="22">
        <f t="shared" si="90"/>
        <v>2.0549037419910904E-2</v>
      </c>
      <c r="L115" s="22">
        <f t="shared" si="91"/>
        <v>2.2809431536101106E-2</v>
      </c>
      <c r="M115" s="227">
        <f t="shared" si="92"/>
        <v>2.2809431536101106E-2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1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1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3.3499524308701583</v>
      </c>
      <c r="C119" s="29">
        <f>SUM(C91:C118)</f>
        <v>-9.5565111671656253E-2</v>
      </c>
      <c r="D119" s="24">
        <f>SUM(D91:D118)</f>
        <v>3.2543873191985022</v>
      </c>
      <c r="E119" s="22"/>
      <c r="F119" s="2"/>
      <c r="G119" s="2"/>
      <c r="H119" s="31"/>
      <c r="I119" s="22">
        <f>SUM(I91:I118)</f>
        <v>3.6751474753815456</v>
      </c>
      <c r="J119" s="24">
        <f>SUM(J91:J118)</f>
        <v>3.7681532600651959</v>
      </c>
      <c r="K119" s="22">
        <f>SUM(K91:K118)</f>
        <v>3.3499524308701583</v>
      </c>
      <c r="L119" s="22">
        <f>SUM(L91:L118)</f>
        <v>3.77154325167173</v>
      </c>
      <c r="M119" s="57">
        <f t="shared" si="80"/>
        <v>3.7681532600651959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1.0540460987110494</v>
      </c>
      <c r="C124" s="56"/>
      <c r="D124" s="24"/>
      <c r="H124" s="96">
        <f>(E70*F70/G$37*F$7/F$9)</f>
        <v>1.4</v>
      </c>
      <c r="I124" s="29">
        <f>IF(SUMPRODUCT($B$124:$B124,$H$124:$H124)&lt;I$119,($B124*$H124),I$119)</f>
        <v>1.4756645381954689</v>
      </c>
      <c r="J124" s="237">
        <f>IF(SUMPRODUCT($B$124:$B124,$H$124:$H124)&lt;J$119,($B124*$H124),J$119)</f>
        <v>1.4756645381954689</v>
      </c>
      <c r="K124" s="29">
        <f>(B124)</f>
        <v>1.0540460987110494</v>
      </c>
      <c r="L124" s="29">
        <f>IF(SUMPRODUCT($B$124:$B124,$H$124:$H124)&lt;L$119,($B124*$H124),L$119)</f>
        <v>1.4756645381954689</v>
      </c>
      <c r="M124" s="240">
        <f t="shared" si="93"/>
        <v>1.4756645381954689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1.0426501002402324</v>
      </c>
      <c r="C125" s="56"/>
      <c r="D125" s="24"/>
      <c r="H125" s="96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1.2303271182834741</v>
      </c>
      <c r="J125" s="237">
        <f>IF(SUMPRODUCT($B$124:$B125,$H$124:$H125)&lt;J$119,($B125*$H125),IF(SUMPRODUCT($B$124:$B124,$H$124:$H124)&lt;J$119,J$119-SUMPRODUCT($B$124:$B124,$H$124:$H124),0))</f>
        <v>1.2303271182834741</v>
      </c>
      <c r="K125" s="29">
        <f>(B125)</f>
        <v>1.0426501002402324</v>
      </c>
      <c r="L125" s="29">
        <f>IF(SUMPRODUCT($B$124:$B125,$H$124:$H125)&lt;L$119,($B125*$H125),IF(SUMPRODUCT($B$124:$B124,$H$124:$H124)&lt;L$119,L$119-SUMPRODUCT($B$124:$B124,$H$124:$H124),0))</f>
        <v>1.2303271182834741</v>
      </c>
      <c r="M125" s="240">
        <f t="shared" si="93"/>
        <v>1.2303271182834741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1.9283216714844393</v>
      </c>
      <c r="C126" s="56"/>
      <c r="D126" s="24"/>
      <c r="H126" s="96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0.69735884833777373</v>
      </c>
      <c r="K126" s="29">
        <f t="shared" ref="K126:K127" si="94">(B126)</f>
        <v>1.9283216714844393</v>
      </c>
      <c r="L126" s="29">
        <f>IF(SUMPRODUCT($B$124:$B126,$H$124:$H126)&lt;(L$119-L$128),($B126*$H126),IF(SUMPRODUCT($B$124:$B125,$H$124:$H125)&lt;(L$119-L$128),L$119-L$128-SUMPRODUCT($B$124:$B125,$H$124:$H125),0))</f>
        <v>0.47281216806102888</v>
      </c>
      <c r="M126" s="240">
        <f t="shared" si="93"/>
        <v>0.69735884833777373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0.24105229660462546</v>
      </c>
      <c r="C127" s="56"/>
      <c r="D127" s="24"/>
      <c r="H127" s="96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0.24105229660462546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0.59274655759651318</v>
      </c>
      <c r="C128" s="56"/>
      <c r="D128" s="31"/>
      <c r="E128" s="2"/>
      <c r="F128" s="2"/>
      <c r="G128" s="2"/>
      <c r="H128" s="24"/>
      <c r="I128" s="29">
        <f>(I30)</f>
        <v>2.1994829371860769</v>
      </c>
      <c r="J128" s="228">
        <f>(J30)</f>
        <v>0.36480275524847883</v>
      </c>
      <c r="K128" s="29">
        <f>(B128)</f>
        <v>0.59274655759651318</v>
      </c>
      <c r="L128" s="29">
        <f>IF(L124=L119,0,(L119-L124)/(B119-B124)*K128)</f>
        <v>0.59273942713175776</v>
      </c>
      <c r="M128" s="240">
        <f t="shared" si="93"/>
        <v>0.36480275524847883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3.3499524308701583</v>
      </c>
      <c r="C130" s="56"/>
      <c r="D130" s="31"/>
      <c r="E130" s="2"/>
      <c r="F130" s="2"/>
      <c r="G130" s="2"/>
      <c r="H130" s="24"/>
      <c r="I130" s="29">
        <f>(I119)</f>
        <v>3.6751474753815456</v>
      </c>
      <c r="J130" s="228">
        <f>(J119)</f>
        <v>3.7681532600651959</v>
      </c>
      <c r="K130" s="29">
        <f>(B130)</f>
        <v>3.3499524308701583</v>
      </c>
      <c r="L130" s="29">
        <f>(L119)</f>
        <v>3.77154325167173</v>
      </c>
      <c r="M130" s="240">
        <f t="shared" si="93"/>
        <v>3.7681532600651959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1.2303271182834745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0.75751495022244564</v>
      </c>
      <c r="M131" s="237">
        <f>IF(I131&lt;SUM(M126:M127),0,I131-(SUM(M126:M127)))</f>
        <v>0.53296826994570079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96" priority="116" operator="equal">
      <formula>16</formula>
    </cfRule>
    <cfRule type="cellIs" dxfId="295" priority="117" operator="equal">
      <formula>15</formula>
    </cfRule>
    <cfRule type="cellIs" dxfId="294" priority="118" operator="equal">
      <formula>14</formula>
    </cfRule>
    <cfRule type="cellIs" dxfId="293" priority="119" operator="equal">
      <formula>13</formula>
    </cfRule>
    <cfRule type="cellIs" dxfId="292" priority="120" operator="equal">
      <formula>12</formula>
    </cfRule>
    <cfRule type="cellIs" dxfId="291" priority="121" operator="equal">
      <formula>11</formula>
    </cfRule>
    <cfRule type="cellIs" dxfId="290" priority="122" operator="equal">
      <formula>10</formula>
    </cfRule>
    <cfRule type="cellIs" dxfId="289" priority="123" operator="equal">
      <formula>9</formula>
    </cfRule>
    <cfRule type="cellIs" dxfId="288" priority="124" operator="equal">
      <formula>8</formula>
    </cfRule>
    <cfRule type="cellIs" dxfId="287" priority="125" operator="equal">
      <formula>7</formula>
    </cfRule>
    <cfRule type="cellIs" dxfId="286" priority="126" operator="equal">
      <formula>6</formula>
    </cfRule>
    <cfRule type="cellIs" dxfId="285" priority="127" operator="equal">
      <formula>5</formula>
    </cfRule>
    <cfRule type="cellIs" dxfId="284" priority="128" operator="equal">
      <formula>4</formula>
    </cfRule>
    <cfRule type="cellIs" dxfId="283" priority="129" operator="equal">
      <formula>3</formula>
    </cfRule>
    <cfRule type="cellIs" dxfId="282" priority="130" operator="equal">
      <formula>2</formula>
    </cfRule>
    <cfRule type="cellIs" dxfId="281" priority="131" operator="equal">
      <formula>1</formula>
    </cfRule>
  </conditionalFormatting>
  <conditionalFormatting sqref="N116:N118">
    <cfRule type="cellIs" dxfId="280" priority="52" operator="equal">
      <formula>16</formula>
    </cfRule>
    <cfRule type="cellIs" dxfId="279" priority="53" operator="equal">
      <formula>15</formula>
    </cfRule>
    <cfRule type="cellIs" dxfId="278" priority="54" operator="equal">
      <formula>14</formula>
    </cfRule>
    <cfRule type="cellIs" dxfId="277" priority="55" operator="equal">
      <formula>13</formula>
    </cfRule>
    <cfRule type="cellIs" dxfId="276" priority="56" operator="equal">
      <formula>12</formula>
    </cfRule>
    <cfRule type="cellIs" dxfId="275" priority="57" operator="equal">
      <formula>11</formula>
    </cfRule>
    <cfRule type="cellIs" dxfId="274" priority="58" operator="equal">
      <formula>10</formula>
    </cfRule>
    <cfRule type="cellIs" dxfId="273" priority="59" operator="equal">
      <formula>9</formula>
    </cfRule>
    <cfRule type="cellIs" dxfId="272" priority="60" operator="equal">
      <formula>8</formula>
    </cfRule>
    <cfRule type="cellIs" dxfId="271" priority="61" operator="equal">
      <formula>7</formula>
    </cfRule>
    <cfRule type="cellIs" dxfId="270" priority="62" operator="equal">
      <formula>6</formula>
    </cfRule>
    <cfRule type="cellIs" dxfId="269" priority="63" operator="equal">
      <formula>5</formula>
    </cfRule>
    <cfRule type="cellIs" dxfId="268" priority="64" operator="equal">
      <formula>4</formula>
    </cfRule>
    <cfRule type="cellIs" dxfId="267" priority="65" operator="equal">
      <formula>3</formula>
    </cfRule>
    <cfRule type="cellIs" dxfId="266" priority="66" operator="equal">
      <formula>2</formula>
    </cfRule>
    <cfRule type="cellIs" dxfId="265" priority="67" operator="equal">
      <formula>1</formula>
    </cfRule>
  </conditionalFormatting>
  <conditionalFormatting sqref="R31:T31">
    <cfRule type="cellIs" dxfId="264" priority="51" operator="greaterThan">
      <formula>0</formula>
    </cfRule>
  </conditionalFormatting>
  <conditionalFormatting sqref="R32:T32">
    <cfRule type="cellIs" dxfId="263" priority="50" operator="greaterThan">
      <formula>0</formula>
    </cfRule>
  </conditionalFormatting>
  <conditionalFormatting sqref="R30:T30">
    <cfRule type="cellIs" dxfId="262" priority="49" operator="greaterThan">
      <formula>0</formula>
    </cfRule>
  </conditionalFormatting>
  <conditionalFormatting sqref="N113:N115">
    <cfRule type="cellIs" dxfId="261" priority="33" operator="equal">
      <formula>16</formula>
    </cfRule>
    <cfRule type="cellIs" dxfId="260" priority="34" operator="equal">
      <formula>15</formula>
    </cfRule>
    <cfRule type="cellIs" dxfId="259" priority="35" operator="equal">
      <formula>14</formula>
    </cfRule>
    <cfRule type="cellIs" dxfId="258" priority="36" operator="equal">
      <formula>13</formula>
    </cfRule>
    <cfRule type="cellIs" dxfId="257" priority="37" operator="equal">
      <formula>12</formula>
    </cfRule>
    <cfRule type="cellIs" dxfId="256" priority="38" operator="equal">
      <formula>11</formula>
    </cfRule>
    <cfRule type="cellIs" dxfId="255" priority="39" operator="equal">
      <formula>10</formula>
    </cfRule>
    <cfRule type="cellIs" dxfId="254" priority="40" operator="equal">
      <formula>9</formula>
    </cfRule>
    <cfRule type="cellIs" dxfId="253" priority="41" operator="equal">
      <formula>8</formula>
    </cfRule>
    <cfRule type="cellIs" dxfId="252" priority="42" operator="equal">
      <formula>7</formula>
    </cfRule>
    <cfRule type="cellIs" dxfId="251" priority="43" operator="equal">
      <formula>6</formula>
    </cfRule>
    <cfRule type="cellIs" dxfId="250" priority="44" operator="equal">
      <formula>5</formula>
    </cfRule>
    <cfRule type="cellIs" dxfId="249" priority="45" operator="equal">
      <formula>4</formula>
    </cfRule>
    <cfRule type="cellIs" dxfId="248" priority="46" operator="equal">
      <formula>3</formula>
    </cfRule>
    <cfRule type="cellIs" dxfId="247" priority="47" operator="equal">
      <formula>2</formula>
    </cfRule>
    <cfRule type="cellIs" dxfId="246" priority="48" operator="equal">
      <formula>1</formula>
    </cfRule>
  </conditionalFormatting>
  <conditionalFormatting sqref="N91:N104">
    <cfRule type="cellIs" dxfId="245" priority="17" operator="equal">
      <formula>16</formula>
    </cfRule>
    <cfRule type="cellIs" dxfId="244" priority="18" operator="equal">
      <formula>15</formula>
    </cfRule>
    <cfRule type="cellIs" dxfId="243" priority="19" operator="equal">
      <formula>14</formula>
    </cfRule>
    <cfRule type="cellIs" dxfId="242" priority="20" operator="equal">
      <formula>13</formula>
    </cfRule>
    <cfRule type="cellIs" dxfId="241" priority="21" operator="equal">
      <formula>12</formula>
    </cfRule>
    <cfRule type="cellIs" dxfId="240" priority="22" operator="equal">
      <formula>11</formula>
    </cfRule>
    <cfRule type="cellIs" dxfId="239" priority="23" operator="equal">
      <formula>10</formula>
    </cfRule>
    <cfRule type="cellIs" dxfId="238" priority="24" operator="equal">
      <formula>9</formula>
    </cfRule>
    <cfRule type="cellIs" dxfId="237" priority="25" operator="equal">
      <formula>8</formula>
    </cfRule>
    <cfRule type="cellIs" dxfId="236" priority="26" operator="equal">
      <formula>7</formula>
    </cfRule>
    <cfRule type="cellIs" dxfId="235" priority="27" operator="equal">
      <formula>6</formula>
    </cfRule>
    <cfRule type="cellIs" dxfId="234" priority="28" operator="equal">
      <formula>5</formula>
    </cfRule>
    <cfRule type="cellIs" dxfId="233" priority="29" operator="equal">
      <formula>4</formula>
    </cfRule>
    <cfRule type="cellIs" dxfId="232" priority="30" operator="equal">
      <formula>3</formula>
    </cfRule>
    <cfRule type="cellIs" dxfId="231" priority="31" operator="equal">
      <formula>2</formula>
    </cfRule>
    <cfRule type="cellIs" dxfId="230" priority="32" operator="equal">
      <formula>1</formula>
    </cfRule>
  </conditionalFormatting>
  <conditionalFormatting sqref="N105:N112">
    <cfRule type="cellIs" dxfId="229" priority="1" operator="equal">
      <formula>16</formula>
    </cfRule>
    <cfRule type="cellIs" dxfId="228" priority="2" operator="equal">
      <formula>15</formula>
    </cfRule>
    <cfRule type="cellIs" dxfId="227" priority="3" operator="equal">
      <formula>14</formula>
    </cfRule>
    <cfRule type="cellIs" dxfId="226" priority="4" operator="equal">
      <formula>13</formula>
    </cfRule>
    <cfRule type="cellIs" dxfId="225" priority="5" operator="equal">
      <formula>12</formula>
    </cfRule>
    <cfRule type="cellIs" dxfId="224" priority="6" operator="equal">
      <formula>11</formula>
    </cfRule>
    <cfRule type="cellIs" dxfId="223" priority="7" operator="equal">
      <formula>10</formula>
    </cfRule>
    <cfRule type="cellIs" dxfId="222" priority="8" operator="equal">
      <formula>9</formula>
    </cfRule>
    <cfRule type="cellIs" dxfId="221" priority="9" operator="equal">
      <formula>8</formula>
    </cfRule>
    <cfRule type="cellIs" dxfId="220" priority="10" operator="equal">
      <formula>7</formula>
    </cfRule>
    <cfRule type="cellIs" dxfId="219" priority="11" operator="equal">
      <formula>6</formula>
    </cfRule>
    <cfRule type="cellIs" dxfId="218" priority="12" operator="equal">
      <formula>5</formula>
    </cfRule>
    <cfRule type="cellIs" dxfId="217" priority="13" operator="equal">
      <formula>4</formula>
    </cfRule>
    <cfRule type="cellIs" dxfId="216" priority="14" operator="equal">
      <formula>3</formula>
    </cfRule>
    <cfRule type="cellIs" dxfId="215" priority="15" operator="equal">
      <formula>2</formula>
    </cfRule>
    <cfRule type="cellIs" dxfId="214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8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ZA1XX, 59100</v>
      </c>
      <c r="B1" s="244" t="str">
        <f>Poor!B1</f>
        <v xml:space="preserve">Open access Livestock husbandry 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v>6.9722412382138402E-2</v>
      </c>
      <c r="C6" s="102">
        <v>0</v>
      </c>
      <c r="D6" s="24">
        <f t="shared" ref="D6:D29" si="0">(B6+C6)</f>
        <v>6.9722412382138402E-2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3.4861206191069201E-2</v>
      </c>
      <c r="J6" s="24">
        <f t="shared" ref="J6:J13" si="3">IF(I$32&lt;=1+I$131,I6,B6*H6+J$33*(I6-B6*H6))</f>
        <v>3.4861206191069201E-2</v>
      </c>
      <c r="K6" s="22">
        <f t="shared" ref="K6:K31" si="4">B6</f>
        <v>6.9722412382138402E-2</v>
      </c>
      <c r="L6" s="22">
        <f t="shared" ref="L6:L29" si="5">IF(K6="","",K6*H6)</f>
        <v>3.4861206191069201E-2</v>
      </c>
      <c r="M6" s="224">
        <f t="shared" ref="M6:M31" si="6">J6</f>
        <v>3.4861206191069201E-2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0.1394448247642768</v>
      </c>
      <c r="Z6" s="156">
        <f>Poor!Z6</f>
        <v>0.17</v>
      </c>
      <c r="AA6" s="121">
        <f>$M6*Z6*4</f>
        <v>2.3705620209927059E-2</v>
      </c>
      <c r="AB6" s="156">
        <f>Poor!AB6</f>
        <v>0.17</v>
      </c>
      <c r="AC6" s="121">
        <f t="shared" ref="AC6:AC29" si="7">$M6*AB6*4</f>
        <v>2.3705620209927059E-2</v>
      </c>
      <c r="AD6" s="156">
        <f>Poor!AD6</f>
        <v>0.33</v>
      </c>
      <c r="AE6" s="121">
        <f t="shared" ref="AE6:AE29" si="8">$M6*AD6*4</f>
        <v>4.601679217221135E-2</v>
      </c>
      <c r="AF6" s="122">
        <f>1-SUM(Z6,AB6,AD6)</f>
        <v>0.32999999999999996</v>
      </c>
      <c r="AG6" s="121">
        <f>$M6*AF6*4</f>
        <v>4.6016792172211336E-2</v>
      </c>
      <c r="AH6" s="123">
        <f>SUM(Z6,AB6,AD6,AF6)</f>
        <v>1</v>
      </c>
      <c r="AI6" s="183">
        <f>SUM(AA6,AC6,AE6,AG6)/4</f>
        <v>3.4861206191069201E-2</v>
      </c>
      <c r="AJ6" s="120">
        <f>(AA6+AC6)/2</f>
        <v>2.3705620209927059E-2</v>
      </c>
      <c r="AK6" s="119">
        <f>(AE6+AG6)/2</f>
        <v>4.6016792172211343E-2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v>4.3246282245152111E-2</v>
      </c>
      <c r="C7" s="102">
        <v>0</v>
      </c>
      <c r="D7" s="24">
        <f t="shared" si="0"/>
        <v>4.3246282245152111E-2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2.1623141122576055E-2</v>
      </c>
      <c r="J7" s="24">
        <f t="shared" si="3"/>
        <v>2.1623141122576055E-2</v>
      </c>
      <c r="K7" s="22">
        <f t="shared" si="4"/>
        <v>4.3246282245152111E-2</v>
      </c>
      <c r="L7" s="22">
        <f t="shared" si="5"/>
        <v>2.1623141122576055E-2</v>
      </c>
      <c r="M7" s="224">
        <f t="shared" si="6"/>
        <v>2.1623141122576055E-2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2890.7355865918666</v>
      </c>
      <c r="S7" s="222">
        <f>IF($B$81=0,0,(SUMIF($N$6:$N$28,$U7,L$6:L$28)+SUMIF($N$91:$N$118,$U7,L$91:L$118))*$I$83*Poor!$B$81/$B$81)</f>
        <v>2162.2795083490259</v>
      </c>
      <c r="T7" s="222">
        <f>IF($B$81=0,0,(SUMIF($N$6:$N$28,$U7,M$6:M$28)+SUMIF($N$91:$N$118,$U7,M$91:M$118))*$I$83*Poor!$B$81/$B$81)</f>
        <v>1900.649292140301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8.6492564490304222E-2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8.6492564490304222E-2</v>
      </c>
      <c r="AH7" s="123">
        <f t="shared" ref="AH7:AH30" si="12">SUM(Z7,AB7,AD7,AF7)</f>
        <v>1</v>
      </c>
      <c r="AI7" s="183">
        <f t="shared" ref="AI7:AI30" si="13">SUM(AA7,AC7,AE7,AG7)/4</f>
        <v>2.1623141122576055E-2</v>
      </c>
      <c r="AJ7" s="120">
        <f t="shared" ref="AJ7:AJ31" si="14">(AA7+AC7)/2</f>
        <v>0</v>
      </c>
      <c r="AK7" s="119">
        <f t="shared" ref="AK7:AK31" si="15">(AE7+AG7)/2</f>
        <v>4.3246282245152111E-2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v>1.3055555555555556E-2</v>
      </c>
      <c r="C8" s="102">
        <v>0</v>
      </c>
      <c r="D8" s="24">
        <f t="shared" si="0"/>
        <v>1.3055555555555556E-2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1.3055555555555556E-2</v>
      </c>
      <c r="J8" s="24">
        <f t="shared" si="3"/>
        <v>1.3055555555555556E-2</v>
      </c>
      <c r="K8" s="22">
        <f t="shared" si="4"/>
        <v>1.3055555555555556E-2</v>
      </c>
      <c r="L8" s="22">
        <f t="shared" si="5"/>
        <v>1.3055555555555556E-2</v>
      </c>
      <c r="M8" s="224">
        <f t="shared" si="6"/>
        <v>1.3055555555555556E-2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10861.045216721113</v>
      </c>
      <c r="S8" s="222">
        <f>IF($B$81=0,0,(SUMIF($N$6:$N$28,$U8,L$6:L$28)+SUMIF($N$91:$N$118,$U8,L$91:L$118))*$I$83*Poor!$B$81/$B$81)</f>
        <v>10311.200000000001</v>
      </c>
      <c r="T8" s="222">
        <f>IF($B$81=0,0,(SUMIF($N$6:$N$28,$U8,M$6:M$28)+SUMIF($N$91:$N$118,$U8,M$91:M$118))*$I$83*Poor!$B$81/$B$81)</f>
        <v>10462.906419678706</v>
      </c>
      <c r="U8" s="223">
        <v>2</v>
      </c>
      <c r="V8" s="56"/>
      <c r="W8" s="115"/>
      <c r="X8" s="118">
        <f>Poor!X8</f>
        <v>1</v>
      </c>
      <c r="Y8" s="183">
        <f t="shared" si="9"/>
        <v>5.2222222222222225E-2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5.2222222222222225E-2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1.3055555555555556E-2</v>
      </c>
      <c r="AJ8" s="120">
        <f t="shared" si="14"/>
        <v>2.6111111111111113E-2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v>6.1736835082725483E-2</v>
      </c>
      <c r="C9" s="102">
        <v>0.23658281444582815</v>
      </c>
      <c r="D9" s="24">
        <f t="shared" si="0"/>
        <v>0.29831964952855361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0.32516841798612345</v>
      </c>
      <c r="J9" s="24">
        <f t="shared" si="3"/>
        <v>5.3092685524717451E-2</v>
      </c>
      <c r="K9" s="22">
        <f t="shared" si="4"/>
        <v>6.1736835082725483E-2</v>
      </c>
      <c r="L9" s="22">
        <f t="shared" si="5"/>
        <v>6.7293150240170782E-2</v>
      </c>
      <c r="M9" s="224">
        <f t="shared" si="6"/>
        <v>5.3092685524717451E-2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1916.6340270102087</v>
      </c>
      <c r="S9" s="222">
        <f>IF($B$81=0,0,(SUMIF($N$6:$N$28,$U9,L$6:L$28)+SUMIF($N$91:$N$118,$U9,L$91:L$118))*$I$83*Poor!$B$81/$B$81)</f>
        <v>778.81499159789894</v>
      </c>
      <c r="T9" s="222">
        <f>IF($B$81=0,0,(SUMIF($N$6:$N$28,$U9,M$6:M$28)+SUMIF($N$91:$N$118,$U9,M$91:M$118))*$I$83*Poor!$B$81/$B$81)</f>
        <v>778.81499159789894</v>
      </c>
      <c r="U9" s="223">
        <v>3</v>
      </c>
      <c r="V9" s="56"/>
      <c r="W9" s="115"/>
      <c r="X9" s="118">
        <f>Poor!X9</f>
        <v>1</v>
      </c>
      <c r="Y9" s="183">
        <f t="shared" si="9"/>
        <v>0.2123707420988698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0.2123707420988698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5.3092685524717451E-2</v>
      </c>
      <c r="AJ9" s="120">
        <f t="shared" si="14"/>
        <v>0.1061853710494349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v>2.230452339441381E-2</v>
      </c>
      <c r="C10" s="102">
        <v>-2.7354604162960331E-3</v>
      </c>
      <c r="D10" s="24">
        <f t="shared" si="0"/>
        <v>1.9569062978117776E-2</v>
      </c>
      <c r="E10" s="75">
        <f>Poor!E10</f>
        <v>0.8</v>
      </c>
      <c r="H10" s="24">
        <f t="shared" si="1"/>
        <v>0.8</v>
      </c>
      <c r="I10" s="22">
        <f t="shared" si="2"/>
        <v>1.5655250382494223E-2</v>
      </c>
      <c r="J10" s="24">
        <f t="shared" si="3"/>
        <v>1.7964125996315802E-2</v>
      </c>
      <c r="K10" s="22">
        <f t="shared" si="4"/>
        <v>2.230452339441381E-2</v>
      </c>
      <c r="L10" s="22">
        <f t="shared" si="5"/>
        <v>1.784361871553105E-2</v>
      </c>
      <c r="M10" s="224">
        <f t="shared" si="6"/>
        <v>1.7964125996315802E-2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7.1856503985263206E-2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7.1856503985263206E-2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1.7964125996315802E-2</v>
      </c>
      <c r="AJ10" s="120">
        <f t="shared" si="14"/>
        <v>3.5928251992631603E-2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101">
        <v>3.9828717310087171E-2</v>
      </c>
      <c r="C11" s="102">
        <v>0.10427895392278953</v>
      </c>
      <c r="D11" s="24">
        <f t="shared" si="0"/>
        <v>0.14410767123287671</v>
      </c>
      <c r="E11" s="75">
        <f>Poor!E11</f>
        <v>0.8</v>
      </c>
      <c r="H11" s="24">
        <f t="shared" si="1"/>
        <v>0.8</v>
      </c>
      <c r="I11" s="22">
        <f t="shared" si="2"/>
        <v>0.11528613698630137</v>
      </c>
      <c r="J11" s="24">
        <f t="shared" si="3"/>
        <v>2.7269095206853826E-2</v>
      </c>
      <c r="K11" s="22">
        <f t="shared" si="4"/>
        <v>3.9828717310087171E-2</v>
      </c>
      <c r="L11" s="22">
        <f t="shared" si="5"/>
        <v>3.1862973848069735E-2</v>
      </c>
      <c r="M11" s="224">
        <f t="shared" si="6"/>
        <v>2.7269095206853826E-2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21797.091177278024</v>
      </c>
      <c r="S11" s="222">
        <f>IF($B$81=0,0,(SUMIF($N$6:$N$28,$U11,L$6:L$28)+SUMIF($N$91:$N$118,$U11,L$91:L$118))*$I$83*Poor!$B$81/$B$81)</f>
        <v>16848.152380952375</v>
      </c>
      <c r="T11" s="222">
        <f>IF($B$81=0,0,(SUMIF($N$6:$N$28,$U11,M$6:M$28)+SUMIF($N$91:$N$118,$U11,M$91:M$118))*$I$83*Poor!$B$81/$B$81)</f>
        <v>16824.388531205841</v>
      </c>
      <c r="U11" s="223">
        <v>5</v>
      </c>
      <c r="V11" s="56"/>
      <c r="W11" s="115"/>
      <c r="X11" s="118">
        <f>Poor!X11</f>
        <v>1</v>
      </c>
      <c r="Y11" s="183">
        <f t="shared" si="9"/>
        <v>0.1090763808274153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0.1090763808274153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2.7269095206853826E-2</v>
      </c>
      <c r="AJ11" s="120">
        <f t="shared" si="14"/>
        <v>5.4538190413707652E-2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101">
        <v>3.2919453833837394E-3</v>
      </c>
      <c r="C12" s="102">
        <v>4.0711172389254583E-4</v>
      </c>
      <c r="D12" s="24">
        <f t="shared" si="0"/>
        <v>3.699057107276285E-3</v>
      </c>
      <c r="E12" s="75">
        <f>Poor!E12</f>
        <v>0.8</v>
      </c>
      <c r="H12" s="24">
        <f t="shared" si="1"/>
        <v>0.8</v>
      </c>
      <c r="I12" s="22">
        <f t="shared" si="2"/>
        <v>2.9592456858210281E-3</v>
      </c>
      <c r="J12" s="24">
        <f t="shared" si="3"/>
        <v>2.6156215098700067E-3</v>
      </c>
      <c r="K12" s="22">
        <f t="shared" si="4"/>
        <v>3.2919453833837394E-3</v>
      </c>
      <c r="L12" s="22">
        <f t="shared" si="5"/>
        <v>2.6335563067069918E-3</v>
      </c>
      <c r="M12" s="224">
        <f t="shared" si="6"/>
        <v>2.6156215098700067E-3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85.117058498518091</v>
      </c>
      <c r="S12" s="222">
        <f>IF($B$81=0,0,(SUMIF($N$6:$N$28,$U12,L$6:L$28)+SUMIF($N$91:$N$118,$U12,L$91:L$118))*$I$83*Poor!$B$81/$B$81)</f>
        <v>69.17381228253457</v>
      </c>
      <c r="T12" s="222">
        <f>IF($B$81=0,0,(SUMIF($N$6:$N$28,$U12,M$6:M$28)+SUMIF($N$91:$N$118,$U12,M$91:M$118))*$I$83*Poor!$B$81/$B$81)</f>
        <v>68.221510527176591</v>
      </c>
      <c r="U12" s="223">
        <v>6</v>
      </c>
      <c r="V12" s="56"/>
      <c r="W12" s="117"/>
      <c r="X12" s="118"/>
      <c r="Y12" s="183">
        <f t="shared" si="9"/>
        <v>1.0462486039480027E-2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7.0098656464516185E-3</v>
      </c>
      <c r="AF12" s="122">
        <f>1-SUM(Z12,AB12,AD12)</f>
        <v>0.32999999999999996</v>
      </c>
      <c r="AG12" s="121">
        <f>$M12*AF12*4</f>
        <v>3.4526203930284084E-3</v>
      </c>
      <c r="AH12" s="123">
        <f t="shared" si="12"/>
        <v>1</v>
      </c>
      <c r="AI12" s="183">
        <f t="shared" si="13"/>
        <v>2.6156215098700067E-3</v>
      </c>
      <c r="AJ12" s="120">
        <f t="shared" si="14"/>
        <v>0</v>
      </c>
      <c r="AK12" s="119">
        <f t="shared" si="15"/>
        <v>5.2312430197400134E-3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101">
        <v>4.1629603273438896E-4</v>
      </c>
      <c r="C13" s="102">
        <v>0</v>
      </c>
      <c r="D13" s="24">
        <f t="shared" si="0"/>
        <v>4.1629603273438896E-4</v>
      </c>
      <c r="E13" s="75">
        <f>Poor!E13</f>
        <v>0.8</v>
      </c>
      <c r="H13" s="24">
        <f t="shared" si="1"/>
        <v>0.8</v>
      </c>
      <c r="I13" s="22">
        <f t="shared" si="2"/>
        <v>3.3303682618751119E-4</v>
      </c>
      <c r="J13" s="24">
        <f t="shared" si="3"/>
        <v>3.3303682618751119E-4</v>
      </c>
      <c r="K13" s="22">
        <f t="shared" si="4"/>
        <v>4.1629603273438896E-4</v>
      </c>
      <c r="L13" s="22">
        <f t="shared" si="5"/>
        <v>3.3303682618751119E-4</v>
      </c>
      <c r="M13" s="225">
        <f t="shared" si="6"/>
        <v>3.3303682618751119E-4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59625.591349457311</v>
      </c>
      <c r="S13" s="222">
        <f>IF($B$81=0,0,(SUMIF($N$6:$N$28,$U13,L$6:L$28)+SUMIF($N$91:$N$118,$U13,L$91:L$118))*$I$83*Poor!$B$81/$B$81)</f>
        <v>53787.42857142858</v>
      </c>
      <c r="T13" s="222">
        <f>IF($B$81=0,0,(SUMIF($N$6:$N$28,$U13,M$6:M$28)+SUMIF($N$91:$N$118,$U13,M$91:M$118))*$I$83*Poor!$B$81/$B$81)</f>
        <v>53787.42857142858</v>
      </c>
      <c r="U13" s="223">
        <v>7</v>
      </c>
      <c r="V13" s="56"/>
      <c r="W13" s="110"/>
      <c r="X13" s="118"/>
      <c r="Y13" s="183">
        <f t="shared" si="9"/>
        <v>1.3321473047500447E-3</v>
      </c>
      <c r="Z13" s="156">
        <f>Poor!Z13</f>
        <v>1</v>
      </c>
      <c r="AA13" s="121">
        <f>$M13*Z13*4</f>
        <v>1.3321473047500447E-3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3.3303682618751119E-4</v>
      </c>
      <c r="AJ13" s="120">
        <f t="shared" si="14"/>
        <v>6.6607365237502237E-4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101">
        <v>1.7969498309909269E-2</v>
      </c>
      <c r="C14" s="102">
        <v>0</v>
      </c>
      <c r="D14" s="24">
        <f t="shared" si="0"/>
        <v>1.7969498309909269E-2</v>
      </c>
      <c r="E14" s="75">
        <f>Poor!E14</f>
        <v>0.8</v>
      </c>
      <c r="F14" s="22"/>
      <c r="H14" s="24">
        <f t="shared" si="1"/>
        <v>0.8</v>
      </c>
      <c r="I14" s="22">
        <f t="shared" si="2"/>
        <v>1.4375598647927416E-2</v>
      </c>
      <c r="J14" s="24">
        <f>IF(I$32&lt;=1+I131,I14,B14*H14+J$33*(I14-B14*H14))</f>
        <v>1.4375598647927416E-2</v>
      </c>
      <c r="K14" s="22">
        <f t="shared" si="4"/>
        <v>1.7969498309909269E-2</v>
      </c>
      <c r="L14" s="22">
        <f t="shared" si="5"/>
        <v>1.4375598647927416E-2</v>
      </c>
      <c r="M14" s="225">
        <f t="shared" si="6"/>
        <v>1.4375598647927416E-2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28209.654775238527</v>
      </c>
      <c r="S14" s="222">
        <f>IF($B$81=0,0,(SUMIF($N$6:$N$28,$U14,L$6:L$28)+SUMIF($N$91:$N$118,$U14,L$91:L$118))*$I$83*Poor!$B$81/$B$81)</f>
        <v>23451.657142857144</v>
      </c>
      <c r="T14" s="222">
        <f>IF($B$81=0,0,(SUMIF($N$6:$N$28,$U14,M$6:M$28)+SUMIF($N$91:$N$118,$U14,M$91:M$118))*$I$83*Poor!$B$81/$B$81)</f>
        <v>23451.657142857144</v>
      </c>
      <c r="U14" s="223">
        <v>8</v>
      </c>
      <c r="V14" s="56"/>
      <c r="W14" s="110"/>
      <c r="X14" s="118"/>
      <c r="Y14" s="183">
        <f>M14*4</f>
        <v>5.7502394591709666E-2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5.7502394591709666E-2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1.4375598647927416E-2</v>
      </c>
      <c r="AJ14" s="120">
        <f t="shared" si="14"/>
        <v>2.8751197295854833E-2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101">
        <v>0</v>
      </c>
      <c r="C15" s="102">
        <v>0</v>
      </c>
      <c r="D15" s="24">
        <f t="shared" si="0"/>
        <v>0</v>
      </c>
      <c r="E15" s="75">
        <f>Poor!E15</f>
        <v>0.8</v>
      </c>
      <c r="F15" s="22"/>
      <c r="H15" s="24">
        <f t="shared" si="1"/>
        <v>0.8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1171.8866224343024</v>
      </c>
      <c r="S15" s="222">
        <f>IF($B$81=0,0,(SUMIF($N$6:$N$28,$U15,L$6:L$28)+SUMIF($N$91:$N$118,$U15,L$91:L$118))*$I$83*Poor!$B$81/$B$81)</f>
        <v>1123.8095238095236</v>
      </c>
      <c r="T15" s="222">
        <f>IF($B$81=0,0,(SUMIF($N$6:$N$28,$U15,M$6:M$28)+SUMIF($N$91:$N$118,$U15,M$91:M$118))*$I$83*Poor!$B$81/$B$81)</f>
        <v>1123.8095238095236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101">
        <v>7.7619640633339265E-4</v>
      </c>
      <c r="C16" s="102">
        <v>1.4899484077566266E-4</v>
      </c>
      <c r="D16" s="24">
        <f t="shared" si="0"/>
        <v>9.2519124710905534E-4</v>
      </c>
      <c r="E16" s="75">
        <f>Poor!E16</f>
        <v>0.8</v>
      </c>
      <c r="F16" s="22"/>
      <c r="H16" s="24">
        <f t="shared" si="1"/>
        <v>0.8</v>
      </c>
      <c r="I16" s="22">
        <f t="shared" si="2"/>
        <v>7.4015299768724434E-4</v>
      </c>
      <c r="J16" s="24">
        <f>IF(I$32&lt;=1+I131,I16,B16*H16+J$33*(I16-B16*H16))</f>
        <v>6.1439334406448553E-4</v>
      </c>
      <c r="K16" s="22">
        <f t="shared" si="4"/>
        <v>7.7619640633339265E-4</v>
      </c>
      <c r="L16" s="22">
        <f t="shared" si="5"/>
        <v>6.2095712506671414E-4</v>
      </c>
      <c r="M16" s="224">
        <f t="shared" si="6"/>
        <v>6.1439334406448553E-4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2.4575733762579421E-3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2.4575733762579421E-3</v>
      </c>
      <c r="AH16" s="123">
        <f t="shared" si="12"/>
        <v>1</v>
      </c>
      <c r="AI16" s="183">
        <f t="shared" si="13"/>
        <v>6.1439334406448553E-4</v>
      </c>
      <c r="AJ16" s="120">
        <f t="shared" si="14"/>
        <v>0</v>
      </c>
      <c r="AK16" s="119">
        <f t="shared" si="15"/>
        <v>1.2287866881289711E-3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101">
        <v>3.7118341932040563E-3</v>
      </c>
      <c r="C17" s="102">
        <v>1.6138409535669819E-4</v>
      </c>
      <c r="D17" s="24">
        <f t="shared" si="0"/>
        <v>3.8732182885607546E-3</v>
      </c>
      <c r="E17" s="75">
        <f>Poor!E17</f>
        <v>0.8</v>
      </c>
      <c r="F17" s="22"/>
      <c r="H17" s="24">
        <f t="shared" si="1"/>
        <v>0.8</v>
      </c>
      <c r="I17" s="22">
        <f t="shared" si="2"/>
        <v>3.098574630848604E-3</v>
      </c>
      <c r="J17" s="24">
        <f t="shared" ref="J17:J25" si="17">IF(I$32&lt;=1+I131,I17,B17*H17+J$33*(I17-B17*H17))</f>
        <v>2.9623577804756491E-3</v>
      </c>
      <c r="K17" s="22">
        <f t="shared" si="4"/>
        <v>3.7118341932040563E-3</v>
      </c>
      <c r="L17" s="22">
        <f t="shared" si="5"/>
        <v>2.969467354563245E-3</v>
      </c>
      <c r="M17" s="225">
        <f t="shared" si="6"/>
        <v>2.9623577804756491E-3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1.1849431121902596E-2</v>
      </c>
      <c r="Z17" s="156">
        <f>Poor!Z17</f>
        <v>0.29409999999999997</v>
      </c>
      <c r="AA17" s="121">
        <f t="shared" si="16"/>
        <v>3.484917692951553E-3</v>
      </c>
      <c r="AB17" s="156">
        <f>Poor!AB17</f>
        <v>0.17649999999999999</v>
      </c>
      <c r="AC17" s="121">
        <f t="shared" si="7"/>
        <v>2.091424593015808E-3</v>
      </c>
      <c r="AD17" s="156">
        <f>Poor!AD17</f>
        <v>0.23530000000000001</v>
      </c>
      <c r="AE17" s="121">
        <f t="shared" si="8"/>
        <v>2.7881711429836812E-3</v>
      </c>
      <c r="AF17" s="122">
        <f t="shared" si="10"/>
        <v>0.29410000000000003</v>
      </c>
      <c r="AG17" s="121">
        <f t="shared" si="11"/>
        <v>3.4849176929515539E-3</v>
      </c>
      <c r="AH17" s="123">
        <f t="shared" si="12"/>
        <v>1</v>
      </c>
      <c r="AI17" s="183">
        <f t="shared" si="13"/>
        <v>2.9623577804756491E-3</v>
      </c>
      <c r="AJ17" s="120">
        <f t="shared" si="14"/>
        <v>2.7881711429836803E-3</v>
      </c>
      <c r="AK17" s="119">
        <f t="shared" si="15"/>
        <v>3.1365444179676178E-3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Sweet Potatoes: kg produced</v>
      </c>
      <c r="B18" s="101">
        <v>2.4844333748443334E-3</v>
      </c>
      <c r="C18" s="102">
        <v>0</v>
      </c>
      <c r="D18" s="24">
        <f t="shared" ref="D18:D25" si="18">(B18+C18)</f>
        <v>2.4844333748443334E-3</v>
      </c>
      <c r="E18" s="75">
        <f>Poor!E18</f>
        <v>0.8</v>
      </c>
      <c r="F18" s="22"/>
      <c r="H18" s="24">
        <f t="shared" ref="H18:H25" si="19">(E18*F$7/F$9)</f>
        <v>0.8</v>
      </c>
      <c r="I18" s="22">
        <f t="shared" ref="I18:I25" si="20">(D18*H18)</f>
        <v>1.9875466998754668E-3</v>
      </c>
      <c r="J18" s="24">
        <f t="shared" si="17"/>
        <v>1.9875466998754668E-3</v>
      </c>
      <c r="K18" s="22">
        <f t="shared" ref="K18:K25" si="21">B18</f>
        <v>2.4844333748443334E-3</v>
      </c>
      <c r="L18" s="22">
        <f t="shared" ref="L18:L25" si="22">IF(K18="","",K18*H18)</f>
        <v>1.9875466998754668E-3</v>
      </c>
      <c r="M18" s="225">
        <f t="shared" ref="M18:M25" si="23">J18</f>
        <v>1.9875466998754668E-3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2307.4028516274425</v>
      </c>
      <c r="S18" s="222">
        <f>IF($B$81=0,0,(SUMIF($N$6:$N$28,$U18,L$6:L$28)+SUMIF($N$91:$N$118,$U18,L$91:L$118))*$I$83*Poor!$B$81/$B$81)</f>
        <v>1875.2040370549289</v>
      </c>
      <c r="T18" s="222">
        <f>IF($B$81=0,0,(SUMIF($N$6:$N$28,$U18,M$6:M$28)+SUMIF($N$91:$N$118,$U18,M$91:M$118))*$I$83*Poor!$B$81/$B$81)</f>
        <v>1875.2040370549289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Amadumbe: kg produced</v>
      </c>
      <c r="B19" s="101">
        <v>4.8075668623613821E-3</v>
      </c>
      <c r="C19" s="102">
        <v>6.118721461187214E-3</v>
      </c>
      <c r="D19" s="24">
        <f t="shared" si="18"/>
        <v>1.0926288323548597E-2</v>
      </c>
      <c r="E19" s="75">
        <f>Poor!E19</f>
        <v>0.8</v>
      </c>
      <c r="F19" s="22"/>
      <c r="H19" s="24">
        <f t="shared" si="19"/>
        <v>0.8</v>
      </c>
      <c r="I19" s="22">
        <f t="shared" si="20"/>
        <v>8.7410306588388779E-3</v>
      </c>
      <c r="J19" s="24">
        <f t="shared" si="17"/>
        <v>3.5765008833975828E-3</v>
      </c>
      <c r="K19" s="22">
        <f t="shared" si="21"/>
        <v>4.8075668623613821E-3</v>
      </c>
      <c r="L19" s="22">
        <f t="shared" si="22"/>
        <v>3.8460534898891057E-3</v>
      </c>
      <c r="M19" s="225">
        <f t="shared" si="23"/>
        <v>3.5765008833975828E-3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Green Pepper/ Brinjal / Beetroot: kg produced</v>
      </c>
      <c r="B20" s="101">
        <v>0</v>
      </c>
      <c r="C20" s="102">
        <v>0</v>
      </c>
      <c r="D20" s="24">
        <f t="shared" si="18"/>
        <v>0</v>
      </c>
      <c r="E20" s="75">
        <f>Poor!E20</f>
        <v>0.8</v>
      </c>
      <c r="F20" s="22"/>
      <c r="H20" s="24">
        <f t="shared" si="19"/>
        <v>0.8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9343.217663344205</v>
      </c>
      <c r="S20" s="222">
        <f>IF($B$81=0,0,(SUMIF($N$6:$N$28,$U20,L$6:L$28)+SUMIF($N$91:$N$118,$U20,L$91:L$118))*$I$83*Poor!$B$81/$B$81)</f>
        <v>8959.9085714285702</v>
      </c>
      <c r="T20" s="222">
        <f>IF($B$81=0,0,(SUMIF($N$6:$N$28,$U20,M$6:M$28)+SUMIF($N$91:$N$118,$U20,M$91:M$118))*$I$83*Poor!$B$81/$B$81)</f>
        <v>8959.9085714285702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FISHING -- see worksheet Data 3</v>
      </c>
      <c r="B21" s="101">
        <v>5.0169009073118666E-3</v>
      </c>
      <c r="C21" s="102">
        <v>1.2542252268279649E-3</v>
      </c>
      <c r="D21" s="24">
        <f t="shared" si="18"/>
        <v>6.2711261341398313E-3</v>
      </c>
      <c r="E21" s="75">
        <f>Poor!E21</f>
        <v>1</v>
      </c>
      <c r="F21" s="22"/>
      <c r="H21" s="24">
        <f t="shared" si="19"/>
        <v>1</v>
      </c>
      <c r="I21" s="22">
        <f t="shared" si="20"/>
        <v>6.2711261341398313E-3</v>
      </c>
      <c r="J21" s="24">
        <f t="shared" si="17"/>
        <v>4.9478342564675207E-3</v>
      </c>
      <c r="K21" s="22">
        <f t="shared" si="21"/>
        <v>5.0169009073118666E-3</v>
      </c>
      <c r="L21" s="22">
        <f t="shared" si="22"/>
        <v>5.0169009073118666E-3</v>
      </c>
      <c r="M21" s="225">
        <f t="shared" si="23"/>
        <v>4.9478342564675207E-3</v>
      </c>
      <c r="N21" s="229">
        <v>6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6257.8745637991742</v>
      </c>
      <c r="S21" s="222">
        <f>IF($B$81=0,0,(SUMIF($N$6:$N$28,$U21,L$6:L$28)+SUMIF($N$91:$N$118,$U21,L$91:L$118))*$I$83*Poor!$B$81/$B$81)</f>
        <v>5645.1428571428569</v>
      </c>
      <c r="T21" s="222">
        <f>IF($B$81=0,0,(SUMIF($N$6:$N$28,$U21,M$6:M$28)+SUMIF($N$91:$N$118,$U21,M$91:M$118))*$I$83*Poor!$B$81/$B$81)</f>
        <v>5645.1428571428569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WILD FOODS -- see worksheet Data 3</v>
      </c>
      <c r="B22" s="101">
        <v>0</v>
      </c>
      <c r="C22" s="102"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6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v>0</v>
      </c>
      <c r="C23" s="102"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144466.25089200071</v>
      </c>
      <c r="S23" s="179">
        <f>SUM(S7:S22)</f>
        <v>125012.77139690344</v>
      </c>
      <c r="T23" s="179">
        <f>SUM(T7:T22)</f>
        <v>124878.13144887153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v>0</v>
      </c>
      <c r="C24" s="102"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31035.99249196376</v>
      </c>
      <c r="S24" s="41">
        <f>IF($B$81=0,0,(SUM(($B$70*$H$70))+((1-$D$29)*$I$83))*Poor!$B$81/$B$81)</f>
        <v>31035.99249196376</v>
      </c>
      <c r="T24" s="41">
        <f>IF($B$81=0,0,(SUM(($B$70*$H$70))+((1-$D$29)*$I$83))*Poor!$B$81/$B$81)</f>
        <v>31035.99249196376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v>0</v>
      </c>
      <c r="C25" s="102"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47999.934714185954</v>
      </c>
      <c r="S25" s="41">
        <f>IF($B$81=0,0,(SUM(($B$70*$H$70),($B$71*$H$71))+((1-$D$29)*$I$83))*Poor!$B$81/$B$81)</f>
        <v>47999.934714185954</v>
      </c>
      <c r="T25" s="41">
        <f>IF($B$81=0,0,(SUM(($B$70*$H$70),($B$71*$H$71))+((1-$D$29)*$I$83))*Poor!$B$81/$B$81)</f>
        <v>47999.934714185954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v>0.1360010750379167</v>
      </c>
      <c r="C26" s="102">
        <v>0</v>
      </c>
      <c r="D26" s="24">
        <f t="shared" si="0"/>
        <v>0.1360010750379167</v>
      </c>
      <c r="E26" s="75">
        <f>Poor!E26</f>
        <v>1</v>
      </c>
      <c r="F26" s="22"/>
      <c r="H26" s="24">
        <f t="shared" si="1"/>
        <v>1</v>
      </c>
      <c r="I26" s="22">
        <f t="shared" si="2"/>
        <v>0.1360010750379167</v>
      </c>
      <c r="J26" s="24">
        <f>IF(I$32&lt;=1+I131,I26,B26*H26+J$33*(I26-B26*H26))</f>
        <v>0.1360010750379167</v>
      </c>
      <c r="K26" s="22">
        <f t="shared" si="4"/>
        <v>0.1360010750379167</v>
      </c>
      <c r="L26" s="22">
        <f t="shared" si="5"/>
        <v>0.1360010750379167</v>
      </c>
      <c r="M26" s="224">
        <f t="shared" si="6"/>
        <v>0.1360010750379167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79373.774714185958</v>
      </c>
      <c r="S26" s="41">
        <f>IF($B$81=0,0,(SUM(($B$70*$H$70),($B$71*$H$71),($B$72*$H$72))+((1-$D$29)*$I$83))*Poor!$B$81/$B$81)</f>
        <v>79373.774714185958</v>
      </c>
      <c r="T26" s="41">
        <f>IF($B$81=0,0,(SUM(($B$70*$H$70),($B$71*$H$71),($B$72*$H$72))+((1-$D$29)*$I$83))*Poor!$B$81/$B$81)</f>
        <v>79373.774714185958</v>
      </c>
      <c r="U26" s="56"/>
      <c r="V26" s="56"/>
      <c r="W26" s="110"/>
      <c r="X26" s="118"/>
      <c r="Y26" s="183">
        <f t="shared" si="9"/>
        <v>0.54400430015166679</v>
      </c>
      <c r="Z26" s="156">
        <f>Poor!Z26</f>
        <v>0.25</v>
      </c>
      <c r="AA26" s="121">
        <f t="shared" si="16"/>
        <v>0.1360010750379167</v>
      </c>
      <c r="AB26" s="156">
        <f>Poor!AB26</f>
        <v>0.25</v>
      </c>
      <c r="AC26" s="121">
        <f t="shared" si="7"/>
        <v>0.1360010750379167</v>
      </c>
      <c r="AD26" s="156">
        <f>Poor!AD26</f>
        <v>0.25</v>
      </c>
      <c r="AE26" s="121">
        <f t="shared" si="8"/>
        <v>0.1360010750379167</v>
      </c>
      <c r="AF26" s="122">
        <f t="shared" si="10"/>
        <v>0.25</v>
      </c>
      <c r="AG26" s="121">
        <f t="shared" si="11"/>
        <v>0.1360010750379167</v>
      </c>
      <c r="AH26" s="123">
        <f t="shared" si="12"/>
        <v>1</v>
      </c>
      <c r="AI26" s="183">
        <f t="shared" si="13"/>
        <v>0.1360010750379167</v>
      </c>
      <c r="AJ26" s="120">
        <f t="shared" si="14"/>
        <v>0.1360010750379167</v>
      </c>
      <c r="AK26" s="119">
        <f t="shared" si="15"/>
        <v>0.1360010750379167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v>5.1119303326810188E-2</v>
      </c>
      <c r="C27" s="102">
        <v>-5.1119303326810188E-2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5.3934299388728256E-2</v>
      </c>
      <c r="K27" s="22">
        <f t="shared" si="4"/>
        <v>5.1119303326810188E-2</v>
      </c>
      <c r="L27" s="22">
        <f t="shared" si="5"/>
        <v>5.1119303326810188E-2</v>
      </c>
      <c r="M27" s="226">
        <f t="shared" si="6"/>
        <v>5.3934299388728256E-2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0.21573719755491302</v>
      </c>
      <c r="Z27" s="156">
        <f>Poor!Z27</f>
        <v>0.25</v>
      </c>
      <c r="AA27" s="121">
        <f t="shared" si="16"/>
        <v>5.3934299388728256E-2</v>
      </c>
      <c r="AB27" s="156">
        <f>Poor!AB27</f>
        <v>0.25</v>
      </c>
      <c r="AC27" s="121">
        <f t="shared" si="7"/>
        <v>5.3934299388728256E-2</v>
      </c>
      <c r="AD27" s="156">
        <f>Poor!AD27</f>
        <v>0.25</v>
      </c>
      <c r="AE27" s="121">
        <f t="shared" si="8"/>
        <v>5.3934299388728256E-2</v>
      </c>
      <c r="AF27" s="122">
        <f t="shared" si="10"/>
        <v>0.25</v>
      </c>
      <c r="AG27" s="121">
        <f t="shared" si="11"/>
        <v>5.3934299388728256E-2</v>
      </c>
      <c r="AH27" s="123">
        <f t="shared" si="12"/>
        <v>1</v>
      </c>
      <c r="AI27" s="183">
        <f t="shared" si="13"/>
        <v>5.3934299388728256E-2</v>
      </c>
      <c r="AJ27" s="120">
        <f t="shared" si="14"/>
        <v>5.3934299388728256E-2</v>
      </c>
      <c r="AK27" s="119">
        <f t="shared" si="15"/>
        <v>5.3934299388728256E-2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v>0</v>
      </c>
      <c r="C28" s="102"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v>0.25821738299946628</v>
      </c>
      <c r="C29" s="102">
        <v>-3.3469683914950331E-2</v>
      </c>
      <c r="D29" s="24">
        <f t="shared" si="0"/>
        <v>0.22474769908451595</v>
      </c>
      <c r="E29" s="75">
        <f>Poor!E29</f>
        <v>1</v>
      </c>
      <c r="F29" s="22"/>
      <c r="H29" s="24">
        <f t="shared" si="1"/>
        <v>1</v>
      </c>
      <c r="I29" s="22">
        <f t="shared" si="2"/>
        <v>0.22474769908451595</v>
      </c>
      <c r="J29" s="24">
        <f>IF(I$32&lt;=1+I131,I29,B29*H29+J$33*(I29-B29*H29))</f>
        <v>0.26006046422872109</v>
      </c>
      <c r="K29" s="22">
        <f t="shared" si="4"/>
        <v>0.25821738299946628</v>
      </c>
      <c r="L29" s="22">
        <f t="shared" si="5"/>
        <v>0.25821738299946628</v>
      </c>
      <c r="M29" s="224">
        <f t="shared" si="6"/>
        <v>0.26006046422872109</v>
      </c>
      <c r="N29" s="229"/>
      <c r="P29" s="22"/>
      <c r="V29" s="56"/>
      <c r="W29" s="110"/>
      <c r="X29" s="118"/>
      <c r="Y29" s="183">
        <f t="shared" si="9"/>
        <v>1.0402418569148844</v>
      </c>
      <c r="Z29" s="156">
        <f>Poor!Z29</f>
        <v>0.25</v>
      </c>
      <c r="AA29" s="121">
        <f t="shared" si="16"/>
        <v>0.26006046422872109</v>
      </c>
      <c r="AB29" s="156">
        <f>Poor!AB29</f>
        <v>0.25</v>
      </c>
      <c r="AC29" s="121">
        <f t="shared" si="7"/>
        <v>0.26006046422872109</v>
      </c>
      <c r="AD29" s="156">
        <f>Poor!AD29</f>
        <v>0.25</v>
      </c>
      <c r="AE29" s="121">
        <f t="shared" si="8"/>
        <v>0.26006046422872109</v>
      </c>
      <c r="AF29" s="122">
        <f t="shared" si="10"/>
        <v>0.25</v>
      </c>
      <c r="AG29" s="121">
        <f t="shared" si="11"/>
        <v>0.26006046422872109</v>
      </c>
      <c r="AH29" s="123">
        <f t="shared" si="12"/>
        <v>1</v>
      </c>
      <c r="AI29" s="183">
        <f t="shared" si="13"/>
        <v>0.26006046422872109</v>
      </c>
      <c r="AJ29" s="120">
        <f t="shared" si="14"/>
        <v>0.26006046422872109</v>
      </c>
      <c r="AK29" s="119">
        <f t="shared" si="15"/>
        <v>0.26006046422872109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0.63059345561288027</v>
      </c>
      <c r="C30" s="103"/>
      <c r="D30" s="24">
        <f>(D119-B124)</f>
        <v>6.9188975333407541</v>
      </c>
      <c r="E30" s="75">
        <f>Poor!E30</f>
        <v>1</v>
      </c>
      <c r="H30" s="96">
        <f>(E30*F$7/F$9)</f>
        <v>1</v>
      </c>
      <c r="I30" s="29">
        <f>IF(E30&gt;=1,I119-I124,MIN(I119-I124,B30*H30))</f>
        <v>7.0681834339670546</v>
      </c>
      <c r="J30" s="231">
        <f>IF(I$32&lt;=1,I30,1-SUM(J6:J29))</f>
        <v>0.35072546179928032</v>
      </c>
      <c r="K30" s="22">
        <f t="shared" si="4"/>
        <v>0.63059345561288027</v>
      </c>
      <c r="L30" s="22">
        <f>IF(L124=L119,0,IF(K30="",0,(L119-L124)/(B119-B124)*K30))</f>
        <v>0.6485250220488773</v>
      </c>
      <c r="M30" s="175">
        <f t="shared" si="6"/>
        <v>0.35072546179928032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1.4029018471971213</v>
      </c>
      <c r="Z30" s="122">
        <f>IF($Y30=0,0,AA30/($Y$30))</f>
        <v>5.4141796986715465E-2</v>
      </c>
      <c r="AA30" s="187">
        <f>IF(AA79*4/$I$84+SUM(AA6:AA29)&lt;1,AA79*4/$I$84,1-SUM(AA6:AA29))</f>
        <v>7.595562700323466E-2</v>
      </c>
      <c r="AB30" s="122">
        <f>IF($Y30=0,0,AC30/($Y$30))</f>
        <v>0.33267097258615613</v>
      </c>
      <c r="AC30" s="187">
        <f>IF(AC79*4/$I$84+SUM(AC6:AC29)&lt;1,AC79*4/$I$84,1-SUM(AC6:AC29))</f>
        <v>0.46670472194998136</v>
      </c>
      <c r="AD30" s="122">
        <f>IF($Y30=0,0,AE30/($Y$30))</f>
        <v>0.35226222944273378</v>
      </c>
      <c r="AE30" s="187">
        <f>IF(AE79*4/$I$84+SUM(AE6:AE29)&lt;1,AE79*4/$I$84,1-SUM(AE6:AE29))</f>
        <v>0.49418933238298735</v>
      </c>
      <c r="AF30" s="122">
        <f>IF($Y30=0,0,AG30/($Y$30))</f>
        <v>0.2908968250595928</v>
      </c>
      <c r="AG30" s="187">
        <f>IF(AG79*4/$I$84+SUM(AG6:AG29)&lt;1,AG79*4/$I$84,1-SUM(AG6:AG29))</f>
        <v>0.4080996932198806</v>
      </c>
      <c r="AH30" s="123">
        <f t="shared" si="12"/>
        <v>1.0299718240751981</v>
      </c>
      <c r="AI30" s="183">
        <f t="shared" si="13"/>
        <v>0.36123734363902099</v>
      </c>
      <c r="AJ30" s="120">
        <f t="shared" si="14"/>
        <v>0.27133017447660801</v>
      </c>
      <c r="AK30" s="119">
        <f t="shared" si="15"/>
        <v>0.45114451280143397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-0.31218554644357122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1.3643002144172285</v>
      </c>
      <c r="C32" s="77">
        <f>SUM(C6:C31)</f>
        <v>0.26162775805860128</v>
      </c>
      <c r="D32" s="24">
        <f>SUM(D6:D30)</f>
        <v>7.9142320502037036</v>
      </c>
      <c r="E32" s="2"/>
      <c r="F32" s="2"/>
      <c r="H32" s="17"/>
      <c r="I32" s="22">
        <f>SUM(I6:I30)</f>
        <v>7.9930882285949334</v>
      </c>
      <c r="J32" s="17"/>
      <c r="L32" s="22">
        <f>SUM(L6:L30)</f>
        <v>1.3121855464435712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3.9579524726410371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-5.5067183602279392E-2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v>12000</v>
      </c>
      <c r="C37" s="104">
        <v>-1333.3333333333333</v>
      </c>
      <c r="D37" s="38">
        <f t="shared" ref="D37:D64" si="25">B37+C37</f>
        <v>10666.666666666666</v>
      </c>
      <c r="E37" s="75">
        <f>Poor!E37</f>
        <v>0.8</v>
      </c>
      <c r="F37" s="75">
        <f>Poor!F37</f>
        <v>1.18</v>
      </c>
      <c r="G37" s="75">
        <f>Poor!G37</f>
        <v>1</v>
      </c>
      <c r="H37" s="24">
        <f t="shared" ref="H37" si="26">(E37*F37)</f>
        <v>0.94399999999999995</v>
      </c>
      <c r="I37" s="39">
        <f t="shared" ref="I37" si="27">D37*H37</f>
        <v>10069.333333333332</v>
      </c>
      <c r="J37" s="38">
        <f>J91*I$83</f>
        <v>11397.311228427401</v>
      </c>
      <c r="K37" s="40">
        <f>(B37/B$65)</f>
        <v>0.12293738389247078</v>
      </c>
      <c r="L37" s="22">
        <f t="shared" ref="L37" si="28">(K37*H37)</f>
        <v>0.1160528903944924</v>
      </c>
      <c r="M37" s="24">
        <f>J37/B$65</f>
        <v>0.11676296881926226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11397.311228427401</v>
      </c>
      <c r="AH37" s="123">
        <f>SUM(Z37,AB37,AD37,AF37)</f>
        <v>1</v>
      </c>
      <c r="AI37" s="112">
        <f>SUM(AA37,AC37,AE37,AG37)</f>
        <v>11397.311228427401</v>
      </c>
      <c r="AJ37" s="148">
        <f>(AA37+AC37)</f>
        <v>0</v>
      </c>
      <c r="AK37" s="147">
        <f>(AE37+AG37)</f>
        <v>11397.311228427401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v>2500</v>
      </c>
      <c r="C38" s="104">
        <v>1733.3333333333333</v>
      </c>
      <c r="D38" s="38">
        <f t="shared" si="25"/>
        <v>4233.333333333333</v>
      </c>
      <c r="E38" s="75">
        <f>Poor!E38</f>
        <v>0.8</v>
      </c>
      <c r="F38" s="75">
        <f>Poor!F38</f>
        <v>1.18</v>
      </c>
      <c r="G38" s="75">
        <f>Poor!G38</f>
        <v>1</v>
      </c>
      <c r="H38" s="24">
        <f t="shared" ref="H38:H64" si="30">(E38*F38)</f>
        <v>0.94399999999999995</v>
      </c>
      <c r="I38" s="39">
        <f t="shared" ref="I38:I64" si="31">D38*H38</f>
        <v>3996.266666666666</v>
      </c>
      <c r="J38" s="38">
        <f t="shared" ref="J38:J64" si="32">J92*I$83</f>
        <v>2269.8954030443765</v>
      </c>
      <c r="K38" s="40">
        <f t="shared" ref="K38:K64" si="33">(B38/B$65)</f>
        <v>2.5611954977598078E-2</v>
      </c>
      <c r="L38" s="22">
        <f t="shared" ref="L38:L64" si="34">(K38*H38)</f>
        <v>2.4177685498852585E-2</v>
      </c>
      <c r="M38" s="24">
        <f t="shared" ref="M38:M64" si="35">J38/B$65</f>
        <v>2.3254583546651768E-2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2269.8954030443765</v>
      </c>
      <c r="AH38" s="123">
        <f t="shared" ref="AH38:AI58" si="37">SUM(Z38,AB38,AD38,AF38)</f>
        <v>1</v>
      </c>
      <c r="AI38" s="112">
        <f t="shared" si="37"/>
        <v>2269.8954030443765</v>
      </c>
      <c r="AJ38" s="148">
        <f t="shared" ref="AJ38:AJ64" si="38">(AA38+AC38)</f>
        <v>0</v>
      </c>
      <c r="AK38" s="147">
        <f t="shared" ref="AK38:AK64" si="39">(AE38+AG38)</f>
        <v>2269.8954030443765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v>533.33333333333337</v>
      </c>
      <c r="C39" s="104">
        <v>0</v>
      </c>
      <c r="D39" s="38">
        <f t="shared" si="25"/>
        <v>533.33333333333337</v>
      </c>
      <c r="E39" s="75">
        <f>Poor!E39</f>
        <v>0.8</v>
      </c>
      <c r="F39" s="75">
        <f>Poor!F39</f>
        <v>1.18</v>
      </c>
      <c r="G39" s="75">
        <f>Poor!G39</f>
        <v>1</v>
      </c>
      <c r="H39" s="24">
        <f t="shared" si="30"/>
        <v>0.94399999999999995</v>
      </c>
      <c r="I39" s="39">
        <f t="shared" si="31"/>
        <v>503.4666666666667</v>
      </c>
      <c r="J39" s="38">
        <f t="shared" si="32"/>
        <v>503.4666666666667</v>
      </c>
      <c r="K39" s="40">
        <f t="shared" si="33"/>
        <v>5.463883728554257E-3</v>
      </c>
      <c r="L39" s="22">
        <f t="shared" si="34"/>
        <v>5.1579062397552186E-3</v>
      </c>
      <c r="M39" s="24">
        <f t="shared" si="35"/>
        <v>5.1579062397552186E-3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503.4666666666667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503.4666666666667</v>
      </c>
      <c r="AJ39" s="148">
        <f t="shared" si="38"/>
        <v>503.4666666666667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v>466.66666666666669</v>
      </c>
      <c r="C40" s="104">
        <v>0</v>
      </c>
      <c r="D40" s="38">
        <f t="shared" si="25"/>
        <v>466.66666666666669</v>
      </c>
      <c r="E40" s="75">
        <f>Poor!E40</f>
        <v>1</v>
      </c>
      <c r="F40" s="75">
        <f>Poor!F40</f>
        <v>1.18</v>
      </c>
      <c r="G40" s="75">
        <f>Poor!G40</f>
        <v>1</v>
      </c>
      <c r="H40" s="24">
        <f t="shared" si="30"/>
        <v>1.18</v>
      </c>
      <c r="I40" s="39">
        <f t="shared" si="31"/>
        <v>550.66666666666663</v>
      </c>
      <c r="J40" s="38">
        <f t="shared" si="32"/>
        <v>550.66666666666663</v>
      </c>
      <c r="K40" s="40">
        <f t="shared" si="33"/>
        <v>4.7808982624849752E-3</v>
      </c>
      <c r="L40" s="22">
        <f t="shared" si="34"/>
        <v>5.64145994973227E-3</v>
      </c>
      <c r="M40" s="24">
        <f t="shared" si="35"/>
        <v>5.64145994973227E-3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550.66666666666663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550.66666666666663</v>
      </c>
      <c r="AJ40" s="148">
        <f t="shared" si="38"/>
        <v>550.66666666666663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v>916.66666666666663</v>
      </c>
      <c r="C41" s="104">
        <v>-916.66666666666663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</v>
      </c>
      <c r="H41" s="24">
        <f t="shared" si="30"/>
        <v>1.526</v>
      </c>
      <c r="I41" s="39">
        <f t="shared" si="31"/>
        <v>0</v>
      </c>
      <c r="J41" s="38">
        <f t="shared" si="32"/>
        <v>1475.8631453289884</v>
      </c>
      <c r="K41" s="40">
        <f t="shared" si="33"/>
        <v>9.3910501584526292E-3</v>
      </c>
      <c r="L41" s="22">
        <f t="shared" si="34"/>
        <v>1.4330742541798712E-2</v>
      </c>
      <c r="M41" s="24">
        <f t="shared" si="35"/>
        <v>1.5119896172504936E-2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1475.8631453289884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1475.8631453289884</v>
      </c>
      <c r="AJ41" s="148">
        <f t="shared" si="38"/>
        <v>1475.8631453289884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v>5816.666666666667</v>
      </c>
      <c r="C42" s="104">
        <v>86.666666666666671</v>
      </c>
      <c r="D42" s="38">
        <f t="shared" si="25"/>
        <v>5903.3333333333339</v>
      </c>
      <c r="E42" s="75">
        <f>Poor!E42</f>
        <v>0.8</v>
      </c>
      <c r="F42" s="75">
        <f>Poor!F42</f>
        <v>1.4</v>
      </c>
      <c r="G42" s="75">
        <f>Poor!G42</f>
        <v>1</v>
      </c>
      <c r="H42" s="24">
        <f t="shared" si="30"/>
        <v>1.1199999999999999</v>
      </c>
      <c r="I42" s="39">
        <f t="shared" si="31"/>
        <v>6611.7333333333336</v>
      </c>
      <c r="J42" s="38">
        <f t="shared" si="32"/>
        <v>6509.3214787116722</v>
      </c>
      <c r="K42" s="40">
        <f t="shared" si="33"/>
        <v>5.9590481914544864E-2</v>
      </c>
      <c r="L42" s="22">
        <f t="shared" si="34"/>
        <v>6.6741339744290237E-2</v>
      </c>
      <c r="M42" s="24">
        <f t="shared" si="35"/>
        <v>6.6686579458990203E-2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1627.330369677918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3254.6607393558361</v>
      </c>
      <c r="AF42" s="122">
        <f t="shared" si="29"/>
        <v>0.25</v>
      </c>
      <c r="AG42" s="147">
        <f t="shared" si="36"/>
        <v>1627.330369677918</v>
      </c>
      <c r="AH42" s="123">
        <f t="shared" si="37"/>
        <v>1</v>
      </c>
      <c r="AI42" s="112">
        <f t="shared" si="37"/>
        <v>6509.3214787116722</v>
      </c>
      <c r="AJ42" s="148">
        <f t="shared" si="38"/>
        <v>1627.330369677918</v>
      </c>
      <c r="AK42" s="147">
        <f t="shared" si="39"/>
        <v>4881.9911090337537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v>833.33333333333337</v>
      </c>
      <c r="C43" s="104">
        <v>-833.33333333333337</v>
      </c>
      <c r="D43" s="38">
        <f t="shared" si="25"/>
        <v>0</v>
      </c>
      <c r="E43" s="75">
        <f>Poor!E43</f>
        <v>0.8</v>
      </c>
      <c r="F43" s="75">
        <f>Poor!F43</f>
        <v>1.4</v>
      </c>
      <c r="G43" s="75">
        <f>Poor!G43</f>
        <v>1</v>
      </c>
      <c r="H43" s="24">
        <f t="shared" si="30"/>
        <v>1.1199999999999999</v>
      </c>
      <c r="I43" s="39">
        <f t="shared" si="31"/>
        <v>0</v>
      </c>
      <c r="J43" s="38">
        <f t="shared" si="32"/>
        <v>984.72937136212738</v>
      </c>
      <c r="K43" s="40">
        <f t="shared" si="33"/>
        <v>8.5373183258660272E-3</v>
      </c>
      <c r="L43" s="22">
        <f t="shared" si="34"/>
        <v>9.5617965249699503E-3</v>
      </c>
      <c r="M43" s="24">
        <f t="shared" si="35"/>
        <v>1.0088337729778107E-2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246.18234284053185</v>
      </c>
      <c r="AB43" s="156">
        <f>Poor!AB43</f>
        <v>0.25</v>
      </c>
      <c r="AC43" s="147">
        <f t="shared" si="41"/>
        <v>246.18234284053185</v>
      </c>
      <c r="AD43" s="156">
        <f>Poor!AD43</f>
        <v>0.25</v>
      </c>
      <c r="AE43" s="147">
        <f t="shared" si="42"/>
        <v>246.18234284053185</v>
      </c>
      <c r="AF43" s="122">
        <f t="shared" si="29"/>
        <v>0.25</v>
      </c>
      <c r="AG43" s="147">
        <f t="shared" si="36"/>
        <v>246.18234284053185</v>
      </c>
      <c r="AH43" s="123">
        <f t="shared" si="37"/>
        <v>1</v>
      </c>
      <c r="AI43" s="112">
        <f t="shared" si="37"/>
        <v>984.72937136212738</v>
      </c>
      <c r="AJ43" s="148">
        <f t="shared" si="38"/>
        <v>492.36468568106369</v>
      </c>
      <c r="AK43" s="147">
        <f t="shared" si="39"/>
        <v>492.36468568106369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Amadumbe: kg produced</v>
      </c>
      <c r="B44" s="104">
        <v>93.333333333333329</v>
      </c>
      <c r="C44" s="104">
        <v>-93.333333333333329</v>
      </c>
      <c r="D44" s="38">
        <f t="shared" si="25"/>
        <v>0</v>
      </c>
      <c r="E44" s="75">
        <f>Poor!E44</f>
        <v>0.8</v>
      </c>
      <c r="F44" s="75">
        <f>Poor!F44</f>
        <v>1.4</v>
      </c>
      <c r="G44" s="75">
        <f>Poor!G44</f>
        <v>1</v>
      </c>
      <c r="H44" s="24">
        <f t="shared" si="30"/>
        <v>1.1199999999999999</v>
      </c>
      <c r="I44" s="39">
        <f t="shared" si="31"/>
        <v>0</v>
      </c>
      <c r="J44" s="38">
        <f t="shared" si="32"/>
        <v>110.28968959255825</v>
      </c>
      <c r="K44" s="40">
        <f t="shared" si="33"/>
        <v>9.5617965249699495E-4</v>
      </c>
      <c r="L44" s="22">
        <f t="shared" si="34"/>
        <v>1.0709212107966341E-3</v>
      </c>
      <c r="M44" s="24">
        <f t="shared" si="35"/>
        <v>1.1298938257351477E-3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27.572422398139562</v>
      </c>
      <c r="AB44" s="156">
        <f>Poor!AB44</f>
        <v>0.25</v>
      </c>
      <c r="AC44" s="147">
        <f t="shared" si="41"/>
        <v>27.572422398139562</v>
      </c>
      <c r="AD44" s="156">
        <f>Poor!AD44</f>
        <v>0.25</v>
      </c>
      <c r="AE44" s="147">
        <f t="shared" si="42"/>
        <v>27.572422398139562</v>
      </c>
      <c r="AF44" s="122">
        <f t="shared" si="29"/>
        <v>0.25</v>
      </c>
      <c r="AG44" s="147">
        <f t="shared" si="36"/>
        <v>27.572422398139562</v>
      </c>
      <c r="AH44" s="123">
        <f t="shared" si="37"/>
        <v>1</v>
      </c>
      <c r="AI44" s="112">
        <f t="shared" si="37"/>
        <v>110.28968959255825</v>
      </c>
      <c r="AJ44" s="148">
        <f t="shared" si="38"/>
        <v>55.144844796279123</v>
      </c>
      <c r="AK44" s="147">
        <f t="shared" si="39"/>
        <v>55.144844796279123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Sweet Potatoes: kg produced</v>
      </c>
      <c r="B45" s="104">
        <v>0</v>
      </c>
      <c r="C45" s="104">
        <v>0</v>
      </c>
      <c r="D45" s="38">
        <f t="shared" si="25"/>
        <v>0</v>
      </c>
      <c r="E45" s="75">
        <f>Poor!E45</f>
        <v>0.8</v>
      </c>
      <c r="F45" s="75">
        <f>Poor!F45</f>
        <v>1.4</v>
      </c>
      <c r="G45" s="75">
        <f>Poor!G45</f>
        <v>1</v>
      </c>
      <c r="H45" s="24">
        <f t="shared" si="30"/>
        <v>1.1199999999999999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crop: Cabbage</v>
      </c>
      <c r="B46" s="104">
        <v>28.333333333333332</v>
      </c>
      <c r="C46" s="104">
        <v>-28.333333333333332</v>
      </c>
      <c r="D46" s="38">
        <f t="shared" si="25"/>
        <v>0</v>
      </c>
      <c r="E46" s="75">
        <f>Poor!E46</f>
        <v>0.8</v>
      </c>
      <c r="F46" s="75">
        <f>Poor!F46</f>
        <v>1.4</v>
      </c>
      <c r="G46" s="75">
        <f>Poor!G46</f>
        <v>1</v>
      </c>
      <c r="H46" s="24">
        <f t="shared" si="30"/>
        <v>1.1199999999999999</v>
      </c>
      <c r="I46" s="39">
        <f t="shared" si="31"/>
        <v>0</v>
      </c>
      <c r="J46" s="38">
        <f t="shared" si="32"/>
        <v>33.480798626312328</v>
      </c>
      <c r="K46" s="40">
        <f t="shared" si="33"/>
        <v>2.9026882307944487E-4</v>
      </c>
      <c r="L46" s="22">
        <f t="shared" si="34"/>
        <v>3.2510108184897823E-4</v>
      </c>
      <c r="M46" s="24">
        <f t="shared" si="35"/>
        <v>3.4300348281245558E-4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8.3701996565780821</v>
      </c>
      <c r="AB46" s="156">
        <f>Poor!AB46</f>
        <v>0.25</v>
      </c>
      <c r="AC46" s="147">
        <f t="shared" si="41"/>
        <v>8.3701996565780821</v>
      </c>
      <c r="AD46" s="156">
        <f>Poor!AD46</f>
        <v>0.25</v>
      </c>
      <c r="AE46" s="147">
        <f t="shared" si="42"/>
        <v>8.3701996565780821</v>
      </c>
      <c r="AF46" s="122">
        <f t="shared" si="29"/>
        <v>0.25</v>
      </c>
      <c r="AG46" s="147">
        <f t="shared" si="36"/>
        <v>8.3701996565780821</v>
      </c>
      <c r="AH46" s="123">
        <f t="shared" si="37"/>
        <v>1</v>
      </c>
      <c r="AI46" s="112">
        <f t="shared" si="37"/>
        <v>33.480798626312328</v>
      </c>
      <c r="AJ46" s="148">
        <f t="shared" si="38"/>
        <v>16.740399313156164</v>
      </c>
      <c r="AK46" s="147">
        <f t="shared" si="39"/>
        <v>16.740399313156164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beetroot: no. local meas</v>
      </c>
      <c r="B47" s="104">
        <v>0</v>
      </c>
      <c r="C47" s="104">
        <v>0</v>
      </c>
      <c r="D47" s="38">
        <f t="shared" si="25"/>
        <v>0</v>
      </c>
      <c r="E47" s="75">
        <f>Poor!E47</f>
        <v>0.8</v>
      </c>
      <c r="F47" s="75">
        <f>Poor!F47</f>
        <v>1.4</v>
      </c>
      <c r="G47" s="75">
        <f>Poor!G47</f>
        <v>1</v>
      </c>
      <c r="H47" s="24">
        <f t="shared" si="30"/>
        <v>1.1199999999999999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Spinach: no produced</v>
      </c>
      <c r="B48" s="104">
        <v>8.3333333333333339</v>
      </c>
      <c r="C48" s="104">
        <v>-8.3333333333333339</v>
      </c>
      <c r="D48" s="38">
        <f t="shared" si="25"/>
        <v>0</v>
      </c>
      <c r="E48" s="75">
        <f>Poor!E48</f>
        <v>0.8</v>
      </c>
      <c r="F48" s="75">
        <f>Poor!F48</f>
        <v>1.4</v>
      </c>
      <c r="G48" s="75">
        <f>Poor!G48</f>
        <v>1</v>
      </c>
      <c r="H48" s="24">
        <f t="shared" si="30"/>
        <v>1.1199999999999999</v>
      </c>
      <c r="I48" s="39">
        <f t="shared" si="31"/>
        <v>0</v>
      </c>
      <c r="J48" s="38">
        <f t="shared" si="32"/>
        <v>9.8472937136212764</v>
      </c>
      <c r="K48" s="40">
        <f t="shared" si="33"/>
        <v>8.5373183258660265E-5</v>
      </c>
      <c r="L48" s="22">
        <f t="shared" si="34"/>
        <v>9.5617965249699481E-5</v>
      </c>
      <c r="M48" s="24">
        <f t="shared" si="35"/>
        <v>1.0088337729778109E-4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2.4618234284053191</v>
      </c>
      <c r="AB48" s="156">
        <f>Poor!AB48</f>
        <v>0.25</v>
      </c>
      <c r="AC48" s="147">
        <f t="shared" si="41"/>
        <v>2.4618234284053191</v>
      </c>
      <c r="AD48" s="156">
        <f>Poor!AD48</f>
        <v>0.25</v>
      </c>
      <c r="AE48" s="147">
        <f t="shared" si="42"/>
        <v>2.4618234284053191</v>
      </c>
      <c r="AF48" s="122">
        <f t="shared" si="29"/>
        <v>0.25</v>
      </c>
      <c r="AG48" s="147">
        <f t="shared" si="36"/>
        <v>2.4618234284053191</v>
      </c>
      <c r="AH48" s="123">
        <f t="shared" si="37"/>
        <v>1</v>
      </c>
      <c r="AI48" s="112">
        <f t="shared" si="37"/>
        <v>9.8472937136212764</v>
      </c>
      <c r="AJ48" s="148">
        <f t="shared" si="38"/>
        <v>4.9236468568106382</v>
      </c>
      <c r="AK48" s="147">
        <f t="shared" si="39"/>
        <v>4.9236468568106382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Other crop: pumpkin</v>
      </c>
      <c r="B49" s="104">
        <v>26.666666666666668</v>
      </c>
      <c r="C49" s="104">
        <v>-26.666666666666668</v>
      </c>
      <c r="D49" s="38">
        <f t="shared" si="25"/>
        <v>0</v>
      </c>
      <c r="E49" s="75">
        <f>Poor!E49</f>
        <v>0.8</v>
      </c>
      <c r="F49" s="75">
        <f>Poor!F49</f>
        <v>1.4</v>
      </c>
      <c r="G49" s="75">
        <f>Poor!G49</f>
        <v>1</v>
      </c>
      <c r="H49" s="24">
        <f t="shared" si="30"/>
        <v>1.1199999999999999</v>
      </c>
      <c r="I49" s="39">
        <f t="shared" si="31"/>
        <v>0</v>
      </c>
      <c r="J49" s="38">
        <f t="shared" si="32"/>
        <v>31.511339883588082</v>
      </c>
      <c r="K49" s="40">
        <f t="shared" si="33"/>
        <v>2.7319418642771288E-4</v>
      </c>
      <c r="L49" s="22">
        <f t="shared" si="34"/>
        <v>3.0597748879903838E-4</v>
      </c>
      <c r="M49" s="24">
        <f t="shared" si="35"/>
        <v>3.2282680735289945E-4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7.8778349708970206</v>
      </c>
      <c r="AB49" s="156">
        <f>Poor!AB49</f>
        <v>0.25</v>
      </c>
      <c r="AC49" s="147">
        <f t="shared" si="41"/>
        <v>7.8778349708970206</v>
      </c>
      <c r="AD49" s="156">
        <f>Poor!AD49</f>
        <v>0.25</v>
      </c>
      <c r="AE49" s="147">
        <f t="shared" si="42"/>
        <v>7.8778349708970206</v>
      </c>
      <c r="AF49" s="122">
        <f t="shared" si="29"/>
        <v>0.25</v>
      </c>
      <c r="AG49" s="147">
        <f t="shared" si="36"/>
        <v>7.8778349708970206</v>
      </c>
      <c r="AH49" s="123">
        <f t="shared" si="37"/>
        <v>1</v>
      </c>
      <c r="AI49" s="112">
        <f t="shared" si="37"/>
        <v>31.511339883588082</v>
      </c>
      <c r="AJ49" s="148">
        <f t="shared" si="38"/>
        <v>15.755669941794041</v>
      </c>
      <c r="AK49" s="147">
        <f t="shared" si="39"/>
        <v>15.755669941794041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cashcrop: sugar cane (tons)</v>
      </c>
      <c r="B50" s="104">
        <v>0</v>
      </c>
      <c r="C50" s="104">
        <v>0</v>
      </c>
      <c r="D50" s="38">
        <f t="shared" si="25"/>
        <v>0</v>
      </c>
      <c r="E50" s="75">
        <f>Poor!E50</f>
        <v>1</v>
      </c>
      <c r="F50" s="75">
        <f>Poor!F50</f>
        <v>1.4</v>
      </c>
      <c r="G50" s="75">
        <f>Poor!G50</f>
        <v>1</v>
      </c>
      <c r="H50" s="24">
        <f t="shared" si="30"/>
        <v>1.4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Agricultural cash income -- see Data2</v>
      </c>
      <c r="B51" s="104">
        <v>0</v>
      </c>
      <c r="C51" s="104">
        <v>0</v>
      </c>
      <c r="D51" s="38">
        <f t="shared" si="25"/>
        <v>0</v>
      </c>
      <c r="E51" s="75">
        <f>Poor!E51</f>
        <v>1</v>
      </c>
      <c r="F51" s="75">
        <f>Poor!F51</f>
        <v>1.1100000000000001</v>
      </c>
      <c r="G51" s="75">
        <f>Poor!G51</f>
        <v>1</v>
      </c>
      <c r="H51" s="24">
        <f t="shared" si="30"/>
        <v>1.1100000000000001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Construction cash income -- see Data2</v>
      </c>
      <c r="B52" s="104">
        <v>36000</v>
      </c>
      <c r="C52" s="104">
        <v>0</v>
      </c>
      <c r="D52" s="38">
        <f t="shared" si="25"/>
        <v>36000</v>
      </c>
      <c r="E52" s="75">
        <f>Poor!E52</f>
        <v>1</v>
      </c>
      <c r="F52" s="75">
        <f>Poor!F52</f>
        <v>1.1100000000000001</v>
      </c>
      <c r="G52" s="75">
        <f>Poor!G52</f>
        <v>1</v>
      </c>
      <c r="H52" s="24">
        <f t="shared" si="30"/>
        <v>1.1100000000000001</v>
      </c>
      <c r="I52" s="39">
        <f t="shared" si="31"/>
        <v>39960</v>
      </c>
      <c r="J52" s="38">
        <f t="shared" si="32"/>
        <v>39960.000000000007</v>
      </c>
      <c r="K52" s="40">
        <f t="shared" si="33"/>
        <v>0.36881215167741233</v>
      </c>
      <c r="L52" s="22">
        <f t="shared" si="34"/>
        <v>0.40938148836192773</v>
      </c>
      <c r="M52" s="24">
        <f t="shared" si="35"/>
        <v>0.40938148836192778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9990.0000000000018</v>
      </c>
      <c r="AB52" s="156">
        <f>Poor!AB57</f>
        <v>0.25</v>
      </c>
      <c r="AC52" s="147">
        <f t="shared" si="41"/>
        <v>9990.0000000000018</v>
      </c>
      <c r="AD52" s="156">
        <f>Poor!AD57</f>
        <v>0.25</v>
      </c>
      <c r="AE52" s="147">
        <f t="shared" si="42"/>
        <v>9990.0000000000018</v>
      </c>
      <c r="AF52" s="122">
        <f t="shared" si="29"/>
        <v>0.25</v>
      </c>
      <c r="AG52" s="147">
        <f t="shared" si="36"/>
        <v>9990.0000000000018</v>
      </c>
      <c r="AH52" s="123">
        <f t="shared" si="37"/>
        <v>1</v>
      </c>
      <c r="AI52" s="112">
        <f t="shared" si="37"/>
        <v>39960.000000000007</v>
      </c>
      <c r="AJ52" s="148">
        <f t="shared" si="38"/>
        <v>19980.000000000004</v>
      </c>
      <c r="AK52" s="147">
        <f t="shared" si="39"/>
        <v>19980.000000000004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Domestic work cash income -- see Data2</v>
      </c>
      <c r="B53" s="104">
        <v>6400</v>
      </c>
      <c r="C53" s="104">
        <v>0</v>
      </c>
      <c r="D53" s="38">
        <f t="shared" si="25"/>
        <v>6400</v>
      </c>
      <c r="E53" s="75">
        <f>Poor!E53</f>
        <v>1</v>
      </c>
      <c r="F53" s="75">
        <f>Poor!F53</f>
        <v>1.1100000000000001</v>
      </c>
      <c r="G53" s="75">
        <f>Poor!G53</f>
        <v>1</v>
      </c>
      <c r="H53" s="24">
        <f t="shared" si="30"/>
        <v>1.1100000000000001</v>
      </c>
      <c r="I53" s="39">
        <f t="shared" si="31"/>
        <v>7104.0000000000009</v>
      </c>
      <c r="J53" s="38">
        <f t="shared" si="32"/>
        <v>7104</v>
      </c>
      <c r="K53" s="40">
        <f t="shared" si="33"/>
        <v>6.556660474265108E-2</v>
      </c>
      <c r="L53" s="22">
        <f t="shared" si="34"/>
        <v>7.2778931264342706E-2</v>
      </c>
      <c r="M53" s="24">
        <f t="shared" si="35"/>
        <v>7.2778931264342706E-2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Formal Employment (conservancies, etc.)</v>
      </c>
      <c r="B54" s="104">
        <v>14720</v>
      </c>
      <c r="C54" s="104">
        <v>0</v>
      </c>
      <c r="D54" s="38">
        <f t="shared" si="25"/>
        <v>14720</v>
      </c>
      <c r="E54" s="75">
        <f>Poor!E54</f>
        <v>1</v>
      </c>
      <c r="F54" s="75">
        <f>Poor!F54</f>
        <v>1.18</v>
      </c>
      <c r="G54" s="75">
        <f>Poor!G54</f>
        <v>1</v>
      </c>
      <c r="H54" s="24">
        <f t="shared" si="30"/>
        <v>1.18</v>
      </c>
      <c r="I54" s="39">
        <f t="shared" si="31"/>
        <v>17369.599999999999</v>
      </c>
      <c r="J54" s="38">
        <f t="shared" si="32"/>
        <v>17369.600000000002</v>
      </c>
      <c r="K54" s="40">
        <f t="shared" si="33"/>
        <v>0.15080319090809749</v>
      </c>
      <c r="L54" s="22">
        <f t="shared" si="34"/>
        <v>0.17794776527155504</v>
      </c>
      <c r="M54" s="24">
        <f t="shared" si="35"/>
        <v>0.17794776527155506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Labour migration(formal employment): no. people per HH</v>
      </c>
      <c r="B55" s="104">
        <v>5340</v>
      </c>
      <c r="C55" s="104">
        <v>0</v>
      </c>
      <c r="D55" s="38">
        <f t="shared" si="25"/>
        <v>5340</v>
      </c>
      <c r="E55" s="75">
        <f>Poor!E55</f>
        <v>0.5</v>
      </c>
      <c r="F55" s="75">
        <f>Poor!F55</f>
        <v>1.18</v>
      </c>
      <c r="G55" s="75">
        <f>Poor!G55</f>
        <v>1</v>
      </c>
      <c r="H55" s="24">
        <f t="shared" si="30"/>
        <v>0.59</v>
      </c>
      <c r="I55" s="39">
        <f t="shared" si="31"/>
        <v>3150.6</v>
      </c>
      <c r="J55" s="38">
        <f t="shared" si="32"/>
        <v>3150.6</v>
      </c>
      <c r="K55" s="40">
        <f t="shared" si="33"/>
        <v>5.4707135832149499E-2</v>
      </c>
      <c r="L55" s="22">
        <f t="shared" si="34"/>
        <v>3.2277210140968203E-2</v>
      </c>
      <c r="M55" s="24">
        <f t="shared" si="35"/>
        <v>3.2277210140968203E-2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Small business -- see Data2</v>
      </c>
      <c r="B56" s="104">
        <v>0</v>
      </c>
      <c r="C56" s="104">
        <v>0</v>
      </c>
      <c r="D56" s="38">
        <f t="shared" si="25"/>
        <v>0</v>
      </c>
      <c r="E56" s="75">
        <f>Poor!E56</f>
        <v>0.8</v>
      </c>
      <c r="F56" s="75">
        <f>Poor!F56</f>
        <v>1.18</v>
      </c>
      <c r="G56" s="75">
        <f>Poor!G56</f>
        <v>1</v>
      </c>
      <c r="H56" s="24">
        <f t="shared" si="30"/>
        <v>0.94399999999999995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Social development -- see Data2</v>
      </c>
      <c r="B57" s="104">
        <v>6644</v>
      </c>
      <c r="C57" s="104">
        <v>0</v>
      </c>
      <c r="D57" s="38">
        <f t="shared" si="25"/>
        <v>6644</v>
      </c>
      <c r="E57" s="75">
        <f>Poor!E57</f>
        <v>1</v>
      </c>
      <c r="F57" s="75">
        <f>Poor!F57</f>
        <v>1.18</v>
      </c>
      <c r="G57" s="75">
        <f>Poor!G57</f>
        <v>1</v>
      </c>
      <c r="H57" s="24">
        <f t="shared" si="30"/>
        <v>1.18</v>
      </c>
      <c r="I57" s="39">
        <f t="shared" si="31"/>
        <v>7839.9199999999992</v>
      </c>
      <c r="J57" s="38">
        <f t="shared" si="32"/>
        <v>7839.9199999999983</v>
      </c>
      <c r="K57" s="40">
        <f t="shared" si="33"/>
        <v>6.8066331548464656E-2</v>
      </c>
      <c r="L57" s="22">
        <f t="shared" si="34"/>
        <v>8.0318271227188293E-2</v>
      </c>
      <c r="M57" s="24">
        <f t="shared" si="35"/>
        <v>8.0318271227188279E-2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Public works -- see Data2</v>
      </c>
      <c r="B58" s="104">
        <v>833.33333333333337</v>
      </c>
      <c r="C58" s="104">
        <v>0</v>
      </c>
      <c r="D58" s="38">
        <f t="shared" si="25"/>
        <v>833.33333333333337</v>
      </c>
      <c r="E58" s="75">
        <f>Poor!E58</f>
        <v>1</v>
      </c>
      <c r="F58" s="75">
        <f>Poor!F58</f>
        <v>1.18</v>
      </c>
      <c r="G58" s="75">
        <f>Poor!G58</f>
        <v>1</v>
      </c>
      <c r="H58" s="24">
        <f t="shared" si="30"/>
        <v>1.18</v>
      </c>
      <c r="I58" s="39">
        <f t="shared" si="31"/>
        <v>983.33333333333337</v>
      </c>
      <c r="J58" s="38">
        <f t="shared" si="32"/>
        <v>983.33333333333326</v>
      </c>
      <c r="K58" s="40">
        <f t="shared" si="33"/>
        <v>8.5373183258660272E-3</v>
      </c>
      <c r="L58" s="22">
        <f t="shared" si="34"/>
        <v>1.0074035624521912E-2</v>
      </c>
      <c r="M58" s="24">
        <f t="shared" si="35"/>
        <v>1.007403562452191E-2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245.83333333333331</v>
      </c>
      <c r="AB58" s="156">
        <f>Poor!AB58</f>
        <v>0.25</v>
      </c>
      <c r="AC58" s="147">
        <f t="shared" si="41"/>
        <v>245.83333333333331</v>
      </c>
      <c r="AD58" s="156">
        <f>Poor!AD58</f>
        <v>0.25</v>
      </c>
      <c r="AE58" s="147">
        <f t="shared" si="42"/>
        <v>245.83333333333331</v>
      </c>
      <c r="AF58" s="122">
        <f t="shared" si="29"/>
        <v>0.25</v>
      </c>
      <c r="AG58" s="147">
        <f t="shared" si="36"/>
        <v>245.83333333333331</v>
      </c>
      <c r="AH58" s="123">
        <f t="shared" si="37"/>
        <v>1</v>
      </c>
      <c r="AI58" s="112">
        <f t="shared" si="37"/>
        <v>983.33333333333326</v>
      </c>
      <c r="AJ58" s="148">
        <f t="shared" si="38"/>
        <v>491.66666666666663</v>
      </c>
      <c r="AK58" s="147">
        <f t="shared" si="39"/>
        <v>491.66666666666663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Gifts/social support: type (Child support, Pension and Foster Care)</v>
      </c>
      <c r="B59" s="104">
        <v>4450</v>
      </c>
      <c r="C59" s="104">
        <v>0</v>
      </c>
      <c r="D59" s="38">
        <f t="shared" si="25"/>
        <v>4450</v>
      </c>
      <c r="E59" s="75">
        <f>Poor!E59</f>
        <v>1</v>
      </c>
      <c r="F59" s="75">
        <f>Poor!F59</f>
        <v>1.1100000000000001</v>
      </c>
      <c r="G59" s="75">
        <f>Poor!G59</f>
        <v>1</v>
      </c>
      <c r="H59" s="24">
        <f t="shared" si="30"/>
        <v>1.1100000000000001</v>
      </c>
      <c r="I59" s="39">
        <f t="shared" si="31"/>
        <v>4939.5</v>
      </c>
      <c r="J59" s="38">
        <f t="shared" si="32"/>
        <v>4939.5</v>
      </c>
      <c r="K59" s="40">
        <f t="shared" si="33"/>
        <v>4.5589279860124579E-2</v>
      </c>
      <c r="L59" s="22">
        <f t="shared" si="34"/>
        <v>5.060410064473829E-2</v>
      </c>
      <c r="M59" s="24">
        <f t="shared" si="35"/>
        <v>5.0604100644738283E-2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1234.875</v>
      </c>
      <c r="AB59" s="156">
        <f>Poor!AB59</f>
        <v>0.25</v>
      </c>
      <c r="AC59" s="147">
        <f t="shared" si="41"/>
        <v>1234.875</v>
      </c>
      <c r="AD59" s="156">
        <f>Poor!AD59</f>
        <v>0.25</v>
      </c>
      <c r="AE59" s="147">
        <f t="shared" si="42"/>
        <v>1234.875</v>
      </c>
      <c r="AF59" s="122">
        <f t="shared" si="29"/>
        <v>0.25</v>
      </c>
      <c r="AG59" s="147">
        <f t="shared" si="36"/>
        <v>1234.875</v>
      </c>
      <c r="AH59" s="123">
        <f t="shared" ref="AH59:AI64" si="43">SUM(Z59,AB59,AD59,AF59)</f>
        <v>1</v>
      </c>
      <c r="AI59" s="112">
        <f t="shared" si="43"/>
        <v>4939.5</v>
      </c>
      <c r="AJ59" s="148">
        <f t="shared" si="38"/>
        <v>2469.75</v>
      </c>
      <c r="AK59" s="147">
        <f t="shared" si="39"/>
        <v>2469.75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Other income: e.g. Credit (cotton loans)</v>
      </c>
      <c r="B60" s="104">
        <v>0</v>
      </c>
      <c r="C60" s="104"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Remittances: no. times per year</v>
      </c>
      <c r="B61" s="104">
        <v>0</v>
      </c>
      <c r="C61" s="104">
        <v>0</v>
      </c>
      <c r="D61" s="38">
        <f t="shared" si="25"/>
        <v>0</v>
      </c>
      <c r="E61" s="75">
        <f>Poor!E61</f>
        <v>1</v>
      </c>
      <c r="F61" s="75">
        <f>Poor!F61</f>
        <v>1.1100000000000001</v>
      </c>
      <c r="G61" s="75">
        <f>Poor!G61</f>
        <v>1</v>
      </c>
      <c r="H61" s="24">
        <f t="shared" si="30"/>
        <v>1.1100000000000001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v>0</v>
      </c>
      <c r="C62" s="104"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v>0</v>
      </c>
      <c r="C63" s="104"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v>0</v>
      </c>
      <c r="C64" s="104"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97610.666666666657</v>
      </c>
      <c r="C65" s="39">
        <f>SUM(C37:C64)</f>
        <v>-1419.9999999999998</v>
      </c>
      <c r="D65" s="42">
        <f>SUM(D37:D64)</f>
        <v>96190.666666666672</v>
      </c>
      <c r="E65" s="32"/>
      <c r="F65" s="32"/>
      <c r="G65" s="32"/>
      <c r="H65" s="31"/>
      <c r="I65" s="39">
        <f>SUM(I37:I64)</f>
        <v>103078.42000000001</v>
      </c>
      <c r="J65" s="39">
        <f>SUM(J37:J64)</f>
        <v>105223.33641535732</v>
      </c>
      <c r="K65" s="40">
        <f>SUM(K37:K64)</f>
        <v>1</v>
      </c>
      <c r="L65" s="22">
        <f>SUM(L37:L64)</f>
        <v>1.0768432411758277</v>
      </c>
      <c r="M65" s="24">
        <f>SUM(M37:M64)</f>
        <v>1.0779901419451152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15920.499804968125</v>
      </c>
      <c r="AB65" s="137"/>
      <c r="AC65" s="153">
        <f>SUM(AC37:AC64)</f>
        <v>11763.172956627888</v>
      </c>
      <c r="AD65" s="137"/>
      <c r="AE65" s="153">
        <f>SUM(AE37:AE64)</f>
        <v>15017.833695983723</v>
      </c>
      <c r="AF65" s="137"/>
      <c r="AG65" s="153">
        <f>SUM(AG37:AG64)</f>
        <v>27057.709957777584</v>
      </c>
      <c r="AH65" s="137"/>
      <c r="AI65" s="153">
        <f>SUM(AI37:AI64)</f>
        <v>69759.21641535731</v>
      </c>
      <c r="AJ65" s="153">
        <f>SUM(AJ37:AJ64)</f>
        <v>27683.672761596015</v>
      </c>
      <c r="AK65" s="153">
        <f>SUM(AK37:AK64)</f>
        <v>42075.543653761306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256">
        <f>14533.3520267682*7/8</f>
        <v>12716.683023422174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17803.356232791044</v>
      </c>
      <c r="J70" s="51">
        <f t="shared" ref="J70:J77" si="44">J124*I$83</f>
        <v>17803.356232791044</v>
      </c>
      <c r="K70" s="40">
        <f>B70/B$76</f>
        <v>0.13027964522410981</v>
      </c>
      <c r="L70" s="22">
        <f t="shared" ref="L70:L75" si="45">(L124*G$37*F$9/F$7)/B$130</f>
        <v>0.18239150331375373</v>
      </c>
      <c r="M70" s="24">
        <f>J70/B$76</f>
        <v>0.18239150331375376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4450.839058197761</v>
      </c>
      <c r="AB70" s="156">
        <f>Poor!AB70</f>
        <v>0.25</v>
      </c>
      <c r="AC70" s="147">
        <f>$J70*AB70</f>
        <v>4450.839058197761</v>
      </c>
      <c r="AD70" s="156">
        <f>Poor!AD70</f>
        <v>0.25</v>
      </c>
      <c r="AE70" s="147">
        <f>$J70*AD70</f>
        <v>4450.839058197761</v>
      </c>
      <c r="AF70" s="156">
        <f>Poor!AF70</f>
        <v>0.25</v>
      </c>
      <c r="AG70" s="147">
        <f>$J70*AF70</f>
        <v>4450.839058197761</v>
      </c>
      <c r="AH70" s="155">
        <f>SUM(Z70,AB70,AD70,AF70)</f>
        <v>1</v>
      </c>
      <c r="AI70" s="147">
        <f>SUM(AA70,AC70,AE70,AG70)</f>
        <v>17803.356232791044</v>
      </c>
      <c r="AJ70" s="148">
        <f>(AA70+AC70)</f>
        <v>8901.678116395522</v>
      </c>
      <c r="AK70" s="147">
        <f>(AE70+AG70)</f>
        <v>8901.678116395522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14376.2222222222*7/8</f>
        <v>12579.194444444425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14843.449444444421</v>
      </c>
      <c r="J71" s="51">
        <f t="shared" si="44"/>
        <v>14843.449444444421</v>
      </c>
      <c r="K71" s="40">
        <f t="shared" ref="K71:K72" si="47">B71/B$76</f>
        <v>0.12887110470622501</v>
      </c>
      <c r="L71" s="22">
        <f t="shared" si="45"/>
        <v>0.15206790355334548</v>
      </c>
      <c r="M71" s="24">
        <f t="shared" ref="M71:M72" si="48">J71/B$76</f>
        <v>0.15206790355334548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26588*7/8</f>
        <v>23264.5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27452.109999999997</v>
      </c>
      <c r="K72" s="40">
        <f t="shared" si="47"/>
        <v>0.23833973063053221</v>
      </c>
      <c r="L72" s="22">
        <f t="shared" si="45"/>
        <v>0.28124088214402798</v>
      </c>
      <c r="M72" s="24">
        <f t="shared" si="48"/>
        <v>0.28124088214402798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10344.166666666666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12206.116666666667</v>
      </c>
      <c r="K73" s="40">
        <f>B73/B$76</f>
        <v>0.10597373237897498</v>
      </c>
      <c r="L73" s="22">
        <f t="shared" si="45"/>
        <v>0.12504900420719048</v>
      </c>
      <c r="M73" s="24">
        <f>J73/B$76</f>
        <v>0.12504900420719048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1098.5504999999998</v>
      </c>
      <c r="AB73" s="156">
        <f>Poor!AB73</f>
        <v>0.09</v>
      </c>
      <c r="AC73" s="147">
        <f>$H$73*$B$73*AB73</f>
        <v>1098.5504999999998</v>
      </c>
      <c r="AD73" s="156">
        <f>Poor!AD73</f>
        <v>0.23</v>
      </c>
      <c r="AE73" s="147">
        <f>$H$73*$B$73*AD73</f>
        <v>2807.406833333333</v>
      </c>
      <c r="AF73" s="156">
        <f>Poor!AF73</f>
        <v>0.59</v>
      </c>
      <c r="AG73" s="147">
        <f>$H$73*$B$73*AF73</f>
        <v>7201.6088333333319</v>
      </c>
      <c r="AH73" s="155">
        <f>SUM(Z73,AB73,AD73,AF73)</f>
        <v>1</v>
      </c>
      <c r="AI73" s="147">
        <f>SUM(AA73,AC73,AE73,AG73)</f>
        <v>12206.116666666665</v>
      </c>
      <c r="AJ73" s="148">
        <f>(AA73+AC73)</f>
        <v>2197.1009999999997</v>
      </c>
      <c r="AK73" s="147">
        <f>(AE73+AG73)</f>
        <v>10009.015666666664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7607.8808142069029</v>
      </c>
      <c r="C74" s="39"/>
      <c r="D74" s="38"/>
      <c r="E74" s="32"/>
      <c r="F74" s="32"/>
      <c r="G74" s="32"/>
      <c r="H74" s="31"/>
      <c r="I74" s="39">
        <f>I128*I$83</f>
        <v>85275.063767208965</v>
      </c>
      <c r="J74" s="51">
        <f t="shared" si="44"/>
        <v>4231.3752039866549</v>
      </c>
      <c r="K74" s="40">
        <f>B74/B$76</f>
        <v>7.7941080355359765E-2</v>
      </c>
      <c r="L74" s="22">
        <f t="shared" si="45"/>
        <v>8.0157414267558666E-2</v>
      </c>
      <c r="M74" s="24">
        <f>J74/B$76</f>
        <v>4.3349516487132436E-2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515.67212143011045</v>
      </c>
      <c r="AB74" s="156"/>
      <c r="AC74" s="147">
        <f>AC30*$I$84/4</f>
        <v>3168.5159289007997</v>
      </c>
      <c r="AD74" s="156"/>
      <c r="AE74" s="147">
        <f>AE30*$I$84/4</f>
        <v>3355.1123395665263</v>
      </c>
      <c r="AF74" s="156"/>
      <c r="AG74" s="147">
        <f>AG30*$I$84/4</f>
        <v>2770.6391594754532</v>
      </c>
      <c r="AH74" s="155"/>
      <c r="AI74" s="147">
        <f>SUM(AA74,AC74,AE74,AG74)</f>
        <v>9809.9395493728898</v>
      </c>
      <c r="AJ74" s="148">
        <f>(AA74+AC74)</f>
        <v>3684.1880503309103</v>
      </c>
      <c r="AK74" s="147">
        <f>(AE74+AG74)</f>
        <v>6125.7514990419795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31098.241717926481</v>
      </c>
      <c r="C75" s="39"/>
      <c r="D75" s="38"/>
      <c r="E75" s="32"/>
      <c r="F75" s="32"/>
      <c r="G75" s="32"/>
      <c r="H75" s="31"/>
      <c r="I75" s="47"/>
      <c r="J75" s="51">
        <f t="shared" si="44"/>
        <v>28686.928867468538</v>
      </c>
      <c r="K75" s="40">
        <f>B75/B$76</f>
        <v>0.31859470670479817</v>
      </c>
      <c r="L75" s="22">
        <f t="shared" si="45"/>
        <v>0.25593653368995162</v>
      </c>
      <c r="M75" s="24">
        <f>J75/B$76</f>
        <v>0.29389133223966513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10953.988625340255</v>
      </c>
      <c r="AB75" s="158"/>
      <c r="AC75" s="149">
        <f>AA75+AC65-SUM(AC70,AC74)</f>
        <v>15097.806594869582</v>
      </c>
      <c r="AD75" s="158"/>
      <c r="AE75" s="149">
        <f>AC75+AE65-SUM(AE70,AE74)</f>
        <v>22309.68889308902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42145.920633193389</v>
      </c>
      <c r="AJ75" s="151">
        <f>AJ76-SUM(AJ70,AJ74)</f>
        <v>15097.80659486958</v>
      </c>
      <c r="AK75" s="149">
        <f>AJ75+AK76-SUM(AK70,AK74)</f>
        <v>42145.920633193382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97610.666666666657</v>
      </c>
      <c r="C76" s="39"/>
      <c r="D76" s="38"/>
      <c r="E76" s="32"/>
      <c r="F76" s="32"/>
      <c r="G76" s="32"/>
      <c r="H76" s="31"/>
      <c r="I76" s="39">
        <f>I130*I$83</f>
        <v>103078.42000000001</v>
      </c>
      <c r="J76" s="51">
        <f t="shared" si="44"/>
        <v>105223.33641535732</v>
      </c>
      <c r="K76" s="40">
        <f>SUM(K70:K75)</f>
        <v>0.99999999999999989</v>
      </c>
      <c r="L76" s="22">
        <f>SUM(L70:L75)</f>
        <v>1.076843241175828</v>
      </c>
      <c r="M76" s="24">
        <f>SUM(M70:M75)</f>
        <v>1.0779901419451152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15920.499804968125</v>
      </c>
      <c r="AB76" s="137"/>
      <c r="AC76" s="153">
        <f>AC65</f>
        <v>11763.172956627888</v>
      </c>
      <c r="AD76" s="137"/>
      <c r="AE76" s="153">
        <f>AE65</f>
        <v>15017.833695983723</v>
      </c>
      <c r="AF76" s="137"/>
      <c r="AG76" s="153">
        <f>AG65</f>
        <v>27057.709957777584</v>
      </c>
      <c r="AH76" s="137"/>
      <c r="AI76" s="153">
        <f>SUM(AA76,AC76,AE76,AG76)</f>
        <v>69759.216415357325</v>
      </c>
      <c r="AJ76" s="154">
        <f>SUM(AA76,AC76)</f>
        <v>27683.672761596012</v>
      </c>
      <c r="AK76" s="154">
        <f>SUM(AE76,AG76)</f>
        <v>42075.543653761306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14843.449444444406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10953.988625340255</v>
      </c>
      <c r="AD78" s="112"/>
      <c r="AE78" s="112">
        <f>AC75</f>
        <v>15097.806594869582</v>
      </c>
      <c r="AF78" s="112"/>
      <c r="AG78" s="112">
        <f>AE75</f>
        <v>22309.68889308902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186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11469.660746770365</v>
      </c>
      <c r="AB79" s="112"/>
      <c r="AC79" s="112">
        <f>AA79-AA74+AC65-AC70</f>
        <v>18266.322523770381</v>
      </c>
      <c r="AD79" s="112"/>
      <c r="AE79" s="112">
        <f>AC79-AC74+AE65-AE70</f>
        <v>25664.801232655544</v>
      </c>
      <c r="AF79" s="112"/>
      <c r="AG79" s="112">
        <f>AE79-AE74+AG65-AG70</f>
        <v>44916.559792668842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0.66091214045306179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7.1446277643945102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12064.636488833721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12064.636488833721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6789.1233576170725</v>
      </c>
      <c r="AB83" s="112"/>
      <c r="AC83" s="165">
        <f>$I$84*AB82/4</f>
        <v>6789.1233576170725</v>
      </c>
      <c r="AD83" s="112"/>
      <c r="AE83" s="165">
        <f>$I$84*AD82/4</f>
        <v>6789.1233576170725</v>
      </c>
      <c r="AF83" s="112"/>
      <c r="AG83" s="165">
        <f>$I$84*AF82/4</f>
        <v>6789.1233576170725</v>
      </c>
      <c r="AH83" s="165">
        <f>SUM(AA83,AC83,AE83,AG83)</f>
        <v>27156.49343046829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22069.82022109942</v>
      </c>
      <c r="C84" s="46"/>
      <c r="D84" s="235"/>
      <c r="E84" s="64"/>
      <c r="F84" s="64"/>
      <c r="G84" s="64"/>
      <c r="H84" s="236">
        <f>IF(B84=0,0,I84/B84)</f>
        <v>1.2304809535560175</v>
      </c>
      <c r="I84" s="234">
        <f>(B70*H70)+((1-(D29*H29))*I83)</f>
        <v>27156.49343046829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0.9946424835183767</v>
      </c>
      <c r="C91" s="75">
        <f t="shared" si="50"/>
        <v>-0.11051583150204185</v>
      </c>
      <c r="D91" s="24">
        <f t="shared" ref="D91" si="51">(B91+C91)</f>
        <v>0.88412665201633489</v>
      </c>
      <c r="H91" s="24">
        <f>(E37*F37/G37*F$7/F$9)</f>
        <v>0.94399999999999984</v>
      </c>
      <c r="I91" s="22">
        <f t="shared" ref="I91" si="52">(D91*H91)</f>
        <v>0.83461555950342003</v>
      </c>
      <c r="J91" s="24">
        <f>IF(I$32&lt;=1+I$131,I91,L91+J$33*(I91-L91))</f>
        <v>0.9446874954729092</v>
      </c>
      <c r="K91" s="22">
        <f t="shared" ref="K91" si="53">(B91)</f>
        <v>0.9946424835183767</v>
      </c>
      <c r="L91" s="22">
        <f t="shared" ref="L91" si="54">(K91*H91)</f>
        <v>0.93894250444134741</v>
      </c>
      <c r="M91" s="227">
        <f t="shared" si="49"/>
        <v>0.9446874954729092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0.20721718406632847</v>
      </c>
      <c r="C92" s="75">
        <f t="shared" si="50"/>
        <v>0.14367058095265439</v>
      </c>
      <c r="D92" s="24">
        <f t="shared" ref="D92:D118" si="56">(B92+C92)</f>
        <v>0.35088776501898289</v>
      </c>
      <c r="H92" s="24">
        <f t="shared" ref="H92:H118" si="57">(E38*F38/G38*F$7/F$9)</f>
        <v>0.94399999999999984</v>
      </c>
      <c r="I92" s="22">
        <f t="shared" ref="I92:I118" si="58">(D92*H92)</f>
        <v>0.3312380501779198</v>
      </c>
      <c r="J92" s="24">
        <f t="shared" ref="J92:J118" si="59">IF(I$32&lt;=1+I$131,I92,L92+J$33*(I92-L92))</f>
        <v>0.18814453341758375</v>
      </c>
      <c r="K92" s="22">
        <f t="shared" ref="K92:K118" si="60">(B92)</f>
        <v>0.20721718406632847</v>
      </c>
      <c r="L92" s="22">
        <f t="shared" ref="L92:L118" si="61">(K92*H92)</f>
        <v>0.19561302175861403</v>
      </c>
      <c r="M92" s="227">
        <f t="shared" ref="M92:M118" si="62">(J92)</f>
        <v>0.18814453341758375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4.4206332600816745E-2</v>
      </c>
      <c r="C93" s="75">
        <f t="shared" si="50"/>
        <v>0</v>
      </c>
      <c r="D93" s="24">
        <f t="shared" si="56"/>
        <v>4.4206332600816745E-2</v>
      </c>
      <c r="H93" s="24">
        <f t="shared" si="57"/>
        <v>0.94399999999999984</v>
      </c>
      <c r="I93" s="22">
        <f t="shared" si="58"/>
        <v>4.1730777975171003E-2</v>
      </c>
      <c r="J93" s="24">
        <f t="shared" si="59"/>
        <v>4.1730777975171003E-2</v>
      </c>
      <c r="K93" s="22">
        <f t="shared" si="60"/>
        <v>4.4206332600816745E-2</v>
      </c>
      <c r="L93" s="22">
        <f t="shared" si="61"/>
        <v>4.1730777975171003E-2</v>
      </c>
      <c r="M93" s="227">
        <f t="shared" si="62"/>
        <v>4.1730777975171003E-2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3.8680541025714651E-2</v>
      </c>
      <c r="C94" s="75">
        <f t="shared" si="50"/>
        <v>0</v>
      </c>
      <c r="D94" s="24">
        <f t="shared" si="56"/>
        <v>3.8680541025714651E-2</v>
      </c>
      <c r="H94" s="24">
        <f t="shared" si="57"/>
        <v>1.18</v>
      </c>
      <c r="I94" s="22">
        <f t="shared" si="58"/>
        <v>4.5643038410343284E-2</v>
      </c>
      <c r="J94" s="24">
        <f t="shared" si="59"/>
        <v>4.5643038410343284E-2</v>
      </c>
      <c r="K94" s="22">
        <f t="shared" si="60"/>
        <v>3.8680541025714651E-2</v>
      </c>
      <c r="L94" s="22">
        <f t="shared" si="61"/>
        <v>4.5643038410343284E-2</v>
      </c>
      <c r="M94" s="227">
        <f t="shared" si="62"/>
        <v>4.5643038410343284E-2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7.5979634157653769E-2</v>
      </c>
      <c r="C95" s="75">
        <f t="shared" si="50"/>
        <v>-7.5979634157653769E-2</v>
      </c>
      <c r="D95" s="24">
        <f t="shared" si="56"/>
        <v>0</v>
      </c>
      <c r="H95" s="24">
        <f t="shared" si="57"/>
        <v>1.526</v>
      </c>
      <c r="I95" s="22">
        <f t="shared" si="58"/>
        <v>0</v>
      </c>
      <c r="J95" s="24">
        <f t="shared" si="59"/>
        <v>0.12232968201693899</v>
      </c>
      <c r="K95" s="22">
        <f t="shared" si="60"/>
        <v>7.5979634157653769E-2</v>
      </c>
      <c r="L95" s="22">
        <f t="shared" si="61"/>
        <v>0.11594492172457965</v>
      </c>
      <c r="M95" s="227">
        <f t="shared" si="62"/>
        <v>0.12232968201693899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0.48212531492765759</v>
      </c>
      <c r="C96" s="75">
        <f t="shared" si="50"/>
        <v>7.1835290476327208E-3</v>
      </c>
      <c r="D96" s="24">
        <f t="shared" si="56"/>
        <v>0.48930884397529029</v>
      </c>
      <c r="H96" s="24">
        <f t="shared" si="57"/>
        <v>1.1199999999999999</v>
      </c>
      <c r="I96" s="22">
        <f t="shared" si="58"/>
        <v>0.54802590525232509</v>
      </c>
      <c r="J96" s="24">
        <f t="shared" si="59"/>
        <v>0.53953730680044076</v>
      </c>
      <c r="K96" s="22">
        <f t="shared" si="60"/>
        <v>0.48212531492765759</v>
      </c>
      <c r="L96" s="22">
        <f t="shared" si="61"/>
        <v>0.53998035271897649</v>
      </c>
      <c r="M96" s="227">
        <f t="shared" si="62"/>
        <v>0.53953730680044076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6.9072394688776156E-2</v>
      </c>
      <c r="C97" s="75">
        <f t="shared" si="50"/>
        <v>-6.9072394688776156E-2</v>
      </c>
      <c r="D97" s="24">
        <f t="shared" si="56"/>
        <v>0</v>
      </c>
      <c r="H97" s="24">
        <f t="shared" si="57"/>
        <v>1.1199999999999999</v>
      </c>
      <c r="I97" s="22">
        <f t="shared" si="58"/>
        <v>0</v>
      </c>
      <c r="J97" s="24">
        <f t="shared" si="59"/>
        <v>8.1621138960426345E-2</v>
      </c>
      <c r="K97" s="22">
        <f t="shared" si="60"/>
        <v>6.9072394688776156E-2</v>
      </c>
      <c r="L97" s="22">
        <f t="shared" si="61"/>
        <v>7.7361082051429289E-2</v>
      </c>
      <c r="M97" s="227">
        <f t="shared" si="62"/>
        <v>8.1621138960426345E-2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Amadumbe: kg produced</v>
      </c>
      <c r="B98" s="75">
        <f t="shared" si="50"/>
        <v>7.7361082051429289E-3</v>
      </c>
      <c r="C98" s="75">
        <f t="shared" si="50"/>
        <v>-7.7361082051429289E-3</v>
      </c>
      <c r="D98" s="24">
        <f t="shared" si="56"/>
        <v>0</v>
      </c>
      <c r="H98" s="24">
        <f t="shared" si="57"/>
        <v>1.1199999999999999</v>
      </c>
      <c r="I98" s="22">
        <f t="shared" si="58"/>
        <v>0</v>
      </c>
      <c r="J98" s="24">
        <f t="shared" si="59"/>
        <v>9.1415675635677495E-3</v>
      </c>
      <c r="K98" s="22">
        <f t="shared" si="60"/>
        <v>7.7361082051429289E-3</v>
      </c>
      <c r="L98" s="22">
        <f t="shared" si="61"/>
        <v>8.6644411897600793E-3</v>
      </c>
      <c r="M98" s="227">
        <f t="shared" si="62"/>
        <v>9.1415675635677495E-3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Sweet Potatoes: kg produced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1.1199999999999999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7">
        <f t="shared" si="6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Cabbage</v>
      </c>
      <c r="B100" s="75">
        <f t="shared" si="50"/>
        <v>2.3484614194183894E-3</v>
      </c>
      <c r="C100" s="75">
        <f t="shared" si="50"/>
        <v>-2.3484614194183894E-3</v>
      </c>
      <c r="D100" s="24">
        <f t="shared" si="56"/>
        <v>0</v>
      </c>
      <c r="H100" s="24">
        <f t="shared" si="57"/>
        <v>1.1199999999999999</v>
      </c>
      <c r="I100" s="22">
        <f t="shared" si="58"/>
        <v>0</v>
      </c>
      <c r="J100" s="24">
        <f t="shared" si="59"/>
        <v>2.7751187246544957E-3</v>
      </c>
      <c r="K100" s="22">
        <f t="shared" si="60"/>
        <v>2.3484614194183894E-3</v>
      </c>
      <c r="L100" s="22">
        <f t="shared" si="61"/>
        <v>2.6302767897485959E-3</v>
      </c>
      <c r="M100" s="227">
        <f t="shared" si="62"/>
        <v>2.7751187246544957E-3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beetroot: no. local meas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1.1199999999999999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si="50"/>
        <v>6.9072394688776163E-4</v>
      </c>
      <c r="C102" s="75">
        <f t="shared" si="50"/>
        <v>-6.9072394688776163E-4</v>
      </c>
      <c r="D102" s="24">
        <f t="shared" si="56"/>
        <v>0</v>
      </c>
      <c r="H102" s="24">
        <f t="shared" si="57"/>
        <v>1.1199999999999999</v>
      </c>
      <c r="I102" s="22">
        <f t="shared" si="58"/>
        <v>0</v>
      </c>
      <c r="J102" s="24">
        <f t="shared" si="59"/>
        <v>8.1621138960426363E-4</v>
      </c>
      <c r="K102" s="22">
        <f t="shared" si="60"/>
        <v>6.9072394688776163E-4</v>
      </c>
      <c r="L102" s="22">
        <f t="shared" si="61"/>
        <v>7.73610820514293E-4</v>
      </c>
      <c r="M102" s="227">
        <f t="shared" si="62"/>
        <v>8.1621138960426363E-4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crop: pumpkin</v>
      </c>
      <c r="B103" s="75">
        <f t="shared" si="50"/>
        <v>2.2103166300408371E-3</v>
      </c>
      <c r="C103" s="75">
        <f t="shared" si="50"/>
        <v>-2.2103166300408371E-3</v>
      </c>
      <c r="D103" s="24">
        <f t="shared" si="56"/>
        <v>0</v>
      </c>
      <c r="H103" s="24">
        <f t="shared" si="57"/>
        <v>1.1199999999999999</v>
      </c>
      <c r="I103" s="22">
        <f t="shared" si="58"/>
        <v>0</v>
      </c>
      <c r="J103" s="24">
        <f t="shared" si="59"/>
        <v>2.6118764467336435E-3</v>
      </c>
      <c r="K103" s="22">
        <f t="shared" si="60"/>
        <v>2.2103166300408371E-3</v>
      </c>
      <c r="L103" s="22">
        <f t="shared" si="61"/>
        <v>2.4755546256457375E-3</v>
      </c>
      <c r="M103" s="227">
        <f t="shared" si="62"/>
        <v>2.6118764467336435E-3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sugar cane (tons)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1.4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1.1100000000000001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Construction cash income -- see Data2</v>
      </c>
      <c r="B106" s="75">
        <f t="shared" si="50"/>
        <v>2.9839274505551301</v>
      </c>
      <c r="C106" s="75">
        <f t="shared" si="50"/>
        <v>0</v>
      </c>
      <c r="D106" s="24">
        <f t="shared" si="56"/>
        <v>2.9839274505551301</v>
      </c>
      <c r="H106" s="24">
        <f t="shared" si="57"/>
        <v>1.1100000000000001</v>
      </c>
      <c r="I106" s="22">
        <f t="shared" si="58"/>
        <v>3.3121594701161947</v>
      </c>
      <c r="J106" s="24">
        <f t="shared" si="59"/>
        <v>3.3121594701161947</v>
      </c>
      <c r="K106" s="22">
        <f t="shared" si="60"/>
        <v>2.9839274505551301</v>
      </c>
      <c r="L106" s="22">
        <f t="shared" si="61"/>
        <v>3.3121594701161947</v>
      </c>
      <c r="M106" s="227">
        <f t="shared" si="62"/>
        <v>3.3121594701161947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Domestic work cash income -- see Data2</v>
      </c>
      <c r="B107" s="75">
        <f t="shared" si="50"/>
        <v>0.53047599120980082</v>
      </c>
      <c r="C107" s="75">
        <f t="shared" si="50"/>
        <v>0</v>
      </c>
      <c r="D107" s="24">
        <f t="shared" si="56"/>
        <v>0.53047599120980082</v>
      </c>
      <c r="H107" s="24">
        <f t="shared" si="57"/>
        <v>1.1100000000000001</v>
      </c>
      <c r="I107" s="22">
        <f t="shared" si="58"/>
        <v>0.58882835024287894</v>
      </c>
      <c r="J107" s="24">
        <f t="shared" si="59"/>
        <v>0.58882835024287894</v>
      </c>
      <c r="K107" s="22">
        <f t="shared" si="60"/>
        <v>0.53047599120980082</v>
      </c>
      <c r="L107" s="22">
        <f t="shared" si="61"/>
        <v>0.58882835024287894</v>
      </c>
      <c r="M107" s="227">
        <f t="shared" si="62"/>
        <v>0.58882835024287894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Formal Employment (conservancies, etc.)</v>
      </c>
      <c r="B108" s="75">
        <f t="shared" si="50"/>
        <v>1.2200947797825421</v>
      </c>
      <c r="C108" s="75">
        <f t="shared" si="50"/>
        <v>0</v>
      </c>
      <c r="D108" s="24">
        <f t="shared" si="56"/>
        <v>1.2200947797825421</v>
      </c>
      <c r="H108" s="24">
        <f t="shared" si="57"/>
        <v>1.18</v>
      </c>
      <c r="I108" s="22">
        <f t="shared" si="58"/>
        <v>1.4397118401433997</v>
      </c>
      <c r="J108" s="24">
        <f t="shared" si="59"/>
        <v>1.4397118401433997</v>
      </c>
      <c r="K108" s="22">
        <f t="shared" si="60"/>
        <v>1.2200947797825421</v>
      </c>
      <c r="L108" s="22">
        <f t="shared" si="61"/>
        <v>1.4397118401433997</v>
      </c>
      <c r="M108" s="227">
        <f t="shared" si="62"/>
        <v>1.4397118401433997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Labour migration(formal employment): no. people per HH</v>
      </c>
      <c r="B109" s="75">
        <f t="shared" si="50"/>
        <v>0.44261590516567761</v>
      </c>
      <c r="C109" s="75">
        <f t="shared" si="50"/>
        <v>0</v>
      </c>
      <c r="D109" s="24">
        <f t="shared" si="56"/>
        <v>0.44261590516567761</v>
      </c>
      <c r="H109" s="24">
        <f t="shared" si="57"/>
        <v>0.59</v>
      </c>
      <c r="I109" s="22">
        <f t="shared" si="58"/>
        <v>0.26114338404774978</v>
      </c>
      <c r="J109" s="24">
        <f t="shared" si="59"/>
        <v>0.26114338404774978</v>
      </c>
      <c r="K109" s="22">
        <f t="shared" si="60"/>
        <v>0.44261590516567761</v>
      </c>
      <c r="L109" s="22">
        <f t="shared" si="61"/>
        <v>0.26114338404774978</v>
      </c>
      <c r="M109" s="227">
        <f t="shared" si="62"/>
        <v>0.26114338404774978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Small business -- see Data2</v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0.94399999999999984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Social development -- see Data2</v>
      </c>
      <c r="B111" s="75">
        <f t="shared" si="50"/>
        <v>0.5507003883746745</v>
      </c>
      <c r="C111" s="75">
        <f t="shared" si="50"/>
        <v>0</v>
      </c>
      <c r="D111" s="24">
        <f t="shared" si="56"/>
        <v>0.5507003883746745</v>
      </c>
      <c r="H111" s="24">
        <f t="shared" si="57"/>
        <v>1.18</v>
      </c>
      <c r="I111" s="22">
        <f t="shared" si="58"/>
        <v>0.64982645828211583</v>
      </c>
      <c r="J111" s="24">
        <f t="shared" si="59"/>
        <v>0.64982645828211583</v>
      </c>
      <c r="K111" s="22">
        <f t="shared" si="60"/>
        <v>0.5507003883746745</v>
      </c>
      <c r="L111" s="22">
        <f t="shared" si="61"/>
        <v>0.64982645828211583</v>
      </c>
      <c r="M111" s="227">
        <f t="shared" si="62"/>
        <v>0.64982645828211583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Public works -- see Data2</v>
      </c>
      <c r="B112" s="75">
        <f t="shared" si="50"/>
        <v>6.9072394688776156E-2</v>
      </c>
      <c r="C112" s="75">
        <f t="shared" si="50"/>
        <v>0</v>
      </c>
      <c r="D112" s="24">
        <f t="shared" si="56"/>
        <v>6.9072394688776156E-2</v>
      </c>
      <c r="H112" s="24">
        <f t="shared" si="57"/>
        <v>1.18</v>
      </c>
      <c r="I112" s="22">
        <f t="shared" si="58"/>
        <v>8.1505425732755862E-2</v>
      </c>
      <c r="J112" s="24">
        <f t="shared" si="59"/>
        <v>8.1505425732755862E-2</v>
      </c>
      <c r="K112" s="22">
        <f t="shared" si="60"/>
        <v>6.9072394688776156E-2</v>
      </c>
      <c r="L112" s="22">
        <f t="shared" si="61"/>
        <v>8.1505425732755862E-2</v>
      </c>
      <c r="M112" s="227">
        <f t="shared" si="62"/>
        <v>8.1505425732755862E-2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Gifts/social support: type (Child support, Pension and Foster Care)</v>
      </c>
      <c r="B113" s="75">
        <f t="shared" si="50"/>
        <v>0.36884658763806466</v>
      </c>
      <c r="C113" s="75">
        <f t="shared" si="50"/>
        <v>0</v>
      </c>
      <c r="D113" s="24">
        <f t="shared" si="56"/>
        <v>0.36884658763806466</v>
      </c>
      <c r="H113" s="24">
        <f t="shared" si="57"/>
        <v>1.1100000000000001</v>
      </c>
      <c r="I113" s="22">
        <f t="shared" si="58"/>
        <v>0.4094197122782518</v>
      </c>
      <c r="J113" s="24">
        <f t="shared" si="59"/>
        <v>0.4094197122782518</v>
      </c>
      <c r="K113" s="22">
        <f t="shared" si="60"/>
        <v>0.36884658763806466</v>
      </c>
      <c r="L113" s="22">
        <f t="shared" si="61"/>
        <v>0.4094197122782518</v>
      </c>
      <c r="M113" s="227">
        <f t="shared" si="62"/>
        <v>0.4094197122782518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Other income: e.g. Credit (cotton loans)</v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1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1.1100000000000001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1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1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1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8.0906429926014791</v>
      </c>
      <c r="C119" s="22">
        <f>SUM(C91:C118)</f>
        <v>-0.11769936054967459</v>
      </c>
      <c r="D119" s="24">
        <f>SUM(D91:D118)</f>
        <v>7.9729436320518055</v>
      </c>
      <c r="E119" s="22"/>
      <c r="F119" s="2"/>
      <c r="G119" s="2"/>
      <c r="H119" s="31"/>
      <c r="I119" s="22">
        <f>SUM(I91:I118)</f>
        <v>8.543847972162526</v>
      </c>
      <c r="J119" s="24">
        <f>SUM(J91:J118)</f>
        <v>8.7216333880217203</v>
      </c>
      <c r="K119" s="22">
        <f>SUM(K91:K118)</f>
        <v>8.0906429926014791</v>
      </c>
      <c r="L119" s="22">
        <f>SUM(L91:L118)</f>
        <v>8.7123542233494771</v>
      </c>
      <c r="M119" s="57">
        <f t="shared" si="49"/>
        <v>8.7216333880217203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1.0540460987110509</v>
      </c>
      <c r="C124" s="2"/>
      <c r="D124" s="24"/>
      <c r="H124" s="24">
        <f>(E70*F70/G$37*F$7/F$9)</f>
        <v>1.4</v>
      </c>
      <c r="I124" s="29">
        <f>IF(SUMPRODUCT($B$124:$B124,$H$124:$H124)&lt;I$119,($B124*$H124),I$119)</f>
        <v>1.4756645381954712</v>
      </c>
      <c r="J124" s="237">
        <f>IF(SUMPRODUCT($B$124:$B124,$H$124:$H124)&lt;J$119,($B124*$H124),J$119)</f>
        <v>1.4756645381954712</v>
      </c>
      <c r="K124" s="22">
        <f>(B124)</f>
        <v>1.0540460987110509</v>
      </c>
      <c r="L124" s="29">
        <f>IF(SUMPRODUCT($B$124:$B124,$H$124:$H124)&lt;L$119,($B124*$H124),L$119)</f>
        <v>1.4756645381954712</v>
      </c>
      <c r="M124" s="57">
        <f t="shared" si="63"/>
        <v>1.4756645381954712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1.0426501002402309</v>
      </c>
      <c r="C125" s="2"/>
      <c r="D125" s="24"/>
      <c r="H125" s="24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1.2303271182834723</v>
      </c>
      <c r="J125" s="237">
        <f>IF(SUMPRODUCT($B$124:$B125,$H$124:$H125)&lt;J$119,($B125*$H125),IF(SUMPRODUCT($B$124:$B124,$H$124:$H124)&lt;J$119,J$119-SUMPRODUCT($B$124:$B124,$H$124:$H124),0))</f>
        <v>1.2303271182834723</v>
      </c>
      <c r="K125" s="22">
        <f t="shared" ref="K125:K126" si="64">(B125)</f>
        <v>1.0426501002402309</v>
      </c>
      <c r="L125" s="29">
        <f>IF(SUMPRODUCT($B$124:$B125,$H$124:$H125)&lt;L$119,($B125*$H125),IF(SUMPRODUCT($B$124:$B124,$H$124:$H124)&lt;L$119,L$119-SUMPRODUCT($B$124:$B124,$H$124:$H124),0))</f>
        <v>1.2303271182834723</v>
      </c>
      <c r="M125" s="57">
        <f t="shared" ref="M125:M126" si="65">(J125)</f>
        <v>1.2303271182834723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1.9283216714844396</v>
      </c>
      <c r="C126" s="2"/>
      <c r="D126" s="24"/>
      <c r="H126" s="24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2.2754195723516384</v>
      </c>
      <c r="K126" s="22">
        <f t="shared" si="64"/>
        <v>1.9283216714844396</v>
      </c>
      <c r="L126" s="29">
        <f>IF(SUMPRODUCT($B$124:$B126,$H$124:$H126)&lt;(L$119-L$128),($B126*$H126),IF(SUMPRODUCT($B$124:$B125,$H$124:$H125)&lt;(L$119-L$128),L$119-L$128-SUMPRODUCT($B$124:$B125,$H$124:$H125),0))</f>
        <v>2.2754195723516384</v>
      </c>
      <c r="M126" s="57">
        <f t="shared" si="65"/>
        <v>2.2754195723516384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0.85739563527177842</v>
      </c>
      <c r="C127" s="2"/>
      <c r="D127" s="24"/>
      <c r="H127" s="24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1.0117268496206986</v>
      </c>
      <c r="K127" s="22">
        <f>(B127)</f>
        <v>0.85739563527177842</v>
      </c>
      <c r="L127" s="29">
        <f>IF(SUMPRODUCT($B$124:$B127,$H$124:$H127)&lt;(L$119-L$128),($B127*$H127),IF(SUMPRODUCT($B$124:$B126,$H$124:$H126)&lt;(L$119-L128),L$119-L$128-SUMPRODUCT($B$124:$B126,$H$124:$H126),0))</f>
        <v>1.0117268496206986</v>
      </c>
      <c r="M127" s="57">
        <f t="shared" si="63"/>
        <v>1.0117268496206986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0.63059345561288027</v>
      </c>
      <c r="C128" s="2"/>
      <c r="D128" s="31"/>
      <c r="E128" s="2"/>
      <c r="F128" s="2"/>
      <c r="G128" s="2"/>
      <c r="H128" s="24"/>
      <c r="I128" s="29">
        <f>(I30)</f>
        <v>7.0681834339670546</v>
      </c>
      <c r="J128" s="228">
        <f>(J30)</f>
        <v>0.35072546179928032</v>
      </c>
      <c r="K128" s="22">
        <f>(B128)</f>
        <v>0.63059345561288027</v>
      </c>
      <c r="L128" s="22">
        <f>IF(L124=L119,0,(L119-L124)/(B119-B124)*K128)</f>
        <v>0.6485250220488773</v>
      </c>
      <c r="M128" s="57">
        <f t="shared" si="63"/>
        <v>0.35072546179928032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2.5776360312810986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2.3777698477711597</v>
      </c>
      <c r="K129" s="29">
        <f>(B129)</f>
        <v>2.5776360312810986</v>
      </c>
      <c r="L129" s="60">
        <f>IF(SUM(L124:L128)&gt;L130,0,L130-SUM(L124:L128))</f>
        <v>2.0706911228493192</v>
      </c>
      <c r="M129" s="57">
        <f t="shared" si="63"/>
        <v>2.3777698477711597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8.0906429926014791</v>
      </c>
      <c r="C130" s="2"/>
      <c r="D130" s="31"/>
      <c r="E130" s="2"/>
      <c r="F130" s="2"/>
      <c r="G130" s="2"/>
      <c r="H130" s="24"/>
      <c r="I130" s="29">
        <f>(I119)</f>
        <v>8.543847972162526</v>
      </c>
      <c r="J130" s="228">
        <f>(J119)</f>
        <v>8.7216333880217203</v>
      </c>
      <c r="K130" s="22">
        <f>(B130)</f>
        <v>8.0906429926014791</v>
      </c>
      <c r="L130" s="22">
        <f>(L119)</f>
        <v>8.7123542233494771</v>
      </c>
      <c r="M130" s="57">
        <f t="shared" si="63"/>
        <v>8.7216333880217203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1.230327118283471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13" priority="164" operator="equal">
      <formula>16</formula>
    </cfRule>
    <cfRule type="cellIs" dxfId="212" priority="165" operator="equal">
      <formula>15</formula>
    </cfRule>
    <cfRule type="cellIs" dxfId="211" priority="166" operator="equal">
      <formula>14</formula>
    </cfRule>
    <cfRule type="cellIs" dxfId="210" priority="167" operator="equal">
      <formula>13</formula>
    </cfRule>
    <cfRule type="cellIs" dxfId="209" priority="168" operator="equal">
      <formula>12</formula>
    </cfRule>
    <cfRule type="cellIs" dxfId="208" priority="169" operator="equal">
      <formula>11</formula>
    </cfRule>
    <cfRule type="cellIs" dxfId="207" priority="170" operator="equal">
      <formula>10</formula>
    </cfRule>
    <cfRule type="cellIs" dxfId="206" priority="171" operator="equal">
      <formula>9</formula>
    </cfRule>
    <cfRule type="cellIs" dxfId="205" priority="172" operator="equal">
      <formula>8</formula>
    </cfRule>
    <cfRule type="cellIs" dxfId="204" priority="173" operator="equal">
      <formula>7</formula>
    </cfRule>
    <cfRule type="cellIs" dxfId="203" priority="174" operator="equal">
      <formula>6</formula>
    </cfRule>
    <cfRule type="cellIs" dxfId="202" priority="175" operator="equal">
      <formula>5</formula>
    </cfRule>
    <cfRule type="cellIs" dxfId="201" priority="176" operator="equal">
      <formula>4</formula>
    </cfRule>
    <cfRule type="cellIs" dxfId="200" priority="177" operator="equal">
      <formula>3</formula>
    </cfRule>
    <cfRule type="cellIs" dxfId="199" priority="178" operator="equal">
      <formula>2</formula>
    </cfRule>
    <cfRule type="cellIs" dxfId="198" priority="179" operator="equal">
      <formula>1</formula>
    </cfRule>
  </conditionalFormatting>
  <conditionalFormatting sqref="N29">
    <cfRule type="cellIs" dxfId="197" priority="148" operator="equal">
      <formula>16</formula>
    </cfRule>
    <cfRule type="cellIs" dxfId="196" priority="149" operator="equal">
      <formula>15</formula>
    </cfRule>
    <cfRule type="cellIs" dxfId="195" priority="150" operator="equal">
      <formula>14</formula>
    </cfRule>
    <cfRule type="cellIs" dxfId="194" priority="151" operator="equal">
      <formula>13</formula>
    </cfRule>
    <cfRule type="cellIs" dxfId="193" priority="152" operator="equal">
      <formula>12</formula>
    </cfRule>
    <cfRule type="cellIs" dxfId="192" priority="153" operator="equal">
      <formula>11</formula>
    </cfRule>
    <cfRule type="cellIs" dxfId="191" priority="154" operator="equal">
      <formula>10</formula>
    </cfRule>
    <cfRule type="cellIs" dxfId="190" priority="155" operator="equal">
      <formula>9</formula>
    </cfRule>
    <cfRule type="cellIs" dxfId="189" priority="156" operator="equal">
      <formula>8</formula>
    </cfRule>
    <cfRule type="cellIs" dxfId="188" priority="157" operator="equal">
      <formula>7</formula>
    </cfRule>
    <cfRule type="cellIs" dxfId="187" priority="158" operator="equal">
      <formula>6</formula>
    </cfRule>
    <cfRule type="cellIs" dxfId="186" priority="159" operator="equal">
      <formula>5</formula>
    </cfRule>
    <cfRule type="cellIs" dxfId="185" priority="160" operator="equal">
      <formula>4</formula>
    </cfRule>
    <cfRule type="cellIs" dxfId="184" priority="161" operator="equal">
      <formula>3</formula>
    </cfRule>
    <cfRule type="cellIs" dxfId="183" priority="162" operator="equal">
      <formula>2</formula>
    </cfRule>
    <cfRule type="cellIs" dxfId="182" priority="163" operator="equal">
      <formula>1</formula>
    </cfRule>
  </conditionalFormatting>
  <conditionalFormatting sqref="N116:N118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6:N28">
    <cfRule type="cellIs" dxfId="165" priority="84" operator="equal">
      <formula>16</formula>
    </cfRule>
    <cfRule type="cellIs" dxfId="164" priority="85" operator="equal">
      <formula>15</formula>
    </cfRule>
    <cfRule type="cellIs" dxfId="163" priority="86" operator="equal">
      <formula>14</formula>
    </cfRule>
    <cfRule type="cellIs" dxfId="162" priority="87" operator="equal">
      <formula>13</formula>
    </cfRule>
    <cfRule type="cellIs" dxfId="161" priority="88" operator="equal">
      <formula>12</formula>
    </cfRule>
    <cfRule type="cellIs" dxfId="160" priority="89" operator="equal">
      <formula>11</formula>
    </cfRule>
    <cfRule type="cellIs" dxfId="159" priority="90" operator="equal">
      <formula>10</formula>
    </cfRule>
    <cfRule type="cellIs" dxfId="158" priority="91" operator="equal">
      <formula>9</formula>
    </cfRule>
    <cfRule type="cellIs" dxfId="157" priority="92" operator="equal">
      <formula>8</formula>
    </cfRule>
    <cfRule type="cellIs" dxfId="156" priority="93" operator="equal">
      <formula>7</formula>
    </cfRule>
    <cfRule type="cellIs" dxfId="155" priority="94" operator="equal">
      <formula>6</formula>
    </cfRule>
    <cfRule type="cellIs" dxfId="154" priority="95" operator="equal">
      <formula>5</formula>
    </cfRule>
    <cfRule type="cellIs" dxfId="153" priority="96" operator="equal">
      <formula>4</formula>
    </cfRule>
    <cfRule type="cellIs" dxfId="152" priority="97" operator="equal">
      <formula>3</formula>
    </cfRule>
    <cfRule type="cellIs" dxfId="151" priority="98" operator="equal">
      <formula>2</formula>
    </cfRule>
    <cfRule type="cellIs" dxfId="150" priority="99" operator="equal">
      <formula>1</formula>
    </cfRule>
  </conditionalFormatting>
  <conditionalFormatting sqref="R31:T31">
    <cfRule type="cellIs" dxfId="149" priority="51" operator="greaterThan">
      <formula>0</formula>
    </cfRule>
  </conditionalFormatting>
  <conditionalFormatting sqref="R32:T32">
    <cfRule type="cellIs" dxfId="148" priority="50" operator="greaterThan">
      <formula>0</formula>
    </cfRule>
  </conditionalFormatting>
  <conditionalFormatting sqref="R30:T30">
    <cfRule type="cellIs" dxfId="147" priority="49" operator="greaterThan">
      <formula>0</formula>
    </cfRule>
  </conditionalFormatting>
  <conditionalFormatting sqref="N113:N115">
    <cfRule type="cellIs" dxfId="146" priority="33" operator="equal">
      <formula>16</formula>
    </cfRule>
    <cfRule type="cellIs" dxfId="145" priority="34" operator="equal">
      <formula>15</formula>
    </cfRule>
    <cfRule type="cellIs" dxfId="144" priority="35" operator="equal">
      <formula>14</formula>
    </cfRule>
    <cfRule type="cellIs" dxfId="143" priority="36" operator="equal">
      <formula>13</formula>
    </cfRule>
    <cfRule type="cellIs" dxfId="142" priority="37" operator="equal">
      <formula>12</formula>
    </cfRule>
    <cfRule type="cellIs" dxfId="141" priority="38" operator="equal">
      <formula>11</formula>
    </cfRule>
    <cfRule type="cellIs" dxfId="140" priority="39" operator="equal">
      <formula>10</formula>
    </cfRule>
    <cfRule type="cellIs" dxfId="139" priority="40" operator="equal">
      <formula>9</formula>
    </cfRule>
    <cfRule type="cellIs" dxfId="138" priority="41" operator="equal">
      <formula>8</formula>
    </cfRule>
    <cfRule type="cellIs" dxfId="137" priority="42" operator="equal">
      <formula>7</formula>
    </cfRule>
    <cfRule type="cellIs" dxfId="136" priority="43" operator="equal">
      <formula>6</formula>
    </cfRule>
    <cfRule type="cellIs" dxfId="135" priority="44" operator="equal">
      <formula>5</formula>
    </cfRule>
    <cfRule type="cellIs" dxfId="134" priority="45" operator="equal">
      <formula>4</formula>
    </cfRule>
    <cfRule type="cellIs" dxfId="133" priority="46" operator="equal">
      <formula>3</formula>
    </cfRule>
    <cfRule type="cellIs" dxfId="132" priority="47" operator="equal">
      <formula>2</formula>
    </cfRule>
    <cfRule type="cellIs" dxfId="131" priority="48" operator="equal">
      <formula>1</formula>
    </cfRule>
  </conditionalFormatting>
  <conditionalFormatting sqref="N91:N104">
    <cfRule type="cellIs" dxfId="130" priority="17" operator="equal">
      <formula>16</formula>
    </cfRule>
    <cfRule type="cellIs" dxfId="129" priority="18" operator="equal">
      <formula>15</formula>
    </cfRule>
    <cfRule type="cellIs" dxfId="128" priority="19" operator="equal">
      <formula>14</formula>
    </cfRule>
    <cfRule type="cellIs" dxfId="127" priority="20" operator="equal">
      <formula>13</formula>
    </cfRule>
    <cfRule type="cellIs" dxfId="126" priority="21" operator="equal">
      <formula>12</formula>
    </cfRule>
    <cfRule type="cellIs" dxfId="125" priority="22" operator="equal">
      <formula>11</formula>
    </cfRule>
    <cfRule type="cellIs" dxfId="124" priority="23" operator="equal">
      <formula>10</formula>
    </cfRule>
    <cfRule type="cellIs" dxfId="123" priority="24" operator="equal">
      <formula>9</formula>
    </cfRule>
    <cfRule type="cellIs" dxfId="122" priority="25" operator="equal">
      <formula>8</formula>
    </cfRule>
    <cfRule type="cellIs" dxfId="121" priority="26" operator="equal">
      <formula>7</formula>
    </cfRule>
    <cfRule type="cellIs" dxfId="120" priority="27" operator="equal">
      <formula>6</formula>
    </cfRule>
    <cfRule type="cellIs" dxfId="119" priority="28" operator="equal">
      <formula>5</formula>
    </cfRule>
    <cfRule type="cellIs" dxfId="118" priority="29" operator="equal">
      <formula>4</formula>
    </cfRule>
    <cfRule type="cellIs" dxfId="117" priority="30" operator="equal">
      <formula>3</formula>
    </cfRule>
    <cfRule type="cellIs" dxfId="116" priority="31" operator="equal">
      <formula>2</formula>
    </cfRule>
    <cfRule type="cellIs" dxfId="115" priority="32" operator="equal">
      <formula>1</formula>
    </cfRule>
  </conditionalFormatting>
  <conditionalFormatting sqref="N105:N112">
    <cfRule type="cellIs" dxfId="114" priority="1" operator="equal">
      <formula>16</formula>
    </cfRule>
    <cfRule type="cellIs" dxfId="113" priority="2" operator="equal">
      <formula>15</formula>
    </cfRule>
    <cfRule type="cellIs" dxfId="112" priority="3" operator="equal">
      <formula>14</formula>
    </cfRule>
    <cfRule type="cellIs" dxfId="111" priority="4" operator="equal">
      <formula>13</formula>
    </cfRule>
    <cfRule type="cellIs" dxfId="110" priority="5" operator="equal">
      <formula>12</formula>
    </cfRule>
    <cfRule type="cellIs" dxfId="109" priority="6" operator="equal">
      <formula>11</formula>
    </cfRule>
    <cfRule type="cellIs" dxfId="108" priority="7" operator="equal">
      <formula>10</formula>
    </cfRule>
    <cfRule type="cellIs" dxfId="107" priority="8" operator="equal">
      <formula>9</formula>
    </cfRule>
    <cfRule type="cellIs" dxfId="106" priority="9" operator="equal">
      <formula>8</formula>
    </cfRule>
    <cfRule type="cellIs" dxfId="105" priority="10" operator="equal">
      <formula>7</formula>
    </cfRule>
    <cfRule type="cellIs" dxfId="104" priority="11" operator="equal">
      <formula>6</formula>
    </cfRule>
    <cfRule type="cellIs" dxfId="103" priority="12" operator="equal">
      <formula>5</formula>
    </cfRule>
    <cfRule type="cellIs" dxfId="102" priority="13" operator="equal">
      <formula>4</formula>
    </cfRule>
    <cfRule type="cellIs" dxfId="101" priority="14" operator="equal">
      <formula>3</formula>
    </cfRule>
    <cfRule type="cellIs" dxfId="100" priority="15" operator="equal">
      <formula>2</formula>
    </cfRule>
    <cfRule type="cellIs" dxfId="99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7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ZA1XX, 59100</v>
      </c>
      <c r="B1" s="244" t="str">
        <f>Poor!B1</f>
        <v xml:space="preserve">Open access Livestock husbandry 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v>4.2240037359900375E-2</v>
      </c>
      <c r="C6" s="102">
        <v>0</v>
      </c>
      <c r="D6" s="24">
        <f t="shared" ref="D6:D29" si="0">(B6+C6)</f>
        <v>4.2240037359900375E-2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2.1120018679950187E-2</v>
      </c>
      <c r="J6" s="24">
        <f t="shared" ref="J6:J13" si="3">IF(I$32&lt;=1+I$131,I6,B6*H6+J$33*(I6-B6*H6))</f>
        <v>2.1120018679950187E-2</v>
      </c>
      <c r="K6" s="22">
        <f t="shared" ref="K6:K31" si="4">B6</f>
        <v>4.2240037359900375E-2</v>
      </c>
      <c r="L6" s="22">
        <f t="shared" ref="L6:L29" si="5">IF(K6="","",K6*H6)</f>
        <v>2.1120018679950187E-2</v>
      </c>
      <c r="M6" s="177">
        <f t="shared" ref="M6:M31" si="6">J6</f>
        <v>2.1120018679950187E-2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8.4480074719800749E-2</v>
      </c>
      <c r="Z6" s="156">
        <f>Poor!Z6</f>
        <v>0.17</v>
      </c>
      <c r="AA6" s="121">
        <f>$M6*Z6*4</f>
        <v>1.4361612702366128E-2</v>
      </c>
      <c r="AB6" s="156">
        <f>Poor!AB6</f>
        <v>0.17</v>
      </c>
      <c r="AC6" s="121">
        <f t="shared" ref="AC6:AC29" si="7">$M6*AB6*4</f>
        <v>1.4361612702366128E-2</v>
      </c>
      <c r="AD6" s="156">
        <f>Poor!AD6</f>
        <v>0.33</v>
      </c>
      <c r="AE6" s="121">
        <f t="shared" ref="AE6:AE29" si="8">$M6*AD6*4</f>
        <v>2.7878424657534248E-2</v>
      </c>
      <c r="AF6" s="122">
        <f>1-SUM(Z6,AB6,AD6)</f>
        <v>0.32999999999999996</v>
      </c>
      <c r="AG6" s="121">
        <f>$M6*AF6*4</f>
        <v>2.7878424657534245E-2</v>
      </c>
      <c r="AH6" s="123">
        <f>SUM(Z6,AB6,AD6,AF6)</f>
        <v>1</v>
      </c>
      <c r="AI6" s="183">
        <f>SUM(AA6,AC6,AE6,AG6)/4</f>
        <v>2.1120018679950187E-2</v>
      </c>
      <c r="AJ6" s="120">
        <f>(AA6+AC6)/2</f>
        <v>1.4361612702366128E-2</v>
      </c>
      <c r="AK6" s="119">
        <f>(AE6+AG6)/2</f>
        <v>2.7878424657534248E-2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v>8.6975165006226651E-2</v>
      </c>
      <c r="C7" s="102">
        <v>0</v>
      </c>
      <c r="D7" s="24">
        <f t="shared" si="0"/>
        <v>8.6975165006226651E-2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4.3487582503113326E-2</v>
      </c>
      <c r="J7" s="24">
        <f t="shared" si="3"/>
        <v>4.3487582503113326E-2</v>
      </c>
      <c r="K7" s="22">
        <f t="shared" si="4"/>
        <v>8.6975165006226651E-2</v>
      </c>
      <c r="L7" s="22">
        <f t="shared" si="5"/>
        <v>4.3487582503113326E-2</v>
      </c>
      <c r="M7" s="177">
        <f t="shared" si="6"/>
        <v>4.3487582503113326E-2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1825.413865737894</v>
      </c>
      <c r="S7" s="222">
        <f>IF($B$81=0,0,(SUMIF($N$6:$N$28,$U7,L$6:L$28)+SUMIF($N$91:$N$118,$U7,L$91:L$118))*$I$83*Poor!$B$81/$B$81)</f>
        <v>1368.6925470438018</v>
      </c>
      <c r="T7" s="222">
        <f>IF($B$81=0,0,(SUMIF($N$6:$N$28,$U7,M$6:M$28)+SUMIF($N$91:$N$118,$U7,M$91:M$118))*$I$83*Poor!$B$81/$B$81)</f>
        <v>1200.9758667421727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0.1739503300124533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0.1739503300124533</v>
      </c>
      <c r="AH7" s="123">
        <f t="shared" ref="AH7:AH30" si="12">SUM(Z7,AB7,AD7,AF7)</f>
        <v>1</v>
      </c>
      <c r="AI7" s="183">
        <f t="shared" ref="AI7:AI30" si="13">SUM(AA7,AC7,AE7,AG7)/4</f>
        <v>4.3487582503113326E-2</v>
      </c>
      <c r="AJ7" s="120">
        <f t="shared" ref="AJ7:AJ31" si="14">(AA7+AC7)/2</f>
        <v>0</v>
      </c>
      <c r="AK7" s="119">
        <f t="shared" ref="AK7:AK31" si="15">(AE7+AG7)/2</f>
        <v>8.6975165006226651E-2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v>2.4999999999999996E-3</v>
      </c>
      <c r="C8" s="102">
        <v>0</v>
      </c>
      <c r="D8" s="24">
        <f t="shared" si="0"/>
        <v>2.4999999999999996E-3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2.4999999999999996E-3</v>
      </c>
      <c r="J8" s="24">
        <f t="shared" si="3"/>
        <v>2.4999999999999996E-3</v>
      </c>
      <c r="K8" s="22">
        <f t="shared" si="4"/>
        <v>2.4999999999999996E-3</v>
      </c>
      <c r="L8" s="22">
        <f t="shared" si="5"/>
        <v>2.4999999999999996E-3</v>
      </c>
      <c r="M8" s="224">
        <f t="shared" si="6"/>
        <v>2.4999999999999996E-3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22116.438696656045</v>
      </c>
      <c r="S8" s="222">
        <f>IF($B$81=0,0,(SUMIF($N$6:$N$28,$U8,L$6:L$28)+SUMIF($N$91:$N$118,$U8,L$91:L$118))*$I$83*Poor!$B$81/$B$81)</f>
        <v>24165.760000000002</v>
      </c>
      <c r="T8" s="222">
        <f>IF($B$81=0,0,(SUMIF($N$6:$N$28,$U8,M$6:M$28)+SUMIF($N$91:$N$118,$U8,M$91:M$118))*$I$83*Poor!$B$81/$B$81)</f>
        <v>24249.51311859411</v>
      </c>
      <c r="U8" s="223">
        <v>2</v>
      </c>
      <c r="V8" s="56"/>
      <c r="W8" s="115"/>
      <c r="X8" s="118">
        <f>Poor!X8</f>
        <v>1</v>
      </c>
      <c r="Y8" s="183">
        <f t="shared" si="9"/>
        <v>9.9999999999999985E-3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9.9999999999999985E-3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2.4999999999999996E-3</v>
      </c>
      <c r="AJ8" s="120">
        <f t="shared" si="14"/>
        <v>4.9999999999999992E-3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v>4.3767753735990039E-2</v>
      </c>
      <c r="C9" s="102">
        <v>0.4435928938356164</v>
      </c>
      <c r="D9" s="24">
        <f t="shared" si="0"/>
        <v>0.48736064757160646</v>
      </c>
      <c r="E9" s="75">
        <f>Middle!E9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0.5312231058530511</v>
      </c>
      <c r="J9" s="24">
        <f t="shared" si="3"/>
        <v>3.6200215653493309E-2</v>
      </c>
      <c r="K9" s="22">
        <f t="shared" si="4"/>
        <v>4.3767753735990039E-2</v>
      </c>
      <c r="L9" s="22">
        <f t="shared" si="5"/>
        <v>4.7706851572229148E-2</v>
      </c>
      <c r="M9" s="224">
        <f t="shared" si="6"/>
        <v>3.6200215653493309E-2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2192.2857565535119</v>
      </c>
      <c r="S9" s="222">
        <f>IF($B$81=0,0,(SUMIF($N$6:$N$28,$U9,L$6:L$28)+SUMIF($N$91:$N$118,$U9,L$91:L$118))*$I$83*Poor!$B$81/$B$81)</f>
        <v>890.81968307337684</v>
      </c>
      <c r="T9" s="222">
        <f>IF($B$81=0,0,(SUMIF($N$6:$N$28,$U9,M$6:M$28)+SUMIF($N$91:$N$118,$U9,M$91:M$118))*$I$83*Poor!$B$81/$B$81)</f>
        <v>890.81968307337684</v>
      </c>
      <c r="U9" s="223">
        <v>3</v>
      </c>
      <c r="V9" s="56"/>
      <c r="W9" s="115"/>
      <c r="X9" s="118">
        <f>Poor!X9</f>
        <v>1</v>
      </c>
      <c r="Y9" s="183">
        <f t="shared" si="9"/>
        <v>0.14480086261397324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0.14480086261397324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3.6200215653493309E-2</v>
      </c>
      <c r="AJ9" s="120">
        <f t="shared" si="14"/>
        <v>7.2400431306986618E-2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v>3.6013388480697385E-2</v>
      </c>
      <c r="C10" s="102">
        <v>0</v>
      </c>
      <c r="D10" s="24">
        <f t="shared" si="0"/>
        <v>3.6013388480697385E-2</v>
      </c>
      <c r="E10" s="75">
        <f>Middle!E10</f>
        <v>0.8</v>
      </c>
      <c r="H10" s="24">
        <f t="shared" si="1"/>
        <v>0.8</v>
      </c>
      <c r="I10" s="22">
        <f t="shared" si="2"/>
        <v>2.8810710784557908E-2</v>
      </c>
      <c r="J10" s="24">
        <f t="shared" si="3"/>
        <v>2.8810710784557908E-2</v>
      </c>
      <c r="K10" s="22">
        <f t="shared" si="4"/>
        <v>3.6013388480697385E-2</v>
      </c>
      <c r="L10" s="22">
        <f t="shared" si="5"/>
        <v>2.8810710784557908E-2</v>
      </c>
      <c r="M10" s="224">
        <f t="shared" si="6"/>
        <v>2.8810710784557908E-2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0.11524284313823163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0.11524284313823163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2.8810710784557908E-2</v>
      </c>
      <c r="AJ10" s="120">
        <f t="shared" si="14"/>
        <v>5.7621421569115816E-2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Potatoes: no. local meas</v>
      </c>
      <c r="B11" s="101">
        <v>2.1776816936488169E-2</v>
      </c>
      <c r="C11" s="102">
        <v>2.9563083437110827E-2</v>
      </c>
      <c r="D11" s="24">
        <f t="shared" si="0"/>
        <v>5.1339900373598993E-2</v>
      </c>
      <c r="E11" s="75">
        <f>Middle!E11</f>
        <v>0.8</v>
      </c>
      <c r="H11" s="24">
        <f t="shared" si="1"/>
        <v>0.8</v>
      </c>
      <c r="I11" s="22">
        <f t="shared" si="2"/>
        <v>4.1071920298879197E-2</v>
      </c>
      <c r="J11" s="24">
        <f t="shared" si="3"/>
        <v>1.6858623845354397E-2</v>
      </c>
      <c r="K11" s="22">
        <f t="shared" si="4"/>
        <v>2.1776816936488169E-2</v>
      </c>
      <c r="L11" s="22">
        <f t="shared" si="5"/>
        <v>1.7421453549190537E-2</v>
      </c>
      <c r="M11" s="224">
        <f t="shared" si="6"/>
        <v>1.6858623845354397E-2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31324.70731659016</v>
      </c>
      <c r="S11" s="222">
        <f>IF($B$81=0,0,(SUMIF($N$6:$N$28,$U11,L$6:L$28)+SUMIF($N$91:$N$118,$U11,L$91:L$118))*$I$83*Poor!$B$81/$B$81)</f>
        <v>24031.542857142857</v>
      </c>
      <c r="T11" s="222">
        <f>IF($B$81=0,0,(SUMIF($N$6:$N$28,$U11,M$6:M$28)+SUMIF($N$91:$N$118,$U11,M$91:M$118))*$I$83*Poor!$B$81/$B$81)</f>
        <v>23966.072996687788</v>
      </c>
      <c r="U11" s="223">
        <v>5</v>
      </c>
      <c r="V11" s="56"/>
      <c r="W11" s="115"/>
      <c r="X11" s="118">
        <f>Poor!X11</f>
        <v>1</v>
      </c>
      <c r="Y11" s="183">
        <f t="shared" si="9"/>
        <v>6.7434495381417589E-2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6.7434495381417589E-2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1.6858623845354397E-2</v>
      </c>
      <c r="AJ11" s="120">
        <f t="shared" si="14"/>
        <v>3.3717247690708795E-2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no. local meas</v>
      </c>
      <c r="B12" s="101">
        <v>1.4278953922789539E-3</v>
      </c>
      <c r="C12" s="102">
        <v>0</v>
      </c>
      <c r="D12" s="24">
        <f t="shared" si="0"/>
        <v>1.4278953922789539E-3</v>
      </c>
      <c r="E12" s="75">
        <f>Middle!E12</f>
        <v>0.8</v>
      </c>
      <c r="H12" s="24">
        <f t="shared" si="1"/>
        <v>0.8</v>
      </c>
      <c r="I12" s="22">
        <f t="shared" si="2"/>
        <v>1.1423163138231632E-3</v>
      </c>
      <c r="J12" s="24">
        <f t="shared" si="3"/>
        <v>1.1423163138231632E-3</v>
      </c>
      <c r="K12" s="22">
        <f t="shared" si="4"/>
        <v>1.4278953922789539E-3</v>
      </c>
      <c r="L12" s="22">
        <f t="shared" si="5"/>
        <v>1.1423163138231632E-3</v>
      </c>
      <c r="M12" s="224">
        <f t="shared" si="6"/>
        <v>1.1423163138231632E-3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4.5692652552926528E-3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3.0614077210460774E-3</v>
      </c>
      <c r="AF12" s="122">
        <f>1-SUM(Z12,AB12,AD12)</f>
        <v>0.32999999999999996</v>
      </c>
      <c r="AG12" s="121">
        <f>$M12*AF12*4</f>
        <v>1.5078575342465752E-3</v>
      </c>
      <c r="AH12" s="123">
        <f t="shared" si="12"/>
        <v>1</v>
      </c>
      <c r="AI12" s="183">
        <f t="shared" si="13"/>
        <v>1.1423163138231632E-3</v>
      </c>
      <c r="AJ12" s="120">
        <f t="shared" si="14"/>
        <v>0</v>
      </c>
      <c r="AK12" s="119">
        <f t="shared" si="15"/>
        <v>2.2846326276463264E-3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beetroot: no. local meas</v>
      </c>
      <c r="B13" s="101">
        <v>0</v>
      </c>
      <c r="C13" s="102">
        <v>0</v>
      </c>
      <c r="D13" s="24">
        <f t="shared" si="0"/>
        <v>0</v>
      </c>
      <c r="E13" s="75">
        <f>Middle!E13</f>
        <v>0.8</v>
      </c>
      <c r="H13" s="24">
        <f t="shared" si="1"/>
        <v>0.8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Groundnuts (dry): no. local meas</v>
      </c>
      <c r="B14" s="101">
        <v>0</v>
      </c>
      <c r="C14" s="102">
        <v>0</v>
      </c>
      <c r="D14" s="24">
        <f t="shared" si="0"/>
        <v>0</v>
      </c>
      <c r="E14" s="75">
        <f>Middle!E14</f>
        <v>0.8</v>
      </c>
      <c r="F14" s="22"/>
      <c r="H14" s="24">
        <f t="shared" si="1"/>
        <v>0.8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154408.65828783836</v>
      </c>
      <c r="S14" s="222">
        <f>IF($B$81=0,0,(SUMIF($N$6:$N$28,$U14,L$6:L$28)+SUMIF($N$91:$N$118,$U14,L$91:L$118))*$I$83*Poor!$B$81/$B$81)</f>
        <v>122585.14285714286</v>
      </c>
      <c r="T14" s="222">
        <f>IF($B$81=0,0,(SUMIF($N$6:$N$28,$U14,M$6:M$28)+SUMIF($N$91:$N$118,$U14,M$91:M$118))*$I$83*Poor!$B$81/$B$81)</f>
        <v>122585.14285714286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Cow peas</v>
      </c>
      <c r="B15" s="101">
        <v>0</v>
      </c>
      <c r="C15" s="102">
        <v>0</v>
      </c>
      <c r="D15" s="24">
        <f t="shared" si="0"/>
        <v>0</v>
      </c>
      <c r="E15" s="75">
        <f>Middle!E15</f>
        <v>0.8</v>
      </c>
      <c r="F15" s="22"/>
      <c r="H15" s="24">
        <f t="shared" si="1"/>
        <v>0.8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</v>
      </c>
      <c r="B16" s="101">
        <v>1.0042341220423412E-3</v>
      </c>
      <c r="C16" s="102">
        <v>0</v>
      </c>
      <c r="D16" s="24">
        <f t="shared" si="0"/>
        <v>1.0042341220423412E-3</v>
      </c>
      <c r="E16" s="75">
        <f>Middle!E16</f>
        <v>0.8</v>
      </c>
      <c r="F16" s="22"/>
      <c r="H16" s="24">
        <f t="shared" si="1"/>
        <v>0.8</v>
      </c>
      <c r="I16" s="22">
        <f t="shared" si="2"/>
        <v>8.0338729763387298E-4</v>
      </c>
      <c r="J16" s="24">
        <f>IF(I$32&lt;=1+I131,I16,B16*H16+J$33*(I16-B16*H16))</f>
        <v>8.0338729763387298E-4</v>
      </c>
      <c r="K16" s="22">
        <f t="shared" si="4"/>
        <v>1.0042341220423412E-3</v>
      </c>
      <c r="L16" s="22">
        <f t="shared" si="5"/>
        <v>8.0338729763387298E-4</v>
      </c>
      <c r="M16" s="224">
        <f t="shared" si="6"/>
        <v>8.0338729763387298E-4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3.2135491905354919E-3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3.2135491905354919E-3</v>
      </c>
      <c r="AH16" s="123">
        <f t="shared" si="12"/>
        <v>1</v>
      </c>
      <c r="AI16" s="183">
        <f t="shared" si="13"/>
        <v>8.0338729763387298E-4</v>
      </c>
      <c r="AJ16" s="120">
        <f t="shared" si="14"/>
        <v>0</v>
      </c>
      <c r="AK16" s="119">
        <f t="shared" si="15"/>
        <v>1.606774595267746E-3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pumpkin</v>
      </c>
      <c r="B17" s="101">
        <v>0</v>
      </c>
      <c r="C17" s="102">
        <v>0</v>
      </c>
      <c r="D17" s="24">
        <f t="shared" si="0"/>
        <v>0</v>
      </c>
      <c r="E17" s="75">
        <f>Middle!E17</f>
        <v>0.8</v>
      </c>
      <c r="F17" s="22"/>
      <c r="H17" s="24">
        <f t="shared" si="1"/>
        <v>0.8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60961.888313094656</v>
      </c>
      <c r="S17" s="222">
        <f>IF($B$81=0,0,(SUMIF($N$6:$N$28,$U17,L$6:L$28)+SUMIF($N$91:$N$118,$U17,L$91:L$118))*$I$83*Poor!$B$81/$B$81)</f>
        <v>46768.457142857136</v>
      </c>
      <c r="T17" s="222">
        <f>IF($B$81=0,0,(SUMIF($N$6:$N$28,$U17,M$6:M$28)+SUMIF($N$91:$N$118,$U17,M$91:M$118))*$I$83*Poor!$B$81/$B$81)</f>
        <v>46768.457142857136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Sweet Potatoes: kg produced</v>
      </c>
      <c r="B18" s="101">
        <v>0</v>
      </c>
      <c r="C18" s="102">
        <v>0</v>
      </c>
      <c r="D18" s="24">
        <f t="shared" ref="D18:D25" si="18">(B18+C18)</f>
        <v>0</v>
      </c>
      <c r="E18" s="75">
        <f>Middle!E18</f>
        <v>0.8</v>
      </c>
      <c r="F18" s="22"/>
      <c r="H18" s="24">
        <f t="shared" ref="H18:H25" si="19">(E18*F$7/F$9)</f>
        <v>0.8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403.95618288041288</v>
      </c>
      <c r="S18" s="222">
        <f>IF($B$81=0,0,(SUMIF($N$6:$N$28,$U18,L$6:L$28)+SUMIF($N$91:$N$118,$U18,L$91:L$118))*$I$83*Poor!$B$81/$B$81)</f>
        <v>328.28942826758424</v>
      </c>
      <c r="T18" s="222">
        <f>IF($B$81=0,0,(SUMIF($N$6:$N$28,$U18,M$6:M$28)+SUMIF($N$91:$N$118,$U18,M$91:M$118))*$I$83*Poor!$B$81/$B$81)</f>
        <v>328.28942826758424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Amadumbe: kg produced</v>
      </c>
      <c r="B19" s="101">
        <v>1.1013698630136985E-3</v>
      </c>
      <c r="C19" s="102">
        <v>4.9561643835616441E-3</v>
      </c>
      <c r="D19" s="24">
        <f t="shared" si="18"/>
        <v>6.0575342465753424E-3</v>
      </c>
      <c r="E19" s="75">
        <f>Middle!E19</f>
        <v>0.8</v>
      </c>
      <c r="F19" s="22"/>
      <c r="H19" s="24">
        <f t="shared" si="19"/>
        <v>0.8</v>
      </c>
      <c r="I19" s="22">
        <f t="shared" si="20"/>
        <v>4.8460273972602743E-3</v>
      </c>
      <c r="J19" s="24">
        <f t="shared" si="17"/>
        <v>7.867391384132436E-4</v>
      </c>
      <c r="K19" s="22">
        <f t="shared" si="21"/>
        <v>1.1013698630136985E-3</v>
      </c>
      <c r="L19" s="22">
        <f t="shared" si="22"/>
        <v>8.8109589041095887E-4</v>
      </c>
      <c r="M19" s="225">
        <f t="shared" si="23"/>
        <v>7.867391384132436E-4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Green Pepper/ Brinjal / Beetroot: kg produced</v>
      </c>
      <c r="B20" s="101">
        <v>0</v>
      </c>
      <c r="C20" s="102">
        <v>0</v>
      </c>
      <c r="D20" s="24">
        <f t="shared" si="18"/>
        <v>0</v>
      </c>
      <c r="E20" s="75">
        <f>Middle!E20</f>
        <v>0.8</v>
      </c>
      <c r="F20" s="22"/>
      <c r="H20" s="24">
        <f t="shared" si="19"/>
        <v>0.8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11264.238186571814</v>
      </c>
      <c r="S20" s="222">
        <f>IF($B$81=0,0,(SUMIF($N$6:$N$28,$U20,L$6:L$28)+SUMIF($N$91:$N$118,$U20,L$91:L$118))*$I$83*Poor!$B$81/$B$81)</f>
        <v>10802.057142857142</v>
      </c>
      <c r="T20" s="222">
        <f>IF($B$81=0,0,(SUMIF($N$6:$N$28,$U20,M$6:M$28)+SUMIF($N$91:$N$118,$U20,M$91:M$118))*$I$83*Poor!$B$81/$B$81)</f>
        <v>10802.057142857142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FISHING -- see worksheet Data 3</v>
      </c>
      <c r="B21" s="101">
        <v>0</v>
      </c>
      <c r="C21" s="102"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6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22950.357953165047</v>
      </c>
      <c r="S21" s="222">
        <f>IF($B$81=0,0,(SUMIF($N$6:$N$28,$U21,L$6:L$28)+SUMIF($N$91:$N$118,$U21,L$91:L$118))*$I$83*Poor!$B$81/$B$81)</f>
        <v>20703.085714285717</v>
      </c>
      <c r="T21" s="222">
        <f>IF($B$81=0,0,(SUMIF($N$6:$N$28,$U21,M$6:M$28)+SUMIF($N$91:$N$118,$U21,M$91:M$118))*$I$83*Poor!$B$81/$B$81)</f>
        <v>20703.085714285717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WILD FOODS -- see worksheet Data 3</v>
      </c>
      <c r="B22" s="101">
        <v>0</v>
      </c>
      <c r="C22" s="102"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6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v>0</v>
      </c>
      <c r="C23" s="102"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307447.94455908786</v>
      </c>
      <c r="S23" s="179">
        <f>SUM(S7:S22)</f>
        <v>251643.84737267045</v>
      </c>
      <c r="T23" s="179">
        <f>SUM(T7:T22)</f>
        <v>251494.41395050788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v>0</v>
      </c>
      <c r="C24" s="102"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31035.227765379786</v>
      </c>
      <c r="S24" s="41">
        <f>IF($B$81=0,0,(SUM(($B$70*$H$70))+((1-$D$29)*$I$83))*Poor!$B$81/$B$81)</f>
        <v>31035.227765379786</v>
      </c>
      <c r="T24" s="41">
        <f>IF($B$81=0,0,(SUM(($B$70*$H$70))+((1-$D$29)*$I$83))*Poor!$B$81/$B$81)</f>
        <v>31035.227765379786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v>0</v>
      </c>
      <c r="C25" s="102"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47999.169987601977</v>
      </c>
      <c r="S25" s="41">
        <f>IF($B$81=0,0,(SUM(($B$70*$H$70),($B$71*$H$71))+((1-$D$29)*$I$83))*Poor!$B$81/$B$81)</f>
        <v>47999.169987601977</v>
      </c>
      <c r="T25" s="41">
        <f>IF($B$81=0,0,(SUM(($B$70*$H$70),($B$71*$H$71))+((1-$D$29)*$I$83))*Poor!$B$81/$B$81)</f>
        <v>47999.169987601977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v>2.3809523809523808E-2</v>
      </c>
      <c r="C26" s="102">
        <v>0</v>
      </c>
      <c r="D26" s="24">
        <f t="shared" si="0"/>
        <v>2.3809523809523808E-2</v>
      </c>
      <c r="E26" s="75">
        <f>Middle!E26</f>
        <v>1</v>
      </c>
      <c r="F26" s="22"/>
      <c r="H26" s="24">
        <f t="shared" si="1"/>
        <v>1</v>
      </c>
      <c r="I26" s="22">
        <f t="shared" si="2"/>
        <v>2.3809523809523808E-2</v>
      </c>
      <c r="J26" s="24">
        <f>IF(I$32&lt;=1+I131,I26,B26*H26+J$33*(I26-B26*H26))</f>
        <v>2.3809523809523808E-2</v>
      </c>
      <c r="K26" s="22">
        <f t="shared" si="4"/>
        <v>2.3809523809523808E-2</v>
      </c>
      <c r="L26" s="22">
        <f t="shared" si="5"/>
        <v>2.3809523809523808E-2</v>
      </c>
      <c r="M26" s="224">
        <f t="shared" si="6"/>
        <v>2.3809523809523808E-2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79373.009987601981</v>
      </c>
      <c r="S26" s="41">
        <f>IF($B$81=0,0,(SUM(($B$70*$H$70),($B$71*$H$71),($B$72*$H$72))+((1-$D$29)*$I$83))*Poor!$B$81/$B$81)</f>
        <v>79373.009987601981</v>
      </c>
      <c r="T26" s="41">
        <f>IF($B$81=0,0,(SUM(($B$70*$H$70),($B$71*$H$71),($B$72*$H$72))+((1-$D$29)*$I$83))*Poor!$B$81/$B$81)</f>
        <v>79373.009987601981</v>
      </c>
      <c r="U26" s="56"/>
      <c r="V26" s="56"/>
      <c r="W26" s="110"/>
      <c r="X26" s="118"/>
      <c r="Y26" s="183">
        <f t="shared" si="9"/>
        <v>9.5238095238095233E-2</v>
      </c>
      <c r="Z26" s="156">
        <f>Poor!Z26</f>
        <v>0.25</v>
      </c>
      <c r="AA26" s="121">
        <f t="shared" si="16"/>
        <v>2.3809523809523808E-2</v>
      </c>
      <c r="AB26" s="156">
        <f>Poor!AB26</f>
        <v>0.25</v>
      </c>
      <c r="AC26" s="121">
        <f t="shared" si="7"/>
        <v>2.3809523809523808E-2</v>
      </c>
      <c r="AD26" s="156">
        <f>Poor!AD26</f>
        <v>0.25</v>
      </c>
      <c r="AE26" s="121">
        <f t="shared" si="8"/>
        <v>2.3809523809523808E-2</v>
      </c>
      <c r="AF26" s="122">
        <f t="shared" si="10"/>
        <v>0.25</v>
      </c>
      <c r="AG26" s="121">
        <f t="shared" si="11"/>
        <v>2.3809523809523808E-2</v>
      </c>
      <c r="AH26" s="123">
        <f t="shared" si="12"/>
        <v>1</v>
      </c>
      <c r="AI26" s="183">
        <f t="shared" si="13"/>
        <v>2.3809523809523808E-2</v>
      </c>
      <c r="AJ26" s="120">
        <f t="shared" si="14"/>
        <v>2.3809523809523808E-2</v>
      </c>
      <c r="AK26" s="119">
        <f t="shared" si="15"/>
        <v>2.3809523809523808E-2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v>4.6172765566625154E-2</v>
      </c>
      <c r="C27" s="102">
        <v>-4.6172765566625154E-2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4.7271577029595599E-2</v>
      </c>
      <c r="K27" s="22">
        <f t="shared" si="4"/>
        <v>4.6172765566625154E-2</v>
      </c>
      <c r="L27" s="22">
        <f t="shared" si="5"/>
        <v>4.6172765566625154E-2</v>
      </c>
      <c r="M27" s="226">
        <f t="shared" si="6"/>
        <v>4.7271577029595599E-2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0.1890863081183824</v>
      </c>
      <c r="Z27" s="156">
        <f>Poor!Z27</f>
        <v>0.25</v>
      </c>
      <c r="AA27" s="121">
        <f t="shared" si="16"/>
        <v>4.7271577029595599E-2</v>
      </c>
      <c r="AB27" s="156">
        <f>Poor!AB27</f>
        <v>0.25</v>
      </c>
      <c r="AC27" s="121">
        <f t="shared" si="7"/>
        <v>4.7271577029595599E-2</v>
      </c>
      <c r="AD27" s="156">
        <f>Poor!AD27</f>
        <v>0.25</v>
      </c>
      <c r="AE27" s="121">
        <f t="shared" si="8"/>
        <v>4.7271577029595599E-2</v>
      </c>
      <c r="AF27" s="122">
        <f t="shared" si="10"/>
        <v>0.25</v>
      </c>
      <c r="AG27" s="121">
        <f t="shared" si="11"/>
        <v>4.7271577029595599E-2</v>
      </c>
      <c r="AH27" s="123">
        <f t="shared" si="12"/>
        <v>1</v>
      </c>
      <c r="AI27" s="183">
        <f t="shared" si="13"/>
        <v>4.7271577029595599E-2</v>
      </c>
      <c r="AJ27" s="120">
        <f t="shared" si="14"/>
        <v>4.7271577029595599E-2</v>
      </c>
      <c r="AK27" s="119">
        <f t="shared" si="15"/>
        <v>4.7271577029595599E-2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v>0</v>
      </c>
      <c r="C28" s="102"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v>0.43836761883810704</v>
      </c>
      <c r="C29" s="102">
        <v>-0.21356445718233175</v>
      </c>
      <c r="D29" s="24">
        <f t="shared" si="0"/>
        <v>0.2248031616557753</v>
      </c>
      <c r="E29" s="75">
        <f>Middle!E29</f>
        <v>1</v>
      </c>
      <c r="F29" s="22"/>
      <c r="H29" s="24">
        <f t="shared" si="1"/>
        <v>1</v>
      </c>
      <c r="I29" s="22">
        <f t="shared" si="2"/>
        <v>0.2248031616557753</v>
      </c>
      <c r="J29" s="24">
        <f>IF(I$32&lt;=1+I131,I29,B29*H29+J$33*(I29-B29*H29))</f>
        <v>0.44344998873203062</v>
      </c>
      <c r="K29" s="22">
        <f t="shared" si="4"/>
        <v>0.43836761883810704</v>
      </c>
      <c r="L29" s="22">
        <f t="shared" si="5"/>
        <v>0.43836761883810704</v>
      </c>
      <c r="M29" s="175">
        <f t="shared" si="6"/>
        <v>0.44344998873203062</v>
      </c>
      <c r="N29" s="229"/>
      <c r="P29" s="22"/>
      <c r="V29" s="56"/>
      <c r="W29" s="110"/>
      <c r="X29" s="118"/>
      <c r="Y29" s="183">
        <f t="shared" si="9"/>
        <v>1.7737999549281225</v>
      </c>
      <c r="Z29" s="156">
        <f>Poor!Z29</f>
        <v>0.25</v>
      </c>
      <c r="AA29" s="121">
        <f t="shared" si="16"/>
        <v>0.44344998873203062</v>
      </c>
      <c r="AB29" s="156">
        <f>Poor!AB29</f>
        <v>0.25</v>
      </c>
      <c r="AC29" s="121">
        <f t="shared" si="7"/>
        <v>0.44344998873203062</v>
      </c>
      <c r="AD29" s="156">
        <f>Poor!AD29</f>
        <v>0.25</v>
      </c>
      <c r="AE29" s="121">
        <f t="shared" si="8"/>
        <v>0.44344998873203062</v>
      </c>
      <c r="AF29" s="122">
        <f t="shared" si="10"/>
        <v>0.25</v>
      </c>
      <c r="AG29" s="121">
        <f t="shared" si="11"/>
        <v>0.44344998873203062</v>
      </c>
      <c r="AH29" s="123">
        <f t="shared" si="12"/>
        <v>1</v>
      </c>
      <c r="AI29" s="183">
        <f t="shared" si="13"/>
        <v>0.44344998873203062</v>
      </c>
      <c r="AJ29" s="120">
        <f t="shared" si="14"/>
        <v>0.44344998873203062</v>
      </c>
      <c r="AK29" s="119">
        <f t="shared" si="15"/>
        <v>0.44344998873203062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0.68160895442092151</v>
      </c>
      <c r="C30" s="65"/>
      <c r="D30" s="24">
        <f>(D119-B124)</f>
        <v>16.844130957834007</v>
      </c>
      <c r="E30" s="75">
        <f>Middle!E30</f>
        <v>1</v>
      </c>
      <c r="H30" s="96">
        <f>(E30*F$7/F$9)</f>
        <v>1</v>
      </c>
      <c r="I30" s="29">
        <f>IF(E30&gt;=1,I119-I124,MIN(I119-I124,B30*H30))</f>
        <v>16.531657953541</v>
      </c>
      <c r="J30" s="231">
        <f>IF(I$32&lt;=1,I30,1-SUM(J6:J29))</f>
        <v>0.33375931621251054</v>
      </c>
      <c r="K30" s="22">
        <f t="shared" si="4"/>
        <v>0.68160895442092151</v>
      </c>
      <c r="L30" s="22">
        <f>IF(L124=L119,0,IF(K30="",0,(L119-L124)/(B119-B124)*K30))</f>
        <v>0.67271884587798481</v>
      </c>
      <c r="M30" s="175">
        <f t="shared" si="6"/>
        <v>0.33375931621251054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1.3350372648500421</v>
      </c>
      <c r="Z30" s="122">
        <f>IF($Y30=0,0,AA30/($Y$30))</f>
        <v>0.10009390757183929</v>
      </c>
      <c r="AA30" s="187">
        <f>IF(AA79*4/$I$83+SUM(AA6:AA29)&lt;1,AA79*4/$I$83,1-SUM(AA6:AA29))</f>
        <v>0.13362909659286126</v>
      </c>
      <c r="AB30" s="122">
        <f>IF($Y30=0,0,AC30/($Y$30))</f>
        <v>0.35287951140405127</v>
      </c>
      <c r="AC30" s="187">
        <f>IF(AC79*4/$I$83+SUM(AC6:AC29)&lt;1,AC79*4/$I$83,1-SUM(AC6:AC29))</f>
        <v>0.47110729772648385</v>
      </c>
      <c r="AD30" s="122">
        <f>IF($Y30=0,0,AE30/($Y$30))</f>
        <v>0.34046171595167013</v>
      </c>
      <c r="AE30" s="187">
        <f>IF(AE79*4/$I$83+SUM(AE6:AE29)&lt;1,AE79*4/$I$83,1-SUM(AE6:AE29))</f>
        <v>0.45452907805026965</v>
      </c>
      <c r="AF30" s="122">
        <f>IF($Y30=0,0,AG30/($Y$30))</f>
        <v>0.20892207010072472</v>
      </c>
      <c r="AG30" s="187">
        <f>IF(AG79*4/$I$83+SUM(AG6:AG29)&lt;1,AG79*4/$I$83,1-SUM(AG6:AG29))</f>
        <v>0.27891874903408032</v>
      </c>
      <c r="AH30" s="123">
        <f t="shared" si="12"/>
        <v>1.0023572050282854</v>
      </c>
      <c r="AI30" s="183">
        <f t="shared" si="13"/>
        <v>0.3345460553509238</v>
      </c>
      <c r="AJ30" s="120">
        <f t="shared" si="14"/>
        <v>0.30236819715967256</v>
      </c>
      <c r="AK30" s="119">
        <f t="shared" si="15"/>
        <v>0.36672391354217498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-0.34494217068314992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1.4267655235318153</v>
      </c>
      <c r="C32" s="29">
        <f>SUM(C6:C31)</f>
        <v>0.21837491890733202</v>
      </c>
      <c r="D32" s="24">
        <f>SUM(D6:D30)</f>
        <v>17.807662445852234</v>
      </c>
      <c r="E32" s="2"/>
      <c r="F32" s="2"/>
      <c r="H32" s="17"/>
      <c r="I32" s="22">
        <f>SUM(I6:I30)</f>
        <v>17.455275708134568</v>
      </c>
      <c r="J32" s="17"/>
      <c r="L32" s="22">
        <f>SUM(L6:L30)</f>
        <v>1.3449421706831499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3.9968530434463467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-2.3797826478141281E-2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v>16175</v>
      </c>
      <c r="C37" s="104">
        <v>1000</v>
      </c>
      <c r="D37" s="38">
        <f t="shared" ref="D37:D64" si="25">B37+C37</f>
        <v>17175</v>
      </c>
      <c r="E37" s="75">
        <f>Middle!E37</f>
        <v>0.8</v>
      </c>
      <c r="F37" s="75">
        <f>Middle!F37</f>
        <v>1.18</v>
      </c>
      <c r="G37" s="75">
        <f>Middle!G37</f>
        <v>1</v>
      </c>
      <c r="H37" s="24">
        <f t="shared" ref="H37:H52" si="26">(E37*F37)</f>
        <v>0.94399999999999995</v>
      </c>
      <c r="I37" s="39">
        <f t="shared" ref="I37:I52" si="27">D37*H37</f>
        <v>16213.199999999999</v>
      </c>
      <c r="J37" s="38">
        <f>J91*I$83</f>
        <v>15246.734851804633</v>
      </c>
      <c r="K37" s="40">
        <f t="shared" ref="K37:K52" si="28">(B37/B$65)</f>
        <v>7.5064274510167908E-2</v>
      </c>
      <c r="L37" s="22">
        <f t="shared" ref="L37:L52" si="29">(K37*H37)</f>
        <v>7.08606751375985E-2</v>
      </c>
      <c r="M37" s="24">
        <f t="shared" ref="M37:M52" si="30">J37/B$65</f>
        <v>7.0756419802139536E-2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15246.734851804633</v>
      </c>
      <c r="AH37" s="123">
        <f>SUM(Z37,AB37,AD37,AF37)</f>
        <v>1</v>
      </c>
      <c r="AI37" s="112">
        <f>SUM(AA37,AC37,AE37,AG37)</f>
        <v>15246.734851804633</v>
      </c>
      <c r="AJ37" s="148">
        <f>(AA37+AC37)</f>
        <v>0</v>
      </c>
      <c r="AK37" s="147">
        <f>(AE37+AG37)</f>
        <v>15246.734851804633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v>4900</v>
      </c>
      <c r="C38" s="104">
        <v>1550</v>
      </c>
      <c r="D38" s="38">
        <f t="shared" si="25"/>
        <v>6450</v>
      </c>
      <c r="E38" s="75">
        <f>Middle!E38</f>
        <v>0.8</v>
      </c>
      <c r="F38" s="75">
        <f>Middle!F38</f>
        <v>1.18</v>
      </c>
      <c r="G38" s="22">
        <f t="shared" ref="G38:G64" si="32">(G$37)</f>
        <v>1</v>
      </c>
      <c r="H38" s="24">
        <f t="shared" si="26"/>
        <v>0.94399999999999995</v>
      </c>
      <c r="I38" s="39">
        <f t="shared" si="27"/>
        <v>6088.7999999999993</v>
      </c>
      <c r="J38" s="38">
        <f t="shared" ref="J38:J64" si="33">J92*I$83</f>
        <v>4590.7790202971837</v>
      </c>
      <c r="K38" s="40">
        <f t="shared" si="28"/>
        <v>2.2739718398752565E-2</v>
      </c>
      <c r="L38" s="22">
        <f t="shared" si="29"/>
        <v>2.1466294168422419E-2</v>
      </c>
      <c r="M38" s="24">
        <f t="shared" si="30"/>
        <v>2.1304698398461049E-2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4590.7790202971837</v>
      </c>
      <c r="AH38" s="123">
        <f t="shared" ref="AH38:AI58" si="35">SUM(Z38,AB38,AD38,AF38)</f>
        <v>1</v>
      </c>
      <c r="AI38" s="112">
        <f t="shared" si="35"/>
        <v>4590.7790202971837</v>
      </c>
      <c r="AJ38" s="148">
        <f t="shared" ref="AJ38:AJ64" si="36">(AA38+AC38)</f>
        <v>0</v>
      </c>
      <c r="AK38" s="147">
        <f t="shared" ref="AK38:AK64" si="37">(AE38+AG38)</f>
        <v>4590.7790202971837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v>1200</v>
      </c>
      <c r="C39" s="104">
        <v>0</v>
      </c>
      <c r="D39" s="38">
        <f t="shared" si="25"/>
        <v>1200</v>
      </c>
      <c r="E39" s="75">
        <f>Middle!E39</f>
        <v>0.8</v>
      </c>
      <c r="F39" s="75">
        <f>Middle!F39</f>
        <v>1.18</v>
      </c>
      <c r="G39" s="22">
        <f t="shared" si="32"/>
        <v>1</v>
      </c>
      <c r="H39" s="24">
        <f t="shared" si="26"/>
        <v>0.94399999999999995</v>
      </c>
      <c r="I39" s="39">
        <f t="shared" si="27"/>
        <v>1132.8</v>
      </c>
      <c r="J39" s="38">
        <f t="shared" si="33"/>
        <v>1132.7999999999997</v>
      </c>
      <c r="K39" s="40">
        <f t="shared" si="28"/>
        <v>5.5689106282659339E-3</v>
      </c>
      <c r="L39" s="22">
        <f t="shared" si="29"/>
        <v>5.2570516330830413E-3</v>
      </c>
      <c r="M39" s="24">
        <f t="shared" si="30"/>
        <v>5.2570516330830404E-3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1132.7999999999997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1132.7999999999997</v>
      </c>
      <c r="AJ39" s="148">
        <f t="shared" si="36"/>
        <v>1132.7999999999997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v>0</v>
      </c>
      <c r="C40" s="104">
        <v>0</v>
      </c>
      <c r="D40" s="38">
        <f t="shared" si="25"/>
        <v>0</v>
      </c>
      <c r="E40" s="75">
        <f>Middle!E40</f>
        <v>1</v>
      </c>
      <c r="F40" s="75">
        <f>Middle!F40</f>
        <v>1.18</v>
      </c>
      <c r="G40" s="22">
        <f t="shared" si="32"/>
        <v>1</v>
      </c>
      <c r="H40" s="24">
        <f t="shared" si="26"/>
        <v>1.18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v>1800</v>
      </c>
      <c r="C41" s="104">
        <v>-1800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</v>
      </c>
      <c r="H41" s="24">
        <f t="shared" si="26"/>
        <v>1.526</v>
      </c>
      <c r="I41" s="39">
        <f t="shared" si="27"/>
        <v>0</v>
      </c>
      <c r="J41" s="38">
        <f t="shared" si="33"/>
        <v>2812.1678697701586</v>
      </c>
      <c r="K41" s="40">
        <f t="shared" si="28"/>
        <v>8.3533659423989017E-3</v>
      </c>
      <c r="L41" s="22">
        <f t="shared" si="29"/>
        <v>1.2747236428100724E-2</v>
      </c>
      <c r="M41" s="24">
        <f t="shared" si="30"/>
        <v>1.3050592948692506E-2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2812.1678697701586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2812.1678697701586</v>
      </c>
      <c r="AJ41" s="148">
        <f t="shared" si="36"/>
        <v>2812.1678697701586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v>3630</v>
      </c>
      <c r="C42" s="104">
        <v>0</v>
      </c>
      <c r="D42" s="38">
        <f t="shared" si="25"/>
        <v>3630</v>
      </c>
      <c r="E42" s="75">
        <f>Middle!E42</f>
        <v>0.8</v>
      </c>
      <c r="F42" s="75">
        <f>Middle!F42</f>
        <v>1.4</v>
      </c>
      <c r="G42" s="22">
        <f t="shared" si="32"/>
        <v>1</v>
      </c>
      <c r="H42" s="24">
        <f t="shared" si="26"/>
        <v>1.1199999999999999</v>
      </c>
      <c r="I42" s="39">
        <f t="shared" si="27"/>
        <v>4065.5999999999995</v>
      </c>
      <c r="J42" s="38">
        <f t="shared" si="33"/>
        <v>4065.5999999999995</v>
      </c>
      <c r="K42" s="40">
        <f t="shared" si="28"/>
        <v>1.6845954650504452E-2</v>
      </c>
      <c r="L42" s="22">
        <f t="shared" si="29"/>
        <v>1.8867469208564986E-2</v>
      </c>
      <c r="M42" s="24">
        <f t="shared" si="30"/>
        <v>1.8867469208564983E-2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1016.3999999999999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2032.7999999999997</v>
      </c>
      <c r="AF42" s="122">
        <f t="shared" si="31"/>
        <v>0.25</v>
      </c>
      <c r="AG42" s="147">
        <f t="shared" si="34"/>
        <v>1016.3999999999999</v>
      </c>
      <c r="AH42" s="123">
        <f t="shared" si="35"/>
        <v>1</v>
      </c>
      <c r="AI42" s="112">
        <f t="shared" si="35"/>
        <v>4065.5999999999995</v>
      </c>
      <c r="AJ42" s="148">
        <f t="shared" si="36"/>
        <v>1016.3999999999999</v>
      </c>
      <c r="AK42" s="147">
        <f t="shared" si="37"/>
        <v>3049.2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v>216</v>
      </c>
      <c r="C43" s="104">
        <v>-216</v>
      </c>
      <c r="D43" s="38">
        <f t="shared" si="25"/>
        <v>0</v>
      </c>
      <c r="E43" s="75">
        <f>Middle!E43</f>
        <v>0.8</v>
      </c>
      <c r="F43" s="75">
        <f>Middle!F43</f>
        <v>1.4</v>
      </c>
      <c r="G43" s="22">
        <f t="shared" si="32"/>
        <v>1</v>
      </c>
      <c r="H43" s="24">
        <f t="shared" si="26"/>
        <v>1.1199999999999999</v>
      </c>
      <c r="I43" s="39">
        <f t="shared" si="27"/>
        <v>0</v>
      </c>
      <c r="J43" s="38">
        <f t="shared" si="33"/>
        <v>247.67717018159189</v>
      </c>
      <c r="K43" s="40">
        <f t="shared" si="28"/>
        <v>1.0024039130878681E-3</v>
      </c>
      <c r="L43" s="22">
        <f t="shared" si="29"/>
        <v>1.1226923826584121E-3</v>
      </c>
      <c r="M43" s="24">
        <f t="shared" si="30"/>
        <v>1.149410021169248E-3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61.919292545397973</v>
      </c>
      <c r="AB43" s="156">
        <f>Poor!AB43</f>
        <v>0.25</v>
      </c>
      <c r="AC43" s="147">
        <f t="shared" si="39"/>
        <v>61.919292545397973</v>
      </c>
      <c r="AD43" s="156">
        <f>Poor!AD43</f>
        <v>0.25</v>
      </c>
      <c r="AE43" s="147">
        <f t="shared" si="40"/>
        <v>61.919292545397973</v>
      </c>
      <c r="AF43" s="122">
        <f t="shared" si="31"/>
        <v>0.25</v>
      </c>
      <c r="AG43" s="147">
        <f t="shared" si="34"/>
        <v>61.919292545397973</v>
      </c>
      <c r="AH43" s="123">
        <f t="shared" si="35"/>
        <v>1</v>
      </c>
      <c r="AI43" s="112">
        <f t="shared" si="35"/>
        <v>247.67717018159189</v>
      </c>
      <c r="AJ43" s="148">
        <f t="shared" si="36"/>
        <v>123.83858509079595</v>
      </c>
      <c r="AK43" s="147">
        <f t="shared" si="37"/>
        <v>123.83858509079595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Amadumbe: kg produced</v>
      </c>
      <c r="B44" s="104">
        <v>81</v>
      </c>
      <c r="C44" s="104">
        <v>-81</v>
      </c>
      <c r="D44" s="38">
        <f t="shared" si="25"/>
        <v>0</v>
      </c>
      <c r="E44" s="75">
        <f>Middle!E44</f>
        <v>0.8</v>
      </c>
      <c r="F44" s="75">
        <f>Middle!F44</f>
        <v>1.4</v>
      </c>
      <c r="G44" s="22">
        <f t="shared" si="32"/>
        <v>1</v>
      </c>
      <c r="H44" s="24">
        <f t="shared" si="26"/>
        <v>1.1199999999999999</v>
      </c>
      <c r="I44" s="39">
        <f t="shared" si="27"/>
        <v>0</v>
      </c>
      <c r="J44" s="38">
        <f t="shared" si="33"/>
        <v>92.878938818096955</v>
      </c>
      <c r="K44" s="40">
        <f t="shared" si="28"/>
        <v>3.7590146740795055E-4</v>
      </c>
      <c r="L44" s="22">
        <f t="shared" si="29"/>
        <v>4.210096434969046E-4</v>
      </c>
      <c r="M44" s="24">
        <f t="shared" si="30"/>
        <v>4.3102875793846798E-4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23.219734704524239</v>
      </c>
      <c r="AB44" s="156">
        <f>Poor!AB44</f>
        <v>0.25</v>
      </c>
      <c r="AC44" s="147">
        <f t="shared" si="39"/>
        <v>23.219734704524239</v>
      </c>
      <c r="AD44" s="156">
        <f>Poor!AD44</f>
        <v>0.25</v>
      </c>
      <c r="AE44" s="147">
        <f t="shared" si="40"/>
        <v>23.219734704524239</v>
      </c>
      <c r="AF44" s="122">
        <f t="shared" si="31"/>
        <v>0.25</v>
      </c>
      <c r="AG44" s="147">
        <f t="shared" si="34"/>
        <v>23.219734704524239</v>
      </c>
      <c r="AH44" s="123">
        <f t="shared" si="35"/>
        <v>1</v>
      </c>
      <c r="AI44" s="112">
        <f t="shared" si="35"/>
        <v>92.878938818096955</v>
      </c>
      <c r="AJ44" s="148">
        <f t="shared" si="36"/>
        <v>46.439469409048478</v>
      </c>
      <c r="AK44" s="147">
        <f t="shared" si="37"/>
        <v>46.439469409048478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Sweet Potatoes: kg produced</v>
      </c>
      <c r="B45" s="104">
        <v>0</v>
      </c>
      <c r="C45" s="104">
        <v>0</v>
      </c>
      <c r="D45" s="38">
        <f t="shared" si="25"/>
        <v>0</v>
      </c>
      <c r="E45" s="75">
        <f>Middle!E45</f>
        <v>0.8</v>
      </c>
      <c r="F45" s="75">
        <f>Middle!F45</f>
        <v>1.4</v>
      </c>
      <c r="G45" s="22">
        <f t="shared" si="32"/>
        <v>1</v>
      </c>
      <c r="H45" s="24">
        <f t="shared" si="26"/>
        <v>1.1199999999999999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crop: Cabbage</v>
      </c>
      <c r="B46" s="104">
        <v>0</v>
      </c>
      <c r="C46" s="104">
        <v>0</v>
      </c>
      <c r="D46" s="38">
        <f t="shared" si="25"/>
        <v>0</v>
      </c>
      <c r="E46" s="75">
        <f>Middle!E46</f>
        <v>0.8</v>
      </c>
      <c r="F46" s="75">
        <f>Middle!F46</f>
        <v>1.4</v>
      </c>
      <c r="G46" s="22">
        <f t="shared" si="32"/>
        <v>1</v>
      </c>
      <c r="H46" s="24">
        <f t="shared" si="26"/>
        <v>1.1199999999999999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beetroot: no. local meas</v>
      </c>
      <c r="B47" s="104">
        <v>0</v>
      </c>
      <c r="C47" s="104">
        <v>0</v>
      </c>
      <c r="D47" s="38">
        <f t="shared" si="25"/>
        <v>0</v>
      </c>
      <c r="E47" s="75">
        <f>Middle!E47</f>
        <v>0.8</v>
      </c>
      <c r="F47" s="75">
        <f>Middle!F47</f>
        <v>1.4</v>
      </c>
      <c r="G47" s="22">
        <f t="shared" si="32"/>
        <v>1</v>
      </c>
      <c r="H47" s="24">
        <f t="shared" si="26"/>
        <v>1.1199999999999999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Spinach: no produced</v>
      </c>
      <c r="B48" s="104">
        <v>0</v>
      </c>
      <c r="C48" s="104">
        <v>0</v>
      </c>
      <c r="D48" s="38">
        <f t="shared" si="25"/>
        <v>0</v>
      </c>
      <c r="E48" s="75">
        <f>Middle!E48</f>
        <v>0.8</v>
      </c>
      <c r="F48" s="75">
        <f>Middle!F48</f>
        <v>1.4</v>
      </c>
      <c r="G48" s="22">
        <f t="shared" si="32"/>
        <v>1</v>
      </c>
      <c r="H48" s="24">
        <f t="shared" si="26"/>
        <v>1.1199999999999999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Other crop: pumpkin</v>
      </c>
      <c r="B49" s="104">
        <v>0</v>
      </c>
      <c r="C49" s="104">
        <v>0</v>
      </c>
      <c r="D49" s="38">
        <f t="shared" si="25"/>
        <v>0</v>
      </c>
      <c r="E49" s="75">
        <f>Middle!E49</f>
        <v>0.8</v>
      </c>
      <c r="F49" s="75">
        <f>Middle!F49</f>
        <v>1.4</v>
      </c>
      <c r="G49" s="22">
        <f t="shared" si="32"/>
        <v>1</v>
      </c>
      <c r="H49" s="24">
        <f t="shared" si="26"/>
        <v>1.1199999999999999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cashcrop: sugar cane (tons)</v>
      </c>
      <c r="B50" s="104">
        <v>10000</v>
      </c>
      <c r="C50" s="104">
        <v>0</v>
      </c>
      <c r="D50" s="38">
        <f t="shared" si="25"/>
        <v>10000</v>
      </c>
      <c r="E50" s="75">
        <f>Middle!E50</f>
        <v>1</v>
      </c>
      <c r="F50" s="75">
        <f>Middle!F50</f>
        <v>1.4</v>
      </c>
      <c r="G50" s="22">
        <f t="shared" si="32"/>
        <v>1</v>
      </c>
      <c r="H50" s="24">
        <f t="shared" si="26"/>
        <v>1.4</v>
      </c>
      <c r="I50" s="39">
        <f t="shared" si="27"/>
        <v>14000</v>
      </c>
      <c r="J50" s="38">
        <f t="shared" si="33"/>
        <v>14000</v>
      </c>
      <c r="K50" s="40">
        <f t="shared" si="28"/>
        <v>4.6407588568882781E-2</v>
      </c>
      <c r="L50" s="22">
        <f t="shared" si="29"/>
        <v>6.4970623996435883E-2</v>
      </c>
      <c r="M50" s="24">
        <f t="shared" si="30"/>
        <v>6.4970623996435897E-2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3500</v>
      </c>
      <c r="AB50" s="156">
        <f>Poor!AB55</f>
        <v>0.25</v>
      </c>
      <c r="AC50" s="147">
        <f t="shared" si="39"/>
        <v>3500</v>
      </c>
      <c r="AD50" s="156">
        <f>Poor!AD55</f>
        <v>0.25</v>
      </c>
      <c r="AE50" s="147">
        <f t="shared" si="40"/>
        <v>3500</v>
      </c>
      <c r="AF50" s="122">
        <f t="shared" si="31"/>
        <v>0.25</v>
      </c>
      <c r="AG50" s="147">
        <f t="shared" si="34"/>
        <v>3500</v>
      </c>
      <c r="AH50" s="123">
        <f t="shared" si="35"/>
        <v>1</v>
      </c>
      <c r="AI50" s="112">
        <f t="shared" si="35"/>
        <v>14000</v>
      </c>
      <c r="AJ50" s="148">
        <f t="shared" si="36"/>
        <v>7000</v>
      </c>
      <c r="AK50" s="147">
        <f t="shared" si="37"/>
        <v>7000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Agricultural cash income -- see Data2</v>
      </c>
      <c r="B51" s="104">
        <v>0</v>
      </c>
      <c r="C51" s="104">
        <v>0</v>
      </c>
      <c r="D51" s="38">
        <f t="shared" si="25"/>
        <v>0</v>
      </c>
      <c r="E51" s="75">
        <f>Middle!E51</f>
        <v>1</v>
      </c>
      <c r="F51" s="75">
        <f>Middle!F51</f>
        <v>1.1100000000000001</v>
      </c>
      <c r="G51" s="22">
        <f t="shared" si="32"/>
        <v>1</v>
      </c>
      <c r="H51" s="24">
        <f t="shared" si="26"/>
        <v>1.1100000000000001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Construction cash income -- see Data2</v>
      </c>
      <c r="B52" s="104">
        <v>0</v>
      </c>
      <c r="C52" s="104">
        <v>0</v>
      </c>
      <c r="D52" s="38">
        <f t="shared" si="25"/>
        <v>0</v>
      </c>
      <c r="E52" s="75">
        <f>Middle!E52</f>
        <v>1</v>
      </c>
      <c r="F52" s="75">
        <f>Middle!F52</f>
        <v>1.1100000000000001</v>
      </c>
      <c r="G52" s="22">
        <f t="shared" si="32"/>
        <v>1</v>
      </c>
      <c r="H52" s="24">
        <f t="shared" si="26"/>
        <v>1.1100000000000001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Domestic work cash income -- see Data2</v>
      </c>
      <c r="B53" s="104">
        <v>0</v>
      </c>
      <c r="C53" s="104">
        <v>0</v>
      </c>
      <c r="D53" s="38">
        <f t="shared" si="25"/>
        <v>0</v>
      </c>
      <c r="E53" s="75">
        <f>Middle!E53</f>
        <v>1</v>
      </c>
      <c r="F53" s="75">
        <f>Middle!F53</f>
        <v>1.1100000000000001</v>
      </c>
      <c r="G53" s="22">
        <f t="shared" si="32"/>
        <v>1</v>
      </c>
      <c r="H53" s="24">
        <f t="shared" ref="H53:H64" si="41">(E53*F53)</f>
        <v>1.1100000000000001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Formal Employment (conservancies, etc.)</v>
      </c>
      <c r="B54" s="104">
        <v>72000</v>
      </c>
      <c r="C54" s="104">
        <v>0</v>
      </c>
      <c r="D54" s="38">
        <f t="shared" si="25"/>
        <v>72000</v>
      </c>
      <c r="E54" s="75">
        <f>Middle!E54</f>
        <v>1</v>
      </c>
      <c r="F54" s="75">
        <f>Middle!F54</f>
        <v>1.18</v>
      </c>
      <c r="G54" s="22">
        <f t="shared" si="32"/>
        <v>1</v>
      </c>
      <c r="H54" s="24">
        <f t="shared" si="41"/>
        <v>1.18</v>
      </c>
      <c r="I54" s="39">
        <f t="shared" si="42"/>
        <v>84960</v>
      </c>
      <c r="J54" s="38">
        <f t="shared" si="33"/>
        <v>84960</v>
      </c>
      <c r="K54" s="40">
        <f t="shared" si="43"/>
        <v>0.33413463769595603</v>
      </c>
      <c r="L54" s="22">
        <f t="shared" si="44"/>
        <v>0.39427887248122812</v>
      </c>
      <c r="M54" s="24">
        <f t="shared" si="45"/>
        <v>0.39427887248122812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Labour migration(formal employment): no. people per HH</v>
      </c>
      <c r="B55" s="104">
        <v>37800</v>
      </c>
      <c r="C55" s="104">
        <v>0</v>
      </c>
      <c r="D55" s="38">
        <f t="shared" si="25"/>
        <v>37800</v>
      </c>
      <c r="E55" s="75">
        <f>Middle!E55</f>
        <v>0.5</v>
      </c>
      <c r="F55" s="75">
        <f>Middle!F55</f>
        <v>1.18</v>
      </c>
      <c r="G55" s="22">
        <f t="shared" si="32"/>
        <v>1</v>
      </c>
      <c r="H55" s="24">
        <f t="shared" si="41"/>
        <v>0.59</v>
      </c>
      <c r="I55" s="39">
        <f t="shared" si="42"/>
        <v>22302</v>
      </c>
      <c r="J55" s="38">
        <f t="shared" si="33"/>
        <v>22302</v>
      </c>
      <c r="K55" s="40">
        <f t="shared" si="43"/>
        <v>0.17542068479037692</v>
      </c>
      <c r="L55" s="22">
        <f t="shared" si="44"/>
        <v>0.10349820402632239</v>
      </c>
      <c r="M55" s="24">
        <f t="shared" si="45"/>
        <v>0.10349820402632239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Small business -- see Data2</v>
      </c>
      <c r="B56" s="104">
        <v>43350</v>
      </c>
      <c r="C56" s="104">
        <v>0</v>
      </c>
      <c r="D56" s="38">
        <f t="shared" si="25"/>
        <v>43350</v>
      </c>
      <c r="E56" s="75">
        <f>Middle!E56</f>
        <v>0.8</v>
      </c>
      <c r="F56" s="75">
        <f>Middle!F56</f>
        <v>1.18</v>
      </c>
      <c r="G56" s="22">
        <f t="shared" si="32"/>
        <v>1</v>
      </c>
      <c r="H56" s="24">
        <f t="shared" si="41"/>
        <v>0.94399999999999995</v>
      </c>
      <c r="I56" s="39">
        <f t="shared" si="42"/>
        <v>40922.400000000001</v>
      </c>
      <c r="J56" s="38">
        <f t="shared" si="33"/>
        <v>40922.399999999994</v>
      </c>
      <c r="K56" s="40">
        <f t="shared" si="43"/>
        <v>0.20117689644610687</v>
      </c>
      <c r="L56" s="22">
        <f t="shared" si="44"/>
        <v>0.18991099024512487</v>
      </c>
      <c r="M56" s="24">
        <f t="shared" si="45"/>
        <v>0.18991099024512487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Social development -- see Data2</v>
      </c>
      <c r="B57" s="104">
        <v>8010</v>
      </c>
      <c r="C57" s="104">
        <v>0</v>
      </c>
      <c r="D57" s="38">
        <f t="shared" si="25"/>
        <v>8010</v>
      </c>
      <c r="E57" s="75">
        <f>Middle!E57</f>
        <v>1</v>
      </c>
      <c r="F57" s="75">
        <f>Middle!F57</f>
        <v>1.18</v>
      </c>
      <c r="G57" s="22">
        <f t="shared" si="32"/>
        <v>1</v>
      </c>
      <c r="H57" s="24">
        <f t="shared" si="41"/>
        <v>1.18</v>
      </c>
      <c r="I57" s="39">
        <f t="shared" si="42"/>
        <v>9451.7999999999993</v>
      </c>
      <c r="J57" s="38">
        <f t="shared" si="33"/>
        <v>9451.7999999999993</v>
      </c>
      <c r="K57" s="40">
        <f t="shared" si="43"/>
        <v>3.7172478443675112E-2</v>
      </c>
      <c r="L57" s="22">
        <f t="shared" si="44"/>
        <v>4.3863524563536628E-2</v>
      </c>
      <c r="M57" s="24">
        <f t="shared" si="45"/>
        <v>4.3863524563536628E-2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Public works -- see Data2</v>
      </c>
      <c r="B58" s="104">
        <v>0</v>
      </c>
      <c r="C58" s="104">
        <v>0</v>
      </c>
      <c r="D58" s="38">
        <f t="shared" si="25"/>
        <v>0</v>
      </c>
      <c r="E58" s="75">
        <f>Middle!E58</f>
        <v>1</v>
      </c>
      <c r="F58" s="75">
        <f>Middle!F58</f>
        <v>1.18</v>
      </c>
      <c r="G58" s="22">
        <f t="shared" si="32"/>
        <v>1</v>
      </c>
      <c r="H58" s="24">
        <f t="shared" si="41"/>
        <v>1.18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Gifts/social support: type (Child support, Pension and Foster Care)</v>
      </c>
      <c r="B59" s="104">
        <v>11820</v>
      </c>
      <c r="C59" s="104">
        <v>0</v>
      </c>
      <c r="D59" s="38">
        <f t="shared" si="25"/>
        <v>11820</v>
      </c>
      <c r="E59" s="75">
        <f>Middle!E59</f>
        <v>1</v>
      </c>
      <c r="F59" s="75">
        <f>Middle!F59</f>
        <v>1.1100000000000001</v>
      </c>
      <c r="G59" s="22">
        <f t="shared" si="32"/>
        <v>1</v>
      </c>
      <c r="H59" s="24">
        <f t="shared" si="41"/>
        <v>1.1100000000000001</v>
      </c>
      <c r="I59" s="39">
        <f t="shared" si="42"/>
        <v>13120.2</v>
      </c>
      <c r="J59" s="38">
        <f t="shared" si="33"/>
        <v>13120.2</v>
      </c>
      <c r="K59" s="40">
        <f t="shared" si="43"/>
        <v>5.485376968841945E-2</v>
      </c>
      <c r="L59" s="22">
        <f t="shared" si="44"/>
        <v>6.0887684354145592E-2</v>
      </c>
      <c r="M59" s="24">
        <f t="shared" si="45"/>
        <v>6.0887684354145592E-2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3280.05</v>
      </c>
      <c r="AB59" s="156">
        <f>Poor!AB59</f>
        <v>0.25</v>
      </c>
      <c r="AC59" s="147">
        <f t="shared" si="39"/>
        <v>3280.05</v>
      </c>
      <c r="AD59" s="156">
        <f>Poor!AD59</f>
        <v>0.25</v>
      </c>
      <c r="AE59" s="147">
        <f t="shared" si="40"/>
        <v>3280.05</v>
      </c>
      <c r="AF59" s="122">
        <f t="shared" si="31"/>
        <v>0.25</v>
      </c>
      <c r="AG59" s="147">
        <f t="shared" si="34"/>
        <v>3280.05</v>
      </c>
      <c r="AH59" s="123">
        <f t="shared" ref="AH59:AI64" si="46">SUM(Z59,AB59,AD59,AF59)</f>
        <v>1</v>
      </c>
      <c r="AI59" s="112">
        <f t="shared" si="46"/>
        <v>13120.2</v>
      </c>
      <c r="AJ59" s="148">
        <f t="shared" si="36"/>
        <v>6560.1</v>
      </c>
      <c r="AK59" s="147">
        <f t="shared" si="37"/>
        <v>6560.1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Other income: e.g. Credit (cotton loans)</v>
      </c>
      <c r="B60" s="104">
        <v>0</v>
      </c>
      <c r="C60" s="104"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Remittances: no. times per year</v>
      </c>
      <c r="B61" s="104">
        <v>4500</v>
      </c>
      <c r="C61" s="104">
        <v>0</v>
      </c>
      <c r="D61" s="38">
        <f t="shared" si="25"/>
        <v>4500</v>
      </c>
      <c r="E61" s="75">
        <f>Middle!E61</f>
        <v>1</v>
      </c>
      <c r="F61" s="75">
        <f>Middle!F61</f>
        <v>1.1100000000000001</v>
      </c>
      <c r="G61" s="22">
        <f t="shared" si="32"/>
        <v>1</v>
      </c>
      <c r="H61" s="24">
        <f t="shared" si="41"/>
        <v>1.1100000000000001</v>
      </c>
      <c r="I61" s="39">
        <f t="shared" si="42"/>
        <v>4995</v>
      </c>
      <c r="J61" s="38">
        <f t="shared" si="33"/>
        <v>4995.0000000000009</v>
      </c>
      <c r="K61" s="40">
        <f t="shared" si="43"/>
        <v>2.0883414855997252E-2</v>
      </c>
      <c r="L61" s="22">
        <f t="shared" si="44"/>
        <v>2.3180590490156951E-2</v>
      </c>
      <c r="M61" s="24">
        <f t="shared" si="45"/>
        <v>2.3180590490156954E-2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1248.7500000000002</v>
      </c>
      <c r="AB61" s="156">
        <f>Poor!AB61</f>
        <v>0.25</v>
      </c>
      <c r="AC61" s="147">
        <f t="shared" si="39"/>
        <v>1248.7500000000002</v>
      </c>
      <c r="AD61" s="156">
        <f>Poor!AD61</f>
        <v>0.25</v>
      </c>
      <c r="AE61" s="147">
        <f t="shared" si="40"/>
        <v>1248.7500000000002</v>
      </c>
      <c r="AF61" s="122">
        <f t="shared" si="31"/>
        <v>0.25</v>
      </c>
      <c r="AG61" s="147">
        <f t="shared" si="34"/>
        <v>1248.7500000000002</v>
      </c>
      <c r="AH61" s="123">
        <f t="shared" si="46"/>
        <v>1</v>
      </c>
      <c r="AI61" s="112">
        <f t="shared" si="46"/>
        <v>4995.0000000000009</v>
      </c>
      <c r="AJ61" s="148">
        <f t="shared" si="36"/>
        <v>2497.5000000000005</v>
      </c>
      <c r="AK61" s="147">
        <f t="shared" si="37"/>
        <v>2497.5000000000005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v>0</v>
      </c>
      <c r="C62" s="104"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v>0</v>
      </c>
      <c r="C63" s="104"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v>0</v>
      </c>
      <c r="C64" s="104"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215482</v>
      </c>
      <c r="C65" s="39">
        <f>SUM(C37:C64)</f>
        <v>453</v>
      </c>
      <c r="D65" s="42">
        <f>SUM(D37:D64)</f>
        <v>215935</v>
      </c>
      <c r="E65" s="32"/>
      <c r="F65" s="32"/>
      <c r="G65" s="32"/>
      <c r="H65" s="31"/>
      <c r="I65" s="39">
        <f>SUM(I37:I64)</f>
        <v>217251.8</v>
      </c>
      <c r="J65" s="39">
        <f>SUM(J37:J64)</f>
        <v>217940.03785087165</v>
      </c>
      <c r="K65" s="40">
        <f>SUM(K37:K64)</f>
        <v>1.0000000000000002</v>
      </c>
      <c r="L65" s="22">
        <f>SUM(L37:L64)</f>
        <v>1.0113329187588753</v>
      </c>
      <c r="M65" s="24">
        <f>SUM(M37:M64)</f>
        <v>1.0114071609269992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13075.30689702008</v>
      </c>
      <c r="AB65" s="137"/>
      <c r="AC65" s="153">
        <f>SUM(AC37:AC64)</f>
        <v>8113.9390272499222</v>
      </c>
      <c r="AD65" s="137"/>
      <c r="AE65" s="153">
        <f>SUM(AE37:AE64)</f>
        <v>10146.739027249921</v>
      </c>
      <c r="AF65" s="137"/>
      <c r="AG65" s="153">
        <f>SUM(AG37:AG64)</f>
        <v>28967.852899351739</v>
      </c>
      <c r="AH65" s="137"/>
      <c r="AI65" s="153">
        <f>SUM(AI37:AI64)</f>
        <v>60303.837850871656</v>
      </c>
      <c r="AJ65" s="153">
        <f>SUM(AJ37:AJ64)</f>
        <v>21189.245924270006</v>
      </c>
      <c r="AK65" s="153">
        <f>SUM(AK37:AK64)</f>
        <v>39114.591926601657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256">
        <f>14533.3520267682*7/8</f>
        <v>12716.683023422174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17803.356232791044</v>
      </c>
      <c r="J70" s="51">
        <f>J124*I$83</f>
        <v>17803.356232791044</v>
      </c>
      <c r="K70" s="40">
        <f>B70/B$76</f>
        <v>5.9015059371187263E-2</v>
      </c>
      <c r="L70" s="22">
        <f>(L124*G$37*F$9/F$7)/B$130</f>
        <v>8.2621083119662153E-2</v>
      </c>
      <c r="M70" s="24">
        <f>J70/B$76</f>
        <v>8.2621083119662167E-2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4450.839058197761</v>
      </c>
      <c r="AB70" s="156">
        <f>Poor!AB70</f>
        <v>0.25</v>
      </c>
      <c r="AC70" s="147">
        <f>$J70*AB70</f>
        <v>4450.839058197761</v>
      </c>
      <c r="AD70" s="156">
        <f>Poor!AD70</f>
        <v>0.25</v>
      </c>
      <c r="AE70" s="147">
        <f>$J70*AD70</f>
        <v>4450.839058197761</v>
      </c>
      <c r="AF70" s="156">
        <f>Poor!AF70</f>
        <v>0.25</v>
      </c>
      <c r="AG70" s="147">
        <f>$J70*AF70</f>
        <v>4450.839058197761</v>
      </c>
      <c r="AH70" s="155">
        <f>SUM(Z70,AB70,AD70,AF70)</f>
        <v>1</v>
      </c>
      <c r="AI70" s="147">
        <f>SUM(AA70,AC70,AE70,AG70)</f>
        <v>17803.356232791044</v>
      </c>
      <c r="AJ70" s="148">
        <f>(AA70+AC70)</f>
        <v>8901.678116395522</v>
      </c>
      <c r="AK70" s="147">
        <f>(AE70+AG70)</f>
        <v>8901.678116395522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14376.2222222222*7/8</f>
        <v>12579.194444444425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14843.449444444421</v>
      </c>
      <c r="J71" s="51">
        <f t="shared" ref="J71:J72" si="49">J125*I$83</f>
        <v>14843.449444444421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26588*7/8</f>
        <v>23264.5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27452.109999999997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16518.75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19492.125</v>
      </c>
      <c r="K73" s="40">
        <f>B73/B$76</f>
        <v>7.6659535367223253E-2</v>
      </c>
      <c r="L73" s="22">
        <f>(L127*G$37*F$9/F$7)/B$130</f>
        <v>9.0458251733323419E-2</v>
      </c>
      <c r="M73" s="24">
        <f>J73/B$76</f>
        <v>9.0458251733323433E-2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1754.29125</v>
      </c>
      <c r="AB73" s="156">
        <f>Poor!AB73</f>
        <v>0.09</v>
      </c>
      <c r="AC73" s="147">
        <f>$H$73*$B$73*AB73</f>
        <v>1754.29125</v>
      </c>
      <c r="AD73" s="156">
        <f>Poor!AD73</f>
        <v>0.23</v>
      </c>
      <c r="AE73" s="147">
        <f>$H$73*$B$73*AD73</f>
        <v>4483.1887500000003</v>
      </c>
      <c r="AF73" s="156">
        <f>Poor!AF73</f>
        <v>0.59</v>
      </c>
      <c r="AG73" s="147">
        <f>$H$73*$B$73*AF73</f>
        <v>11500.35375</v>
      </c>
      <c r="AH73" s="155">
        <f>SUM(Z73,AB73,AD73,AF73)</f>
        <v>1</v>
      </c>
      <c r="AI73" s="147">
        <f>SUM(AA73,AC73,AE73,AG73)</f>
        <v>19492.125</v>
      </c>
      <c r="AJ73" s="148">
        <f>(AA73+AC73)</f>
        <v>3508.5825</v>
      </c>
      <c r="AK73" s="147">
        <f>(AE73+AG73)</f>
        <v>15983.5425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8223.36426262245</v>
      </c>
      <c r="C74" s="39"/>
      <c r="D74" s="38"/>
      <c r="E74" s="32"/>
      <c r="F74" s="32"/>
      <c r="G74" s="32"/>
      <c r="H74" s="31"/>
      <c r="I74" s="39">
        <f>I128*I$83</f>
        <v>199448.44376720896</v>
      </c>
      <c r="J74" s="51">
        <f>J128*I$83</f>
        <v>4026.684824865647</v>
      </c>
      <c r="K74" s="40">
        <f>B74/B$76</f>
        <v>3.8162650535183681E-2</v>
      </c>
      <c r="L74" s="22">
        <f>(L128*G$37*F$9/F$7)/B$130</f>
        <v>3.7664901637749985E-2</v>
      </c>
      <c r="M74" s="24">
        <f>J74/B$76</f>
        <v>1.8686873264892878E-2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403.04661868103</v>
      </c>
      <c r="AB74" s="156"/>
      <c r="AC74" s="147">
        <f>AC30*$I$83/4</f>
        <v>1420.9345735766972</v>
      </c>
      <c r="AD74" s="156"/>
      <c r="AE74" s="147">
        <f>AE30*$I$83/4</f>
        <v>1370.9320250703083</v>
      </c>
      <c r="AF74" s="156"/>
      <c r="AG74" s="147">
        <f>AG30*$I$83/4</f>
        <v>841.2633292541052</v>
      </c>
      <c r="AH74" s="155"/>
      <c r="AI74" s="147">
        <f>SUM(AA74,AC74,AE74,AG74)</f>
        <v>4036.1765465821409</v>
      </c>
      <c r="AJ74" s="148">
        <f>(AA74+AC74)</f>
        <v>1823.9811922577271</v>
      </c>
      <c r="AK74" s="147">
        <f>(AE74+AG74)</f>
        <v>2212.1953543244135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142179.50826951099</v>
      </c>
      <c r="C75" s="39"/>
      <c r="D75" s="38"/>
      <c r="E75" s="32"/>
      <c r="F75" s="32"/>
      <c r="G75" s="32"/>
      <c r="H75" s="31"/>
      <c r="I75" s="47"/>
      <c r="J75" s="51">
        <f>J129*I$83</f>
        <v>134322.31234877053</v>
      </c>
      <c r="K75" s="40">
        <f>B75/B$76</f>
        <v>0.65982081226975331</v>
      </c>
      <c r="L75" s="22">
        <f>(L129*G$37*F$9/F$7)/B$130</f>
        <v>0.60430519016928985</v>
      </c>
      <c r="M75" s="24">
        <f>J75/B$76</f>
        <v>0.62335746071027065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8221.4212201412884</v>
      </c>
      <c r="AB75" s="158"/>
      <c r="AC75" s="149">
        <f>AA75+AC65-SUM(AC70,AC74)</f>
        <v>10463.586615616752</v>
      </c>
      <c r="AD75" s="158"/>
      <c r="AE75" s="149">
        <f>AC75+AE65-SUM(AE70,AE74)</f>
        <v>14788.554559598602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38464.305071498478</v>
      </c>
      <c r="AJ75" s="151">
        <f>AJ76-SUM(AJ70,AJ74)</f>
        <v>10463.586615616754</v>
      </c>
      <c r="AK75" s="149">
        <f>AJ75+AK76-SUM(AK70,AK74)</f>
        <v>38464.305071498471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215482</v>
      </c>
      <c r="C76" s="39"/>
      <c r="D76" s="38"/>
      <c r="E76" s="32"/>
      <c r="F76" s="32"/>
      <c r="G76" s="32"/>
      <c r="H76" s="31"/>
      <c r="I76" s="39">
        <f>I130*I$83</f>
        <v>217251.8</v>
      </c>
      <c r="J76" s="51">
        <f>J130*I$83</f>
        <v>217940.03785087162</v>
      </c>
      <c r="K76" s="40">
        <f>SUM(K70:K75)</f>
        <v>0.83365805754334743</v>
      </c>
      <c r="L76" s="22">
        <f>SUM(L70:L75)</f>
        <v>0.81504942666002544</v>
      </c>
      <c r="M76" s="24">
        <f>SUM(M70:M75)</f>
        <v>0.81512366882814913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13075.30689702008</v>
      </c>
      <c r="AB76" s="137"/>
      <c r="AC76" s="153">
        <f>AC65</f>
        <v>8113.9390272499222</v>
      </c>
      <c r="AD76" s="137"/>
      <c r="AE76" s="153">
        <f>AE65</f>
        <v>10146.739027249921</v>
      </c>
      <c r="AF76" s="137"/>
      <c r="AG76" s="153">
        <f>AG65</f>
        <v>28967.852899351739</v>
      </c>
      <c r="AH76" s="137"/>
      <c r="AI76" s="153">
        <f>SUM(AA76,AC76,AE76,AG76)</f>
        <v>60303.837850871663</v>
      </c>
      <c r="AJ76" s="154">
        <f>SUM(AA76,AC76)</f>
        <v>21189.245924270002</v>
      </c>
      <c r="AK76" s="154">
        <f>SUM(AE76,AG76)</f>
        <v>39114.591926601657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14843.449444444426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8221.4212201412884</v>
      </c>
      <c r="AD78" s="112"/>
      <c r="AE78" s="112">
        <f>AC75</f>
        <v>10463.586615616752</v>
      </c>
      <c r="AF78" s="112"/>
      <c r="AG78" s="112">
        <f>AE75</f>
        <v>14788.554559598602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186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8624.4678388223183</v>
      </c>
      <c r="AB79" s="112"/>
      <c r="AC79" s="112">
        <f>AA79-AA74+AC65-AC70</f>
        <v>11884.521189193449</v>
      </c>
      <c r="AD79" s="112"/>
      <c r="AE79" s="112">
        <f>AC79-AC74+AE65-AE70</f>
        <v>16159.48658466891</v>
      </c>
      <c r="AF79" s="112"/>
      <c r="AG79" s="112">
        <f>AE79-AE74+AG65-AG70</f>
        <v>39305.568400752585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0.66091214045306179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7.1446277643945102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12064.636488833721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12064.636488833721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3016.1591222084303</v>
      </c>
      <c r="AB83" s="112"/>
      <c r="AC83" s="165">
        <f>$I$83*AB82/4</f>
        <v>3016.1591222084303</v>
      </c>
      <c r="AD83" s="112"/>
      <c r="AE83" s="165">
        <f>$I$83*AD82/4</f>
        <v>3016.1591222084303</v>
      </c>
      <c r="AF83" s="112"/>
      <c r="AG83" s="165">
        <f>$I$83*AF82/4</f>
        <v>3016.1591222084303</v>
      </c>
      <c r="AH83" s="165">
        <f>SUM(AA83,AC83,AE83,AG83)</f>
        <v>12064.636488833721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22069.151085338442</v>
      </c>
      <c r="C84" s="46"/>
      <c r="D84" s="235"/>
      <c r="E84" s="64"/>
      <c r="F84" s="64"/>
      <c r="G84" s="64"/>
      <c r="H84" s="236">
        <f>IF(B84=0,0,I84/B84)</f>
        <v>1.2304879417291308</v>
      </c>
      <c r="I84" s="234">
        <f>(B70*H70)+((1-(D29*H29))*I83)</f>
        <v>27155.824294707312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1.3406951809091452</v>
      </c>
      <c r="C91" s="75">
        <f>(C37/$B$83)</f>
        <v>8.2886873626531382E-2</v>
      </c>
      <c r="D91" s="24">
        <f t="shared" ref="D91" si="51">(B91+C91)</f>
        <v>1.4235820545356765</v>
      </c>
      <c r="H91" s="24">
        <f>(E37*F37/G37*F$7/F$9)</f>
        <v>0.94399999999999984</v>
      </c>
      <c r="I91" s="22">
        <f t="shared" ref="I91" si="52">(D91*H91)</f>
        <v>1.3438614594816785</v>
      </c>
      <c r="J91" s="24">
        <f>IF(I$32&lt;=1+I$131,I91,L91+J$33*(I91-L91))</f>
        <v>1.2637541848787623</v>
      </c>
      <c r="K91" s="22">
        <f t="shared" ref="K91" si="53">(B91)</f>
        <v>1.3406951809091452</v>
      </c>
      <c r="L91" s="22">
        <f t="shared" ref="L91" si="54">(K91*H91)</f>
        <v>1.2656162507782329</v>
      </c>
      <c r="M91" s="227">
        <f t="shared" si="50"/>
        <v>1.2637541848787623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0.40614568077000379</v>
      </c>
      <c r="C92" s="75">
        <f t="shared" si="56"/>
        <v>0.12847465412112366</v>
      </c>
      <c r="D92" s="24">
        <f t="shared" ref="D92:D118" si="57">(B92+C92)</f>
        <v>0.53462033489112748</v>
      </c>
      <c r="H92" s="24">
        <f t="shared" ref="H92:H118" si="58">(E38*F38/G38*F$7/F$9)</f>
        <v>0.94399999999999984</v>
      </c>
      <c r="I92" s="22">
        <f t="shared" ref="I92:I118" si="59">(D92*H92)</f>
        <v>0.5046815961372243</v>
      </c>
      <c r="J92" s="24">
        <f t="shared" ref="J92:J118" si="60">IF(I$32&lt;=1+I$131,I92,L92+J$33*(I92-L92))</f>
        <v>0.3805153205027042</v>
      </c>
      <c r="K92" s="22">
        <f t="shared" ref="K92:K118" si="61">(B92)</f>
        <v>0.40614568077000379</v>
      </c>
      <c r="L92" s="22">
        <f t="shared" ref="L92:L118" si="62">(K92*H92)</f>
        <v>0.38340152264688354</v>
      </c>
      <c r="M92" s="227">
        <f t="shared" ref="M92:M118" si="63">(J92)</f>
        <v>0.3805153205027042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9.9464248351837661E-2</v>
      </c>
      <c r="C93" s="75">
        <f t="shared" si="64"/>
        <v>0</v>
      </c>
      <c r="D93" s="24">
        <f t="shared" si="57"/>
        <v>9.9464248351837661E-2</v>
      </c>
      <c r="H93" s="24">
        <f t="shared" si="58"/>
        <v>0.94399999999999984</v>
      </c>
      <c r="I93" s="22">
        <f t="shared" si="59"/>
        <v>9.3894250444134741E-2</v>
      </c>
      <c r="J93" s="24">
        <f t="shared" si="60"/>
        <v>9.3894250444134741E-2</v>
      </c>
      <c r="K93" s="22">
        <f t="shared" si="61"/>
        <v>9.9464248351837661E-2</v>
      </c>
      <c r="L93" s="22">
        <f t="shared" si="62"/>
        <v>9.3894250444134741E-2</v>
      </c>
      <c r="M93" s="227">
        <f t="shared" si="63"/>
        <v>9.3894250444134741E-2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1.18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0.1491963725277565</v>
      </c>
      <c r="C95" s="75">
        <f t="shared" si="66"/>
        <v>-0.1491963725277565</v>
      </c>
      <c r="D95" s="24">
        <f t="shared" si="57"/>
        <v>0</v>
      </c>
      <c r="H95" s="24">
        <f t="shared" si="58"/>
        <v>1.526</v>
      </c>
      <c r="I95" s="22">
        <f t="shared" si="59"/>
        <v>0</v>
      </c>
      <c r="J95" s="24">
        <f t="shared" si="60"/>
        <v>0.23309180283823111</v>
      </c>
      <c r="K95" s="22">
        <f t="shared" si="61"/>
        <v>0.1491963725277565</v>
      </c>
      <c r="L95" s="22">
        <f t="shared" si="62"/>
        <v>0.22767366447735643</v>
      </c>
      <c r="M95" s="227">
        <f t="shared" si="63"/>
        <v>0.23309180283823111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0.30087935126430893</v>
      </c>
      <c r="C96" s="75">
        <f t="shared" si="67"/>
        <v>0</v>
      </c>
      <c r="D96" s="24">
        <f t="shared" si="57"/>
        <v>0.30087935126430893</v>
      </c>
      <c r="H96" s="24">
        <f t="shared" si="58"/>
        <v>1.1199999999999999</v>
      </c>
      <c r="I96" s="22">
        <f t="shared" si="59"/>
        <v>0.33698487341602595</v>
      </c>
      <c r="J96" s="24">
        <f t="shared" si="60"/>
        <v>0.33698487341602595</v>
      </c>
      <c r="K96" s="22">
        <f t="shared" si="61"/>
        <v>0.30087935126430893</v>
      </c>
      <c r="L96" s="22">
        <f t="shared" si="62"/>
        <v>0.33698487341602595</v>
      </c>
      <c r="M96" s="227">
        <f t="shared" si="63"/>
        <v>0.33698487341602595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1.7903564703330779E-2</v>
      </c>
      <c r="C97" s="75">
        <f t="shared" si="68"/>
        <v>-1.7903564703330779E-2</v>
      </c>
      <c r="D97" s="24">
        <f t="shared" si="57"/>
        <v>0</v>
      </c>
      <c r="H97" s="24">
        <f t="shared" si="58"/>
        <v>1.1199999999999999</v>
      </c>
      <c r="I97" s="22">
        <f t="shared" si="59"/>
        <v>0</v>
      </c>
      <c r="J97" s="24">
        <f t="shared" si="60"/>
        <v>2.0529186305018515E-2</v>
      </c>
      <c r="K97" s="22">
        <f t="shared" si="61"/>
        <v>1.7903564703330779E-2</v>
      </c>
      <c r="L97" s="22">
        <f t="shared" si="62"/>
        <v>2.005199246773047E-2</v>
      </c>
      <c r="M97" s="227">
        <f t="shared" si="63"/>
        <v>2.0529186305018515E-2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Amadumbe: kg produced</v>
      </c>
      <c r="B98" s="75">
        <f t="shared" ref="B98:C98" si="69">(B44/$B$83)</f>
        <v>6.7138367637490422E-3</v>
      </c>
      <c r="C98" s="75">
        <f t="shared" si="69"/>
        <v>-6.7138367637490422E-3</v>
      </c>
      <c r="D98" s="24">
        <f t="shared" si="57"/>
        <v>0</v>
      </c>
      <c r="H98" s="24">
        <f t="shared" si="58"/>
        <v>1.1199999999999999</v>
      </c>
      <c r="I98" s="22">
        <f t="shared" si="59"/>
        <v>0</v>
      </c>
      <c r="J98" s="24">
        <f t="shared" si="60"/>
        <v>7.6984448643819432E-3</v>
      </c>
      <c r="K98" s="22">
        <f t="shared" si="61"/>
        <v>6.7138367637490422E-3</v>
      </c>
      <c r="L98" s="22">
        <f t="shared" si="62"/>
        <v>7.5194971753989263E-3</v>
      </c>
      <c r="M98" s="227">
        <f t="shared" si="63"/>
        <v>7.6984448643819432E-3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Sweet Potatoes: kg produced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1.1199999999999999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Cabbage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1.1199999999999999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beetroot: no. local meas</v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1.1199999999999999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7">
        <f t="shared" si="63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1.1199999999999999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crop: pumpkin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1.1199999999999999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sugar cane (tons)</v>
      </c>
      <c r="B104" s="75">
        <f t="shared" ref="B104:C104" si="75">(B50/$B$83)</f>
        <v>0.82886873626531388</v>
      </c>
      <c r="C104" s="75">
        <f t="shared" si="75"/>
        <v>0</v>
      </c>
      <c r="D104" s="24">
        <f t="shared" si="57"/>
        <v>0.82886873626531388</v>
      </c>
      <c r="H104" s="24">
        <f t="shared" si="58"/>
        <v>1.4</v>
      </c>
      <c r="I104" s="22">
        <f t="shared" si="59"/>
        <v>1.1604162307714394</v>
      </c>
      <c r="J104" s="24">
        <f t="shared" si="60"/>
        <v>1.1604162307714394</v>
      </c>
      <c r="K104" s="22">
        <f t="shared" si="61"/>
        <v>0.82886873626531388</v>
      </c>
      <c r="L104" s="22">
        <f t="shared" si="62"/>
        <v>1.1604162307714394</v>
      </c>
      <c r="M104" s="227">
        <f t="shared" si="63"/>
        <v>1.1604162307714394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1.1100000000000001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Construction cash income -- see Data2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1.1100000000000001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Domestic work cash income -- see Data2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1.1100000000000001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Formal Employment (conservancies, etc.)</v>
      </c>
      <c r="B108" s="75">
        <f t="shared" ref="B108:C108" si="79">(B54/$B$83)</f>
        <v>5.9678549011102602</v>
      </c>
      <c r="C108" s="75">
        <f t="shared" si="79"/>
        <v>0</v>
      </c>
      <c r="D108" s="24">
        <f t="shared" si="57"/>
        <v>5.9678549011102602</v>
      </c>
      <c r="H108" s="24">
        <f t="shared" si="58"/>
        <v>1.18</v>
      </c>
      <c r="I108" s="22">
        <f t="shared" si="59"/>
        <v>7.042068783310107</v>
      </c>
      <c r="J108" s="24">
        <f t="shared" si="60"/>
        <v>7.042068783310107</v>
      </c>
      <c r="K108" s="22">
        <f t="shared" si="61"/>
        <v>5.9678549011102602</v>
      </c>
      <c r="L108" s="22">
        <f t="shared" si="62"/>
        <v>7.042068783310107</v>
      </c>
      <c r="M108" s="227">
        <f t="shared" si="63"/>
        <v>7.042068783310107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Labour migration(formal employment): no. people per HH</v>
      </c>
      <c r="B109" s="75">
        <f t="shared" ref="B109:C109" si="80">(B55/$B$83)</f>
        <v>3.1331238230828866</v>
      </c>
      <c r="C109" s="75">
        <f t="shared" si="80"/>
        <v>0</v>
      </c>
      <c r="D109" s="24">
        <f t="shared" si="57"/>
        <v>3.1331238230828866</v>
      </c>
      <c r="H109" s="24">
        <f t="shared" si="58"/>
        <v>0.59</v>
      </c>
      <c r="I109" s="22">
        <f t="shared" si="59"/>
        <v>1.8485430556189031</v>
      </c>
      <c r="J109" s="24">
        <f t="shared" si="60"/>
        <v>1.8485430556189031</v>
      </c>
      <c r="K109" s="22">
        <f t="shared" si="61"/>
        <v>3.1331238230828866</v>
      </c>
      <c r="L109" s="22">
        <f t="shared" si="62"/>
        <v>1.8485430556189031</v>
      </c>
      <c r="M109" s="227">
        <f t="shared" si="63"/>
        <v>1.8485430556189031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Small business -- see Data2</v>
      </c>
      <c r="B110" s="75">
        <f t="shared" ref="B110:C110" si="81">(B56/$B$83)</f>
        <v>3.5931459717101357</v>
      </c>
      <c r="C110" s="75">
        <f t="shared" si="81"/>
        <v>0</v>
      </c>
      <c r="D110" s="24">
        <f t="shared" si="57"/>
        <v>3.5931459717101357</v>
      </c>
      <c r="H110" s="24">
        <f t="shared" si="58"/>
        <v>0.94399999999999984</v>
      </c>
      <c r="I110" s="22">
        <f t="shared" si="59"/>
        <v>3.3919297972943676</v>
      </c>
      <c r="J110" s="24">
        <f t="shared" si="60"/>
        <v>3.3919297972943676</v>
      </c>
      <c r="K110" s="22">
        <f t="shared" si="61"/>
        <v>3.5931459717101357</v>
      </c>
      <c r="L110" s="22">
        <f t="shared" si="62"/>
        <v>3.3919297972943676</v>
      </c>
      <c r="M110" s="227">
        <f t="shared" si="63"/>
        <v>3.3919297972943676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Social development -- see Data2</v>
      </c>
      <c r="B111" s="75">
        <f t="shared" ref="B111:C111" si="82">(B57/$B$83)</f>
        <v>0.66392385774851637</v>
      </c>
      <c r="C111" s="75">
        <f t="shared" si="82"/>
        <v>0</v>
      </c>
      <c r="D111" s="24">
        <f t="shared" si="57"/>
        <v>0.66392385774851637</v>
      </c>
      <c r="H111" s="24">
        <f t="shared" si="58"/>
        <v>1.18</v>
      </c>
      <c r="I111" s="22">
        <f t="shared" si="59"/>
        <v>0.78343015214324929</v>
      </c>
      <c r="J111" s="24">
        <f t="shared" si="60"/>
        <v>0.78343015214324929</v>
      </c>
      <c r="K111" s="22">
        <f t="shared" si="61"/>
        <v>0.66392385774851637</v>
      </c>
      <c r="L111" s="22">
        <f t="shared" si="62"/>
        <v>0.78343015214324929</v>
      </c>
      <c r="M111" s="227">
        <f t="shared" si="63"/>
        <v>0.78343015214324929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Public works -- see Data2</v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1.18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Gifts/social support: type (Child support, Pension and Foster Care)</v>
      </c>
      <c r="B113" s="75">
        <f t="shared" ref="B113:C113" si="84">(B59/$B$83)</f>
        <v>0.97972284626560102</v>
      </c>
      <c r="C113" s="75">
        <f t="shared" si="84"/>
        <v>0</v>
      </c>
      <c r="D113" s="24">
        <f t="shared" si="57"/>
        <v>0.97972284626560102</v>
      </c>
      <c r="H113" s="24">
        <f t="shared" si="58"/>
        <v>1.1100000000000001</v>
      </c>
      <c r="I113" s="22">
        <f t="shared" si="59"/>
        <v>1.0874923593548171</v>
      </c>
      <c r="J113" s="24">
        <f t="shared" si="60"/>
        <v>1.0874923593548171</v>
      </c>
      <c r="K113" s="22">
        <f t="shared" si="61"/>
        <v>0.97972284626560102</v>
      </c>
      <c r="L113" s="22">
        <f t="shared" si="62"/>
        <v>1.0874923593548171</v>
      </c>
      <c r="M113" s="227">
        <f t="shared" si="63"/>
        <v>1.0874923593548171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Other income: e.g. Credit (cotton loans)</v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ref="B115:C115" si="86">(B61/$B$83)</f>
        <v>0.37299093131939126</v>
      </c>
      <c r="C115" s="75">
        <f t="shared" si="86"/>
        <v>0</v>
      </c>
      <c r="D115" s="24">
        <f t="shared" si="57"/>
        <v>0.37299093131939126</v>
      </c>
      <c r="H115" s="24">
        <f t="shared" si="58"/>
        <v>1.1100000000000001</v>
      </c>
      <c r="I115" s="22">
        <f t="shared" si="59"/>
        <v>0.41401993376452434</v>
      </c>
      <c r="J115" s="24">
        <f t="shared" si="60"/>
        <v>0.41401993376452434</v>
      </c>
      <c r="K115" s="22">
        <f t="shared" si="61"/>
        <v>0.37299093131939126</v>
      </c>
      <c r="L115" s="22">
        <f t="shared" si="62"/>
        <v>0.41401993376452434</v>
      </c>
      <c r="M115" s="227">
        <f t="shared" si="63"/>
        <v>0.41401993376452434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17.86062930279224</v>
      </c>
      <c r="C119" s="22">
        <f>SUM(C91:C118)</f>
        <v>3.754775375281872E-2</v>
      </c>
      <c r="D119" s="24">
        <f>SUM(D91:D118)</f>
        <v>17.898177056545059</v>
      </c>
      <c r="E119" s="22"/>
      <c r="F119" s="2"/>
      <c r="G119" s="2"/>
      <c r="H119" s="31"/>
      <c r="I119" s="22">
        <f>SUM(I91:I118)</f>
        <v>18.00732249173647</v>
      </c>
      <c r="J119" s="24">
        <f>SUM(J91:J118)</f>
        <v>18.064368375506664</v>
      </c>
      <c r="K119" s="22">
        <f>SUM(K91:K118)</f>
        <v>17.86062930279224</v>
      </c>
      <c r="L119" s="22">
        <f>SUM(L91:L118)</f>
        <v>18.063042363663175</v>
      </c>
      <c r="M119" s="57">
        <f t="shared" si="50"/>
        <v>18.064368375506664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1.0540460987110509</v>
      </c>
      <c r="C124" s="2"/>
      <c r="D124" s="24"/>
      <c r="H124" s="24">
        <f>(E70*F70/G$37*F$7/F$9)</f>
        <v>1.4</v>
      </c>
      <c r="I124" s="29">
        <f>IF(SUMPRODUCT($B$124:$B124,$H$124:$H124)&lt;I$119,($B124*$H124),I$119)</f>
        <v>1.4756645381954712</v>
      </c>
      <c r="J124" s="237">
        <f>IF(SUMPRODUCT($B$124:$B124,$H$124:$H124)&lt;J$119,($B124*$H124),J$119)</f>
        <v>1.4756645381954712</v>
      </c>
      <c r="K124" s="22">
        <f>(B124)</f>
        <v>1.0540460987110509</v>
      </c>
      <c r="L124" s="29">
        <f>IF(SUMPRODUCT($B$124:$B124,$H$124:$H124)&lt;L$119,($B124*$H124),L$119)</f>
        <v>1.4756645381954712</v>
      </c>
      <c r="M124" s="57">
        <f t="shared" si="90"/>
        <v>1.4756645381954712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1.0426501002402309</v>
      </c>
      <c r="C125" s="2"/>
      <c r="D125" s="24"/>
      <c r="H125" s="24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1.2303271182834723</v>
      </c>
      <c r="J125" s="237">
        <f>IF(SUMPRODUCT($B$124:$B125,$H$124:$H125)&lt;J$119,($B125*$H125),IF(SUMPRODUCT($B$124:$B124,$H$124:$H124)&lt;J$119,J$119-SUMPRODUCT($B$124:$B124,$H$124:$H124),0))</f>
        <v>1.2303271182834723</v>
      </c>
      <c r="K125" s="22">
        <f t="shared" ref="K125:K126" si="91">(B125)</f>
        <v>1.0426501002402309</v>
      </c>
      <c r="L125" s="29">
        <f>IF(SUMPRODUCT($B$124:$B125,$H$124:$H125)&lt;L$119,($B125*$H125),IF(SUMPRODUCT($B$124:$B124,$H$124:$H124)&lt;L$119,L$119-SUMPRODUCT($B$124:$B124,$H$124:$H124),0))</f>
        <v>1.2303271182834723</v>
      </c>
      <c r="M125" s="57">
        <f t="shared" ref="M125:M126" si="92">(J125)</f>
        <v>1.2303271182834723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1.9283216714844396</v>
      </c>
      <c r="C126" s="2"/>
      <c r="D126" s="24"/>
      <c r="H126" s="24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2.2754195723516384</v>
      </c>
      <c r="K126" s="22">
        <f t="shared" si="91"/>
        <v>1.9283216714844396</v>
      </c>
      <c r="L126" s="29">
        <f>IF(SUMPRODUCT($B$124:$B126,$H$124:$H126)&lt;(L$119-L$128),($B126*$H126),IF(SUMPRODUCT($B$124:$B125,$H$124:$H125)&lt;(L$119-L$128),L$119-L$128-SUMPRODUCT($B$124:$B125,$H$124:$H125),0))</f>
        <v>2.2754195723516384</v>
      </c>
      <c r="M126" s="57">
        <f t="shared" si="92"/>
        <v>2.2754195723516384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1.3691875437182655</v>
      </c>
      <c r="C127" s="2"/>
      <c r="D127" s="24"/>
      <c r="H127" s="24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1.6156413015875533</v>
      </c>
      <c r="K127" s="22">
        <f>(B127)</f>
        <v>1.3691875437182655</v>
      </c>
      <c r="L127" s="29">
        <f>IF(SUMPRODUCT($B$124:$B127,$H$124:$H127)&lt;(L$119-L$128),($B127*$H127),IF(SUMPRODUCT($B$124:$B126,$H$124:$H126)&lt;(L$119-L128),L$119-L$128-SUMPRODUCT($B$124:$B126,$H$124:$H126),0))</f>
        <v>1.6156413015875533</v>
      </c>
      <c r="M127" s="57">
        <f t="shared" si="90"/>
        <v>1.6156413015875533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0.68160895442092151</v>
      </c>
      <c r="C128" s="2"/>
      <c r="D128" s="31"/>
      <c r="E128" s="2"/>
      <c r="F128" s="2"/>
      <c r="G128" s="2"/>
      <c r="H128" s="24"/>
      <c r="I128" s="29">
        <f>(I30)</f>
        <v>16.531657953541</v>
      </c>
      <c r="J128" s="228">
        <f>(J30)</f>
        <v>0.33375931621251054</v>
      </c>
      <c r="K128" s="22">
        <f>(B128)</f>
        <v>0.68160895442092151</v>
      </c>
      <c r="L128" s="22">
        <f>IF(L124=L119,0,(L119-L124)/(B119-B124)*K128)</f>
        <v>0.67271884587798481</v>
      </c>
      <c r="M128" s="57">
        <f t="shared" si="90"/>
        <v>0.33375931621251054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11.784814934217332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11.133556528876019</v>
      </c>
      <c r="K129" s="29">
        <f>(B129)</f>
        <v>11.784814934217332</v>
      </c>
      <c r="L129" s="60">
        <f>IF(SUM(L124:L128)&gt;L130,0,L130-SUM(L124:L128))</f>
        <v>10.793270987367055</v>
      </c>
      <c r="M129" s="57">
        <f t="shared" si="90"/>
        <v>11.133556528876019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17.86062930279224</v>
      </c>
      <c r="C130" s="2"/>
      <c r="D130" s="31"/>
      <c r="E130" s="2"/>
      <c r="F130" s="2"/>
      <c r="G130" s="2"/>
      <c r="H130" s="24"/>
      <c r="I130" s="29">
        <f>(I119)</f>
        <v>18.00732249173647</v>
      </c>
      <c r="J130" s="228">
        <f>(J119)</f>
        <v>18.064368375506664</v>
      </c>
      <c r="K130" s="22">
        <f>(B130)</f>
        <v>17.86062930279224</v>
      </c>
      <c r="L130" s="22">
        <f>(L119)</f>
        <v>18.063042363663175</v>
      </c>
      <c r="M130" s="57">
        <f t="shared" si="90"/>
        <v>18.064368375506664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1.2303271182834727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5" t="str">
        <f>Poor!A1</f>
        <v>ZA1XX, 59100</v>
      </c>
      <c r="L2" s="265"/>
      <c r="M2" s="265"/>
      <c r="N2" s="265"/>
      <c r="O2" s="265"/>
      <c r="P2" s="265"/>
      <c r="Q2" s="265"/>
      <c r="R2" s="248"/>
      <c r="S2" s="248"/>
      <c r="T2" s="248"/>
      <c r="U2" s="248"/>
      <c r="V2" s="248"/>
    </row>
    <row r="3" spans="1:22" s="92" customFormat="1" ht="17">
      <c r="A3" s="90"/>
      <c r="B3" s="266" t="str">
        <f>V.Poor!A3</f>
        <v>Sources of Food : Very Poor HHs</v>
      </c>
      <c r="C3" s="267"/>
      <c r="D3" s="267"/>
      <c r="E3" s="267"/>
      <c r="F3" s="245"/>
      <c r="G3" s="264" t="str">
        <f>Poor!A3</f>
        <v>Sources of Food : Poor HHs</v>
      </c>
      <c r="H3" s="264"/>
      <c r="I3" s="264"/>
      <c r="J3" s="264"/>
      <c r="K3" s="246"/>
      <c r="L3" s="264" t="str">
        <f>Middle!A3</f>
        <v>Sources of Food : Middle HHs</v>
      </c>
      <c r="M3" s="264"/>
      <c r="N3" s="264"/>
      <c r="O3" s="264"/>
      <c r="P3" s="264"/>
      <c r="Q3" s="247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E57" workbookViewId="0">
      <selection activeCell="X78" sqref="X7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Poor!A1</f>
        <v>ZA1XX, 59100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V.Poor!A34</f>
        <v>Income : Very Poor HHs</v>
      </c>
      <c r="D3" s="270"/>
      <c r="E3" s="270"/>
      <c r="F3" s="90"/>
      <c r="G3" s="268" t="str">
        <f>Poor!A34</f>
        <v>Income : Poor HHs</v>
      </c>
      <c r="H3" s="268"/>
      <c r="I3" s="268"/>
      <c r="J3" s="268"/>
      <c r="K3" s="89"/>
      <c r="L3" s="268" t="str">
        <f>Middle!A34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1637.8612483790453</v>
      </c>
      <c r="C72" s="109">
        <f>Poor!R7</f>
        <v>3310.8818669346656</v>
      </c>
      <c r="D72" s="109">
        <f>Middle!R7</f>
        <v>2890.7355865918666</v>
      </c>
      <c r="E72" s="109">
        <f>Rich!R7</f>
        <v>1825.413865737894</v>
      </c>
      <c r="F72" s="109">
        <f>V.Poor!T7</f>
        <v>1307.6850158425668</v>
      </c>
      <c r="G72" s="109">
        <f>Poor!T7</f>
        <v>2689.6652295096924</v>
      </c>
      <c r="H72" s="109">
        <f>Middle!T7</f>
        <v>1900.649292140301</v>
      </c>
      <c r="I72" s="109">
        <f>Rich!T7</f>
        <v>1200.9758667421727</v>
      </c>
    </row>
    <row r="73" spans="1:9">
      <c r="A73" t="str">
        <f>V.Poor!Q8</f>
        <v>Own crops sold</v>
      </c>
      <c r="B73" s="109">
        <f>V.Poor!R8</f>
        <v>25.840100024676357</v>
      </c>
      <c r="C73" s="109">
        <f>Poor!R8</f>
        <v>1526.206542727313</v>
      </c>
      <c r="D73" s="109">
        <f>Middle!R8</f>
        <v>10861.045216721113</v>
      </c>
      <c r="E73" s="109">
        <f>Rich!R8</f>
        <v>22116.438696656045</v>
      </c>
      <c r="F73" s="109">
        <f>V.Poor!T8</f>
        <v>17.919999999999998</v>
      </c>
      <c r="G73" s="109">
        <f>Poor!T8</f>
        <v>1370.0966443153345</v>
      </c>
      <c r="H73" s="109">
        <f>Middle!T8</f>
        <v>10462.906419678706</v>
      </c>
      <c r="I73" s="109">
        <f>Rich!T8</f>
        <v>24249.51311859411</v>
      </c>
    </row>
    <row r="74" spans="1:9">
      <c r="A74" t="str">
        <f>V.Poor!Q9</f>
        <v>Animal products consumed</v>
      </c>
      <c r="B74" s="109">
        <f>V.Poor!R9</f>
        <v>600.96174511333197</v>
      </c>
      <c r="C74" s="109">
        <f>Poor!R9</f>
        <v>1095.5690994329716</v>
      </c>
      <c r="D74" s="109">
        <f>Middle!R9</f>
        <v>1916.6340270102087</v>
      </c>
      <c r="E74" s="109">
        <f>Rich!R9</f>
        <v>2192.2857565535119</v>
      </c>
      <c r="F74" s="109">
        <f>V.Poor!T9</f>
        <v>332.28890284958726</v>
      </c>
      <c r="G74" s="109">
        <f>Poor!T9</f>
        <v>445.17921885212519</v>
      </c>
      <c r="H74" s="109">
        <f>Middle!T9</f>
        <v>778.81499159789894</v>
      </c>
      <c r="I74" s="109">
        <f>Rich!T9</f>
        <v>890.81968307337684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3045.4403600511423</v>
      </c>
      <c r="C76" s="109">
        <f>Poor!R11</f>
        <v>10048.517627056288</v>
      </c>
      <c r="D76" s="109">
        <f>Middle!R11</f>
        <v>21797.091177278024</v>
      </c>
      <c r="E76" s="109">
        <f>Rich!R11</f>
        <v>31324.70731659016</v>
      </c>
      <c r="F76" s="109">
        <f>V.Poor!T11</f>
        <v>1392.3999999999999</v>
      </c>
      <c r="G76" s="109">
        <f>Poor!T11</f>
        <v>7700.9416226183448</v>
      </c>
      <c r="H76" s="109">
        <f>Middle!T11</f>
        <v>16824.388531205841</v>
      </c>
      <c r="I76" s="109">
        <f>Rich!T11</f>
        <v>23966.072996687788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121.2080495528232</v>
      </c>
      <c r="D77" s="109">
        <f>Middle!R12</f>
        <v>85.117058498518091</v>
      </c>
      <c r="E77" s="109">
        <f>Rich!R12</f>
        <v>0</v>
      </c>
      <c r="F77" s="109">
        <f>V.Poor!T12</f>
        <v>0</v>
      </c>
      <c r="G77" s="109">
        <f>Poor!T12</f>
        <v>99.370651016491237</v>
      </c>
      <c r="H77" s="109">
        <f>Middle!T12</f>
        <v>68.221510527176591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5317.1555759881148</v>
      </c>
      <c r="C78" s="109">
        <f>Poor!R13</f>
        <v>2477.3683198261147</v>
      </c>
      <c r="D78" s="109">
        <f>Middle!R13</f>
        <v>59625.591349457311</v>
      </c>
      <c r="E78" s="109">
        <f>Rich!R13</f>
        <v>0</v>
      </c>
      <c r="F78" s="109">
        <f>V.Poor!T13</f>
        <v>4794.1740943330369</v>
      </c>
      <c r="G78" s="109">
        <f>Poor!T13</f>
        <v>2234.8000000000002</v>
      </c>
      <c r="H78" s="109">
        <f>Middle!T13</f>
        <v>53787.42857142858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28209.654775238527</v>
      </c>
      <c r="E79" s="109">
        <f>Rich!R14</f>
        <v>154408.65828783836</v>
      </c>
      <c r="F79" s="109">
        <f>V.Poor!T14</f>
        <v>0</v>
      </c>
      <c r="G79" s="109">
        <f>Poor!T14</f>
        <v>0</v>
      </c>
      <c r="H79" s="109">
        <f>Middle!T14</f>
        <v>23451.657142857144</v>
      </c>
      <c r="I79" s="109">
        <f>Rich!T14</f>
        <v>122585.14285714286</v>
      </c>
    </row>
    <row r="80" spans="1:9">
      <c r="A80" t="str">
        <f>V.Poor!Q15</f>
        <v>Labour - public works</v>
      </c>
      <c r="B80" s="109">
        <f>V.Poor!R15</f>
        <v>5020.3622905085504</v>
      </c>
      <c r="C80" s="109">
        <f>Poor!R15</f>
        <v>9071.1055896149574</v>
      </c>
      <c r="D80" s="109">
        <f>Middle!R15</f>
        <v>1171.8866224343024</v>
      </c>
      <c r="E80" s="109">
        <f>Rich!R15</f>
        <v>0</v>
      </c>
      <c r="F80" s="109">
        <f>V.Poor!T15</f>
        <v>4814.3999999999996</v>
      </c>
      <c r="G80" s="109">
        <f>Poor!T15</f>
        <v>8698.9599999999991</v>
      </c>
      <c r="H80" s="109">
        <f>Middle!T15</f>
        <v>1123.8095238095236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1575.0156205517019</v>
      </c>
      <c r="C82" s="109">
        <f>Poor!R17</f>
        <v>1148.448889985616</v>
      </c>
      <c r="D82" s="109">
        <f>Middle!R17</f>
        <v>0</v>
      </c>
      <c r="E82" s="109">
        <f>Rich!R17</f>
        <v>60961.888313094656</v>
      </c>
      <c r="F82" s="109">
        <f>V.Poor!T17</f>
        <v>1208.3199999999997</v>
      </c>
      <c r="G82" s="109">
        <f>Poor!T17</f>
        <v>881.06666666666661</v>
      </c>
      <c r="H82" s="109">
        <f>Middle!T17</f>
        <v>0</v>
      </c>
      <c r="I82" s="109">
        <f>Rich!T17</f>
        <v>46768.457142857136</v>
      </c>
    </row>
    <row r="83" spans="1:9">
      <c r="A83" t="str">
        <f>V.Poor!Q18</f>
        <v>Food transfer - official</v>
      </c>
      <c r="B83" s="109">
        <f>V.Poor!R18</f>
        <v>2542.6668466728388</v>
      </c>
      <c r="C83" s="109">
        <f>Poor!R18</f>
        <v>2592.6389326114268</v>
      </c>
      <c r="D83" s="109">
        <f>Middle!R18</f>
        <v>2307.4028516274425</v>
      </c>
      <c r="E83" s="109">
        <f>Rich!R18</f>
        <v>403.95618288041288</v>
      </c>
      <c r="F83" s="109">
        <f>V.Poor!T18</f>
        <v>2066.4008161399674</v>
      </c>
      <c r="G83" s="109">
        <f>Poor!T18</f>
        <v>2107.0126482810269</v>
      </c>
      <c r="H83" s="109">
        <f>Middle!T18</f>
        <v>1875.2040370549289</v>
      </c>
      <c r="I83" s="109">
        <f>Rich!T18</f>
        <v>328.28942826758424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23585.858917761736</v>
      </c>
      <c r="C85" s="109">
        <f>Poor!R20</f>
        <v>31271.442953672617</v>
      </c>
      <c r="D85" s="109">
        <f>Middle!R20</f>
        <v>9343.217663344205</v>
      </c>
      <c r="E85" s="109">
        <f>Rich!R20</f>
        <v>11264.238186571814</v>
      </c>
      <c r="F85" s="109">
        <f>V.Poor!T20</f>
        <v>22618.239999999998</v>
      </c>
      <c r="G85" s="109">
        <f>Poor!T20</f>
        <v>29988.519999999997</v>
      </c>
      <c r="H85" s="109">
        <f>Middle!T20</f>
        <v>8959.9085714285702</v>
      </c>
      <c r="I85" s="109">
        <f>Rich!T20</f>
        <v>10802.057142857142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348.63627017420481</v>
      </c>
      <c r="D86" s="109">
        <f>Middle!R21</f>
        <v>6257.8745637991742</v>
      </c>
      <c r="E86" s="109">
        <f>Rich!R21</f>
        <v>22950.357953165047</v>
      </c>
      <c r="F86" s="109">
        <f>V.Poor!T21</f>
        <v>0</v>
      </c>
      <c r="G86" s="109">
        <f>Poor!T21</f>
        <v>314.5</v>
      </c>
      <c r="H86" s="109">
        <f>Middle!T21</f>
        <v>5645.1428571428569</v>
      </c>
      <c r="I86" s="109">
        <f>Rich!T21</f>
        <v>20703.085714285717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943.77889137746513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767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43351.162705051131</v>
      </c>
      <c r="C88" s="109">
        <f>Poor!R23</f>
        <v>63955.803032966454</v>
      </c>
      <c r="D88" s="109">
        <f>Middle!R23</f>
        <v>144466.25089200071</v>
      </c>
      <c r="E88" s="109">
        <f>Rich!R23</f>
        <v>307447.94455908786</v>
      </c>
      <c r="F88" s="109">
        <f>V.Poor!T23</f>
        <v>38551.828829165155</v>
      </c>
      <c r="G88" s="109">
        <f>Poor!T23</f>
        <v>57297.112681259678</v>
      </c>
      <c r="H88" s="109">
        <f>Middle!T23</f>
        <v>124878.13144887153</v>
      </c>
      <c r="I88" s="109">
        <f>Rich!T23</f>
        <v>251494.41395050788</v>
      </c>
    </row>
    <row r="89" spans="1:9">
      <c r="A89" t="str">
        <f>V.Poor!Q24</f>
        <v>Food Poverty line</v>
      </c>
      <c r="B89" s="109">
        <f>V.Poor!R24</f>
        <v>31035.992491963734</v>
      </c>
      <c r="C89" s="109">
        <f>Poor!R24</f>
        <v>31035.992491963734</v>
      </c>
      <c r="D89" s="109">
        <f>Middle!R24</f>
        <v>31035.99249196376</v>
      </c>
      <c r="E89" s="109">
        <f>Rich!R24</f>
        <v>31035.227765379786</v>
      </c>
      <c r="F89" s="109">
        <f>V.Poor!T24</f>
        <v>31035.992491963734</v>
      </c>
      <c r="G89" s="109">
        <f>Poor!T24</f>
        <v>31035.992491963734</v>
      </c>
      <c r="H89" s="109">
        <f>Middle!T24</f>
        <v>31035.99249196376</v>
      </c>
      <c r="I89" s="109">
        <f>Rich!T24</f>
        <v>31035.227765379786</v>
      </c>
    </row>
    <row r="90" spans="1:9">
      <c r="A90" s="108" t="str">
        <f>V.Poor!Q25</f>
        <v>Lower Bound Poverty line</v>
      </c>
      <c r="B90" s="109">
        <f>V.Poor!R25</f>
        <v>47999.934714185954</v>
      </c>
      <c r="C90" s="109">
        <f>Poor!R25</f>
        <v>47999.934714185954</v>
      </c>
      <c r="D90" s="109">
        <f>Middle!R25</f>
        <v>47999.934714185954</v>
      </c>
      <c r="E90" s="109">
        <f>Rich!R25</f>
        <v>47999.169987601977</v>
      </c>
      <c r="F90" s="109">
        <f>V.Poor!T25</f>
        <v>47999.934714185954</v>
      </c>
      <c r="G90" s="109">
        <f>Poor!T25</f>
        <v>47999.934714185954</v>
      </c>
      <c r="H90" s="109">
        <f>Middle!T25</f>
        <v>47999.934714185954</v>
      </c>
      <c r="I90" s="109">
        <f>Rich!T25</f>
        <v>47999.169987601977</v>
      </c>
    </row>
    <row r="91" spans="1:9">
      <c r="A91" s="108" t="str">
        <f>V.Poor!Q26</f>
        <v>Upper Bound Poverty line</v>
      </c>
      <c r="B91" s="109">
        <f>V.Poor!R26</f>
        <v>79373.774714185958</v>
      </c>
      <c r="C91" s="109">
        <f>Poor!R26</f>
        <v>79373.774714185944</v>
      </c>
      <c r="D91" s="109">
        <f>Middle!R26</f>
        <v>79373.774714185958</v>
      </c>
      <c r="E91" s="109">
        <f>Rich!R26</f>
        <v>79373.009987601981</v>
      </c>
      <c r="F91" s="109">
        <f>V.Poor!T26</f>
        <v>79373.774714185958</v>
      </c>
      <c r="G91" s="109">
        <f>Poor!T26</f>
        <v>79373.774714185944</v>
      </c>
      <c r="H91" s="109">
        <f>Middle!T26</f>
        <v>79373.774714185958</v>
      </c>
      <c r="I91" s="109">
        <f>Rich!T26</f>
        <v>79373.009987601981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31035.992491963734</v>
      </c>
      <c r="G93" s="109">
        <f>Poor!T24</f>
        <v>31035.992491963734</v>
      </c>
      <c r="H93" s="109">
        <f>Middle!T24</f>
        <v>31035.99249196376</v>
      </c>
      <c r="I93" s="109">
        <f>Rich!T24</f>
        <v>31035.227765379786</v>
      </c>
    </row>
    <row r="94" spans="1:9">
      <c r="A94" t="str">
        <f>V.Poor!Q25</f>
        <v>Lower Bound Poverty line</v>
      </c>
      <c r="F94" s="109">
        <f>V.Poor!T25</f>
        <v>47999.934714185954</v>
      </c>
      <c r="G94" s="109">
        <f>Poor!T25</f>
        <v>47999.934714185954</v>
      </c>
      <c r="H94" s="109">
        <f>Middle!T25</f>
        <v>47999.934714185954</v>
      </c>
      <c r="I94" s="109">
        <f>Rich!T25</f>
        <v>47999.169987601977</v>
      </c>
    </row>
    <row r="95" spans="1:9">
      <c r="A95" t="str">
        <f>V.Poor!Q26</f>
        <v>Upper Bound Poverty line</v>
      </c>
      <c r="F95" s="109">
        <f>V.Poor!T26</f>
        <v>79373.774714185958</v>
      </c>
      <c r="G95" s="109">
        <f>Poor!T26</f>
        <v>79373.774714185944</v>
      </c>
      <c r="H95" s="109">
        <f>Middle!T26</f>
        <v>79373.774714185958</v>
      </c>
      <c r="I95" s="109">
        <f>Rich!T26</f>
        <v>79373.009987601981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4648.7720091348237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9448.1058850207992</v>
      </c>
      <c r="G99" s="239">
        <f t="shared" si="0"/>
        <v>0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36022.612009134828</v>
      </c>
      <c r="C100" s="239">
        <f t="shared" si="0"/>
        <v>15417.971681219489</v>
      </c>
      <c r="D100" s="239">
        <f t="shared" si="0"/>
        <v>0</v>
      </c>
      <c r="E100" s="239">
        <f t="shared" si="0"/>
        <v>0</v>
      </c>
      <c r="F100" s="239">
        <f t="shared" si="0"/>
        <v>40821.945885020803</v>
      </c>
      <c r="G100" s="239">
        <f t="shared" si="0"/>
        <v>22076.662032926266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5" t="str">
        <f>Poor!A1</f>
        <v>ZA1XX, 59100</v>
      </c>
      <c r="L2" s="265"/>
      <c r="M2" s="265"/>
      <c r="N2" s="265"/>
      <c r="O2" s="265"/>
      <c r="P2" s="265"/>
      <c r="Q2" s="265"/>
      <c r="R2" s="248"/>
      <c r="S2" s="248"/>
      <c r="T2" s="248"/>
      <c r="U2" s="248"/>
      <c r="V2" s="248"/>
    </row>
    <row r="3" spans="1:22" s="92" customFormat="1" ht="17">
      <c r="A3" s="90"/>
      <c r="B3" s="266" t="str">
        <f>V.Poor!A67</f>
        <v>Expenditure : Very Poor HHs</v>
      </c>
      <c r="C3" s="266"/>
      <c r="D3" s="266"/>
      <c r="E3" s="266"/>
      <c r="F3" s="250"/>
      <c r="G3" s="264" t="str">
        <f>Poor!A67</f>
        <v>Expenditure : Poor HHs</v>
      </c>
      <c r="H3" s="264"/>
      <c r="I3" s="264"/>
      <c r="J3" s="264"/>
      <c r="K3" s="246"/>
      <c r="L3" s="264" t="str">
        <f>Middle!A67</f>
        <v>Expenditure : Middle HHs</v>
      </c>
      <c r="M3" s="264"/>
      <c r="N3" s="264"/>
      <c r="O3" s="264"/>
      <c r="P3" s="264"/>
      <c r="Q3" s="247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78" sqref="A78:A81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v>0.39500000000000002</v>
      </c>
      <c r="C2" s="202">
        <v>0.33499999999999996</v>
      </c>
      <c r="D2" s="202">
        <v>0.16499999999999998</v>
      </c>
      <c r="E2" s="202">
        <v>0.10500000000000001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1637.8612483790453</v>
      </c>
      <c r="C3" s="203">
        <f>Income!C72</f>
        <v>3310.8818669346656</v>
      </c>
      <c r="D3" s="203">
        <f>Income!D72</f>
        <v>2890.7355865918666</v>
      </c>
      <c r="E3" s="203">
        <f>Income!E72</f>
        <v>1825.413865737894</v>
      </c>
      <c r="F3" s="204">
        <f t="shared" ref="F3:O12" si="0">IF(F$2&lt;=($B$2+$C$2+$D$2),IF(F$2&lt;=($B$2+$C$2),IF(F$2&lt;=$B$2,$B3,$C3),$D3),$E3)</f>
        <v>1637.8612483790453</v>
      </c>
      <c r="G3" s="204">
        <f t="shared" si="0"/>
        <v>1637.8612483790453</v>
      </c>
      <c r="H3" s="204">
        <f t="shared" si="0"/>
        <v>1637.8612483790453</v>
      </c>
      <c r="I3" s="204">
        <f t="shared" si="0"/>
        <v>1637.8612483790453</v>
      </c>
      <c r="J3" s="204">
        <f t="shared" si="0"/>
        <v>1637.8612483790453</v>
      </c>
      <c r="K3" s="204">
        <f t="shared" si="0"/>
        <v>1637.8612483790453</v>
      </c>
      <c r="L3" s="204">
        <f t="shared" si="0"/>
        <v>1637.8612483790453</v>
      </c>
      <c r="M3" s="204">
        <f t="shared" si="0"/>
        <v>1637.8612483790453</v>
      </c>
      <c r="N3" s="204">
        <f t="shared" si="0"/>
        <v>1637.8612483790453</v>
      </c>
      <c r="O3" s="204">
        <f t="shared" si="0"/>
        <v>1637.8612483790453</v>
      </c>
      <c r="P3" s="204">
        <f t="shared" ref="P3:Y12" si="1">IF(P$2&lt;=($B$2+$C$2+$D$2),IF(P$2&lt;=($B$2+$C$2),IF(P$2&lt;=$B$2,$B3,$C3),$D3),$E3)</f>
        <v>1637.8612483790453</v>
      </c>
      <c r="Q3" s="204">
        <f t="shared" si="1"/>
        <v>1637.8612483790453</v>
      </c>
      <c r="R3" s="204">
        <f t="shared" si="1"/>
        <v>1637.8612483790453</v>
      </c>
      <c r="S3" s="204">
        <f t="shared" si="1"/>
        <v>1637.8612483790453</v>
      </c>
      <c r="T3" s="204">
        <f t="shared" si="1"/>
        <v>1637.8612483790453</v>
      </c>
      <c r="U3" s="204">
        <f t="shared" si="1"/>
        <v>1637.8612483790453</v>
      </c>
      <c r="V3" s="204">
        <f t="shared" si="1"/>
        <v>1637.8612483790453</v>
      </c>
      <c r="W3" s="204">
        <f t="shared" si="1"/>
        <v>1637.8612483790453</v>
      </c>
      <c r="X3" s="204">
        <f t="shared" si="1"/>
        <v>1637.8612483790453</v>
      </c>
      <c r="Y3" s="204">
        <f t="shared" si="1"/>
        <v>1637.8612483790453</v>
      </c>
      <c r="Z3" s="204">
        <f t="shared" ref="Z3:AI12" si="2">IF(Z$2&lt;=($B$2+$C$2+$D$2),IF(Z$2&lt;=($B$2+$C$2),IF(Z$2&lt;=$B$2,$B3,$C3),$D3),$E3)</f>
        <v>1637.8612483790453</v>
      </c>
      <c r="AA3" s="204">
        <f t="shared" si="2"/>
        <v>1637.8612483790453</v>
      </c>
      <c r="AB3" s="204">
        <f t="shared" si="2"/>
        <v>1637.8612483790453</v>
      </c>
      <c r="AC3" s="204">
        <f t="shared" si="2"/>
        <v>1637.8612483790453</v>
      </c>
      <c r="AD3" s="204">
        <f t="shared" si="2"/>
        <v>1637.8612483790453</v>
      </c>
      <c r="AE3" s="204">
        <f t="shared" si="2"/>
        <v>1637.8612483790453</v>
      </c>
      <c r="AF3" s="204">
        <f t="shared" si="2"/>
        <v>1637.8612483790453</v>
      </c>
      <c r="AG3" s="204">
        <f t="shared" si="2"/>
        <v>1637.8612483790453</v>
      </c>
      <c r="AH3" s="204">
        <f t="shared" si="2"/>
        <v>1637.8612483790453</v>
      </c>
      <c r="AI3" s="204">
        <f t="shared" si="2"/>
        <v>1637.8612483790453</v>
      </c>
      <c r="AJ3" s="204">
        <f t="shared" ref="AJ3:AS12" si="3">IF(AJ$2&lt;=($B$2+$C$2+$D$2),IF(AJ$2&lt;=($B$2+$C$2),IF(AJ$2&lt;=$B$2,$B3,$C3),$D3),$E3)</f>
        <v>1637.8612483790453</v>
      </c>
      <c r="AK3" s="204">
        <f t="shared" si="3"/>
        <v>1637.8612483790453</v>
      </c>
      <c r="AL3" s="204">
        <f t="shared" si="3"/>
        <v>1637.8612483790453</v>
      </c>
      <c r="AM3" s="204">
        <f t="shared" si="3"/>
        <v>1637.8612483790453</v>
      </c>
      <c r="AN3" s="204">
        <f t="shared" si="3"/>
        <v>1637.8612483790453</v>
      </c>
      <c r="AO3" s="204">
        <f t="shared" si="3"/>
        <v>1637.8612483790453</v>
      </c>
      <c r="AP3" s="204">
        <f t="shared" si="3"/>
        <v>1637.8612483790453</v>
      </c>
      <c r="AQ3" s="204">
        <f t="shared" si="3"/>
        <v>1637.8612483790453</v>
      </c>
      <c r="AR3" s="204">
        <f t="shared" si="3"/>
        <v>1637.8612483790453</v>
      </c>
      <c r="AS3" s="204">
        <f t="shared" si="3"/>
        <v>3310.8818669346656</v>
      </c>
      <c r="AT3" s="204">
        <f t="shared" ref="AT3:BC12" si="4">IF(AT$2&lt;=($B$2+$C$2+$D$2),IF(AT$2&lt;=($B$2+$C$2),IF(AT$2&lt;=$B$2,$B3,$C3),$D3),$E3)</f>
        <v>3310.8818669346656</v>
      </c>
      <c r="AU3" s="204">
        <f t="shared" si="4"/>
        <v>3310.8818669346656</v>
      </c>
      <c r="AV3" s="204">
        <f t="shared" si="4"/>
        <v>3310.8818669346656</v>
      </c>
      <c r="AW3" s="204">
        <f t="shared" si="4"/>
        <v>3310.8818669346656</v>
      </c>
      <c r="AX3" s="204">
        <f t="shared" si="4"/>
        <v>3310.8818669346656</v>
      </c>
      <c r="AY3" s="204">
        <f t="shared" si="4"/>
        <v>3310.8818669346656</v>
      </c>
      <c r="AZ3" s="204">
        <f t="shared" si="4"/>
        <v>3310.8818669346656</v>
      </c>
      <c r="BA3" s="204">
        <f t="shared" si="4"/>
        <v>3310.8818669346656</v>
      </c>
      <c r="BB3" s="204">
        <f t="shared" si="4"/>
        <v>3310.8818669346656</v>
      </c>
      <c r="BC3" s="204">
        <f t="shared" si="4"/>
        <v>3310.8818669346656</v>
      </c>
      <c r="BD3" s="204">
        <f t="shared" ref="BD3:BM12" si="5">IF(BD$2&lt;=($B$2+$C$2+$D$2),IF(BD$2&lt;=($B$2+$C$2),IF(BD$2&lt;=$B$2,$B3,$C3),$D3),$E3)</f>
        <v>3310.8818669346656</v>
      </c>
      <c r="BE3" s="204">
        <f t="shared" si="5"/>
        <v>3310.8818669346656</v>
      </c>
      <c r="BF3" s="204">
        <f t="shared" si="5"/>
        <v>3310.8818669346656</v>
      </c>
      <c r="BG3" s="204">
        <f t="shared" si="5"/>
        <v>3310.8818669346656</v>
      </c>
      <c r="BH3" s="204">
        <f t="shared" si="5"/>
        <v>3310.8818669346656</v>
      </c>
      <c r="BI3" s="204">
        <f t="shared" si="5"/>
        <v>3310.8818669346656</v>
      </c>
      <c r="BJ3" s="204">
        <f t="shared" si="5"/>
        <v>3310.8818669346656</v>
      </c>
      <c r="BK3" s="204">
        <f t="shared" si="5"/>
        <v>3310.8818669346656</v>
      </c>
      <c r="BL3" s="204">
        <f t="shared" si="5"/>
        <v>3310.8818669346656</v>
      </c>
      <c r="BM3" s="204">
        <f t="shared" si="5"/>
        <v>3310.8818669346656</v>
      </c>
      <c r="BN3" s="204">
        <f t="shared" ref="BN3:BW12" si="6">IF(BN$2&lt;=($B$2+$C$2+$D$2),IF(BN$2&lt;=($B$2+$C$2),IF(BN$2&lt;=$B$2,$B3,$C3),$D3),$E3)</f>
        <v>3310.8818669346656</v>
      </c>
      <c r="BO3" s="204">
        <f t="shared" si="6"/>
        <v>3310.8818669346656</v>
      </c>
      <c r="BP3" s="204">
        <f t="shared" si="6"/>
        <v>3310.8818669346656</v>
      </c>
      <c r="BQ3" s="204">
        <f t="shared" si="6"/>
        <v>3310.8818669346656</v>
      </c>
      <c r="BR3" s="204">
        <f t="shared" si="6"/>
        <v>3310.8818669346656</v>
      </c>
      <c r="BS3" s="204">
        <f t="shared" si="6"/>
        <v>3310.8818669346656</v>
      </c>
      <c r="BT3" s="204">
        <f t="shared" si="6"/>
        <v>3310.8818669346656</v>
      </c>
      <c r="BU3" s="204">
        <f t="shared" si="6"/>
        <v>3310.8818669346656</v>
      </c>
      <c r="BV3" s="204">
        <f t="shared" si="6"/>
        <v>3310.8818669346656</v>
      </c>
      <c r="BW3" s="204">
        <f t="shared" si="6"/>
        <v>3310.8818669346656</v>
      </c>
      <c r="BX3" s="204">
        <f t="shared" ref="BX3:CG12" si="7">IF(BX$2&lt;=($B$2+$C$2+$D$2),IF(BX$2&lt;=($B$2+$C$2),IF(BX$2&lt;=$B$2,$B3,$C3),$D3),$E3)</f>
        <v>3310.8818669346656</v>
      </c>
      <c r="BY3" s="204">
        <f t="shared" si="7"/>
        <v>3310.8818669346656</v>
      </c>
      <c r="BZ3" s="204">
        <f t="shared" si="7"/>
        <v>3310.8818669346656</v>
      </c>
      <c r="CA3" s="204">
        <f t="shared" si="7"/>
        <v>2890.7355865918666</v>
      </c>
      <c r="CB3" s="204">
        <f t="shared" si="7"/>
        <v>2890.7355865918666</v>
      </c>
      <c r="CC3" s="204">
        <f t="shared" si="7"/>
        <v>2890.7355865918666</v>
      </c>
      <c r="CD3" s="204">
        <f t="shared" si="7"/>
        <v>2890.7355865918666</v>
      </c>
      <c r="CE3" s="204">
        <f t="shared" si="7"/>
        <v>2890.7355865918666</v>
      </c>
      <c r="CF3" s="204">
        <f t="shared" si="7"/>
        <v>2890.7355865918666</v>
      </c>
      <c r="CG3" s="204">
        <f t="shared" si="7"/>
        <v>2890.7355865918666</v>
      </c>
      <c r="CH3" s="204">
        <f t="shared" ref="CH3:CQ12" si="8">IF(CH$2&lt;=($B$2+$C$2+$D$2),IF(CH$2&lt;=($B$2+$C$2),IF(CH$2&lt;=$B$2,$B3,$C3),$D3),$E3)</f>
        <v>2890.7355865918666</v>
      </c>
      <c r="CI3" s="204">
        <f t="shared" si="8"/>
        <v>2890.7355865918666</v>
      </c>
      <c r="CJ3" s="204">
        <f t="shared" si="8"/>
        <v>2890.7355865918666</v>
      </c>
      <c r="CK3" s="204">
        <f t="shared" si="8"/>
        <v>2890.7355865918666</v>
      </c>
      <c r="CL3" s="204">
        <f t="shared" si="8"/>
        <v>2890.7355865918666</v>
      </c>
      <c r="CM3" s="204">
        <f t="shared" si="8"/>
        <v>2890.7355865918666</v>
      </c>
      <c r="CN3" s="204">
        <f t="shared" si="8"/>
        <v>2890.7355865918666</v>
      </c>
      <c r="CO3" s="204">
        <f t="shared" si="8"/>
        <v>2890.7355865918666</v>
      </c>
      <c r="CP3" s="204">
        <f t="shared" si="8"/>
        <v>2890.7355865918666</v>
      </c>
      <c r="CQ3" s="204">
        <f t="shared" si="8"/>
        <v>1825.413865737894</v>
      </c>
      <c r="CR3" s="204">
        <f t="shared" ref="CR3:DA12" si="9">IF(CR$2&lt;=($B$2+$C$2+$D$2),IF(CR$2&lt;=($B$2+$C$2),IF(CR$2&lt;=$B$2,$B3,$C3),$D3),$E3)</f>
        <v>1825.413865737894</v>
      </c>
      <c r="CS3" s="204">
        <f t="shared" si="9"/>
        <v>1825.413865737894</v>
      </c>
      <c r="CT3" s="204">
        <f t="shared" si="9"/>
        <v>1825.413865737894</v>
      </c>
      <c r="CU3" s="204">
        <f t="shared" si="9"/>
        <v>1825.413865737894</v>
      </c>
      <c r="CV3" s="204">
        <f t="shared" si="9"/>
        <v>1825.413865737894</v>
      </c>
      <c r="CW3" s="204">
        <f t="shared" si="9"/>
        <v>1825.413865737894</v>
      </c>
      <c r="CX3" s="204">
        <f t="shared" si="9"/>
        <v>1825.413865737894</v>
      </c>
      <c r="CY3" s="204">
        <f t="shared" si="9"/>
        <v>1825.413865737894</v>
      </c>
      <c r="CZ3" s="204">
        <f t="shared" si="9"/>
        <v>1825.413865737894</v>
      </c>
      <c r="DA3" s="204">
        <f t="shared" si="9"/>
        <v>1825.413865737894</v>
      </c>
      <c r="DB3" s="204"/>
    </row>
    <row r="4" spans="1:106">
      <c r="A4" s="201" t="str">
        <f>Income!A73</f>
        <v>Own crops sold</v>
      </c>
      <c r="B4" s="203">
        <f>Income!B73</f>
        <v>25.840100024676357</v>
      </c>
      <c r="C4" s="203">
        <f>Income!C73</f>
        <v>1526.206542727313</v>
      </c>
      <c r="D4" s="203">
        <f>Income!D73</f>
        <v>10861.045216721113</v>
      </c>
      <c r="E4" s="203">
        <f>Income!E73</f>
        <v>22116.438696656045</v>
      </c>
      <c r="F4" s="204">
        <f t="shared" si="0"/>
        <v>25.840100024676357</v>
      </c>
      <c r="G4" s="204">
        <f t="shared" si="0"/>
        <v>25.840100024676357</v>
      </c>
      <c r="H4" s="204">
        <f t="shared" si="0"/>
        <v>25.840100024676357</v>
      </c>
      <c r="I4" s="204">
        <f t="shared" si="0"/>
        <v>25.840100024676357</v>
      </c>
      <c r="J4" s="204">
        <f t="shared" si="0"/>
        <v>25.840100024676357</v>
      </c>
      <c r="K4" s="204">
        <f t="shared" si="0"/>
        <v>25.840100024676357</v>
      </c>
      <c r="L4" s="204">
        <f t="shared" si="0"/>
        <v>25.840100024676357</v>
      </c>
      <c r="M4" s="204">
        <f t="shared" si="0"/>
        <v>25.840100024676357</v>
      </c>
      <c r="N4" s="204">
        <f t="shared" si="0"/>
        <v>25.840100024676357</v>
      </c>
      <c r="O4" s="204">
        <f t="shared" si="0"/>
        <v>25.840100024676357</v>
      </c>
      <c r="P4" s="204">
        <f t="shared" si="1"/>
        <v>25.840100024676357</v>
      </c>
      <c r="Q4" s="204">
        <f t="shared" si="1"/>
        <v>25.840100024676357</v>
      </c>
      <c r="R4" s="204">
        <f t="shared" si="1"/>
        <v>25.840100024676357</v>
      </c>
      <c r="S4" s="204">
        <f t="shared" si="1"/>
        <v>25.840100024676357</v>
      </c>
      <c r="T4" s="204">
        <f t="shared" si="1"/>
        <v>25.840100024676357</v>
      </c>
      <c r="U4" s="204">
        <f t="shared" si="1"/>
        <v>25.840100024676357</v>
      </c>
      <c r="V4" s="204">
        <f t="shared" si="1"/>
        <v>25.840100024676357</v>
      </c>
      <c r="W4" s="204">
        <f t="shared" si="1"/>
        <v>25.840100024676357</v>
      </c>
      <c r="X4" s="204">
        <f t="shared" si="1"/>
        <v>25.840100024676357</v>
      </c>
      <c r="Y4" s="204">
        <f t="shared" si="1"/>
        <v>25.840100024676357</v>
      </c>
      <c r="Z4" s="204">
        <f t="shared" si="2"/>
        <v>25.840100024676357</v>
      </c>
      <c r="AA4" s="204">
        <f t="shared" si="2"/>
        <v>25.840100024676357</v>
      </c>
      <c r="AB4" s="204">
        <f t="shared" si="2"/>
        <v>25.840100024676357</v>
      </c>
      <c r="AC4" s="204">
        <f t="shared" si="2"/>
        <v>25.840100024676357</v>
      </c>
      <c r="AD4" s="204">
        <f t="shared" si="2"/>
        <v>25.840100024676357</v>
      </c>
      <c r="AE4" s="204">
        <f t="shared" si="2"/>
        <v>25.840100024676357</v>
      </c>
      <c r="AF4" s="204">
        <f t="shared" si="2"/>
        <v>25.840100024676357</v>
      </c>
      <c r="AG4" s="204">
        <f t="shared" si="2"/>
        <v>25.840100024676357</v>
      </c>
      <c r="AH4" s="204">
        <f t="shared" si="2"/>
        <v>25.840100024676357</v>
      </c>
      <c r="AI4" s="204">
        <f t="shared" si="2"/>
        <v>25.840100024676357</v>
      </c>
      <c r="AJ4" s="204">
        <f t="shared" si="3"/>
        <v>25.840100024676357</v>
      </c>
      <c r="AK4" s="204">
        <f t="shared" si="3"/>
        <v>25.840100024676357</v>
      </c>
      <c r="AL4" s="204">
        <f t="shared" si="3"/>
        <v>25.840100024676357</v>
      </c>
      <c r="AM4" s="204">
        <f t="shared" si="3"/>
        <v>25.840100024676357</v>
      </c>
      <c r="AN4" s="204">
        <f t="shared" si="3"/>
        <v>25.840100024676357</v>
      </c>
      <c r="AO4" s="204">
        <f t="shared" si="3"/>
        <v>25.840100024676357</v>
      </c>
      <c r="AP4" s="204">
        <f t="shared" si="3"/>
        <v>25.840100024676357</v>
      </c>
      <c r="AQ4" s="204">
        <f t="shared" si="3"/>
        <v>25.840100024676357</v>
      </c>
      <c r="AR4" s="204">
        <f t="shared" si="3"/>
        <v>25.840100024676357</v>
      </c>
      <c r="AS4" s="204">
        <f t="shared" si="3"/>
        <v>1526.206542727313</v>
      </c>
      <c r="AT4" s="204">
        <f t="shared" si="4"/>
        <v>1526.206542727313</v>
      </c>
      <c r="AU4" s="204">
        <f t="shared" si="4"/>
        <v>1526.206542727313</v>
      </c>
      <c r="AV4" s="204">
        <f t="shared" si="4"/>
        <v>1526.206542727313</v>
      </c>
      <c r="AW4" s="204">
        <f t="shared" si="4"/>
        <v>1526.206542727313</v>
      </c>
      <c r="AX4" s="204">
        <f t="shared" si="4"/>
        <v>1526.206542727313</v>
      </c>
      <c r="AY4" s="204">
        <f t="shared" si="4"/>
        <v>1526.206542727313</v>
      </c>
      <c r="AZ4" s="204">
        <f t="shared" si="4"/>
        <v>1526.206542727313</v>
      </c>
      <c r="BA4" s="204">
        <f t="shared" si="4"/>
        <v>1526.206542727313</v>
      </c>
      <c r="BB4" s="204">
        <f t="shared" si="4"/>
        <v>1526.206542727313</v>
      </c>
      <c r="BC4" s="204">
        <f t="shared" si="4"/>
        <v>1526.206542727313</v>
      </c>
      <c r="BD4" s="204">
        <f t="shared" si="5"/>
        <v>1526.206542727313</v>
      </c>
      <c r="BE4" s="204">
        <f t="shared" si="5"/>
        <v>1526.206542727313</v>
      </c>
      <c r="BF4" s="204">
        <f t="shared" si="5"/>
        <v>1526.206542727313</v>
      </c>
      <c r="BG4" s="204">
        <f t="shared" si="5"/>
        <v>1526.206542727313</v>
      </c>
      <c r="BH4" s="204">
        <f t="shared" si="5"/>
        <v>1526.206542727313</v>
      </c>
      <c r="BI4" s="204">
        <f t="shared" si="5"/>
        <v>1526.206542727313</v>
      </c>
      <c r="BJ4" s="204">
        <f t="shared" si="5"/>
        <v>1526.206542727313</v>
      </c>
      <c r="BK4" s="204">
        <f t="shared" si="5"/>
        <v>1526.206542727313</v>
      </c>
      <c r="BL4" s="204">
        <f t="shared" si="5"/>
        <v>1526.206542727313</v>
      </c>
      <c r="BM4" s="204">
        <f t="shared" si="5"/>
        <v>1526.206542727313</v>
      </c>
      <c r="BN4" s="204">
        <f t="shared" si="6"/>
        <v>1526.206542727313</v>
      </c>
      <c r="BO4" s="204">
        <f t="shared" si="6"/>
        <v>1526.206542727313</v>
      </c>
      <c r="BP4" s="204">
        <f t="shared" si="6"/>
        <v>1526.206542727313</v>
      </c>
      <c r="BQ4" s="204">
        <f t="shared" si="6"/>
        <v>1526.206542727313</v>
      </c>
      <c r="BR4" s="204">
        <f t="shared" si="6"/>
        <v>1526.206542727313</v>
      </c>
      <c r="BS4" s="204">
        <f t="shared" si="6"/>
        <v>1526.206542727313</v>
      </c>
      <c r="BT4" s="204">
        <f t="shared" si="6"/>
        <v>1526.206542727313</v>
      </c>
      <c r="BU4" s="204">
        <f t="shared" si="6"/>
        <v>1526.206542727313</v>
      </c>
      <c r="BV4" s="204">
        <f t="shared" si="6"/>
        <v>1526.206542727313</v>
      </c>
      <c r="BW4" s="204">
        <f t="shared" si="6"/>
        <v>1526.206542727313</v>
      </c>
      <c r="BX4" s="204">
        <f t="shared" si="7"/>
        <v>1526.206542727313</v>
      </c>
      <c r="BY4" s="204">
        <f t="shared" si="7"/>
        <v>1526.206542727313</v>
      </c>
      <c r="BZ4" s="204">
        <f t="shared" si="7"/>
        <v>1526.206542727313</v>
      </c>
      <c r="CA4" s="204">
        <f t="shared" si="7"/>
        <v>10861.045216721113</v>
      </c>
      <c r="CB4" s="204">
        <f t="shared" si="7"/>
        <v>10861.045216721113</v>
      </c>
      <c r="CC4" s="204">
        <f t="shared" si="7"/>
        <v>10861.045216721113</v>
      </c>
      <c r="CD4" s="204">
        <f t="shared" si="7"/>
        <v>10861.045216721113</v>
      </c>
      <c r="CE4" s="204">
        <f t="shared" si="7"/>
        <v>10861.045216721113</v>
      </c>
      <c r="CF4" s="204">
        <f t="shared" si="7"/>
        <v>10861.045216721113</v>
      </c>
      <c r="CG4" s="204">
        <f t="shared" si="7"/>
        <v>10861.045216721113</v>
      </c>
      <c r="CH4" s="204">
        <f t="shared" si="8"/>
        <v>10861.045216721113</v>
      </c>
      <c r="CI4" s="204">
        <f t="shared" si="8"/>
        <v>10861.045216721113</v>
      </c>
      <c r="CJ4" s="204">
        <f t="shared" si="8"/>
        <v>10861.045216721113</v>
      </c>
      <c r="CK4" s="204">
        <f t="shared" si="8"/>
        <v>10861.045216721113</v>
      </c>
      <c r="CL4" s="204">
        <f t="shared" si="8"/>
        <v>10861.045216721113</v>
      </c>
      <c r="CM4" s="204">
        <f t="shared" si="8"/>
        <v>10861.045216721113</v>
      </c>
      <c r="CN4" s="204">
        <f t="shared" si="8"/>
        <v>10861.045216721113</v>
      </c>
      <c r="CO4" s="204">
        <f t="shared" si="8"/>
        <v>10861.045216721113</v>
      </c>
      <c r="CP4" s="204">
        <f t="shared" si="8"/>
        <v>10861.045216721113</v>
      </c>
      <c r="CQ4" s="204">
        <f t="shared" si="8"/>
        <v>22116.438696656045</v>
      </c>
      <c r="CR4" s="204">
        <f t="shared" si="9"/>
        <v>22116.438696656045</v>
      </c>
      <c r="CS4" s="204">
        <f t="shared" si="9"/>
        <v>22116.438696656045</v>
      </c>
      <c r="CT4" s="204">
        <f t="shared" si="9"/>
        <v>22116.438696656045</v>
      </c>
      <c r="CU4" s="204">
        <f t="shared" si="9"/>
        <v>22116.438696656045</v>
      </c>
      <c r="CV4" s="204">
        <f t="shared" si="9"/>
        <v>22116.438696656045</v>
      </c>
      <c r="CW4" s="204">
        <f t="shared" si="9"/>
        <v>22116.438696656045</v>
      </c>
      <c r="CX4" s="204">
        <f t="shared" si="9"/>
        <v>22116.438696656045</v>
      </c>
      <c r="CY4" s="204">
        <f t="shared" si="9"/>
        <v>22116.438696656045</v>
      </c>
      <c r="CZ4" s="204">
        <f t="shared" si="9"/>
        <v>22116.438696656045</v>
      </c>
      <c r="DA4" s="204">
        <f t="shared" si="9"/>
        <v>22116.438696656045</v>
      </c>
      <c r="DB4" s="204"/>
    </row>
    <row r="5" spans="1:106">
      <c r="A5" s="201" t="str">
        <f>Income!A74</f>
        <v>Animal products consumed</v>
      </c>
      <c r="B5" s="203">
        <f>Income!B74</f>
        <v>600.96174511333197</v>
      </c>
      <c r="C5" s="203">
        <f>Income!C74</f>
        <v>1095.5690994329716</v>
      </c>
      <c r="D5" s="203">
        <f>Income!D74</f>
        <v>1916.6340270102087</v>
      </c>
      <c r="E5" s="203">
        <f>Income!E74</f>
        <v>2192.2857565535119</v>
      </c>
      <c r="F5" s="204">
        <f t="shared" si="0"/>
        <v>600.96174511333197</v>
      </c>
      <c r="G5" s="204">
        <f t="shared" si="0"/>
        <v>600.96174511333197</v>
      </c>
      <c r="H5" s="204">
        <f t="shared" si="0"/>
        <v>600.96174511333197</v>
      </c>
      <c r="I5" s="204">
        <f t="shared" si="0"/>
        <v>600.96174511333197</v>
      </c>
      <c r="J5" s="204">
        <f t="shared" si="0"/>
        <v>600.96174511333197</v>
      </c>
      <c r="K5" s="204">
        <f t="shared" si="0"/>
        <v>600.96174511333197</v>
      </c>
      <c r="L5" s="204">
        <f t="shared" si="0"/>
        <v>600.96174511333197</v>
      </c>
      <c r="M5" s="204">
        <f t="shared" si="0"/>
        <v>600.96174511333197</v>
      </c>
      <c r="N5" s="204">
        <f t="shared" si="0"/>
        <v>600.96174511333197</v>
      </c>
      <c r="O5" s="204">
        <f t="shared" si="0"/>
        <v>600.96174511333197</v>
      </c>
      <c r="P5" s="204">
        <f t="shared" si="1"/>
        <v>600.96174511333197</v>
      </c>
      <c r="Q5" s="204">
        <f t="shared" si="1"/>
        <v>600.96174511333197</v>
      </c>
      <c r="R5" s="204">
        <f t="shared" si="1"/>
        <v>600.96174511333197</v>
      </c>
      <c r="S5" s="204">
        <f t="shared" si="1"/>
        <v>600.96174511333197</v>
      </c>
      <c r="T5" s="204">
        <f t="shared" si="1"/>
        <v>600.96174511333197</v>
      </c>
      <c r="U5" s="204">
        <f t="shared" si="1"/>
        <v>600.96174511333197</v>
      </c>
      <c r="V5" s="204">
        <f t="shared" si="1"/>
        <v>600.96174511333197</v>
      </c>
      <c r="W5" s="204">
        <f t="shared" si="1"/>
        <v>600.96174511333197</v>
      </c>
      <c r="X5" s="204">
        <f t="shared" si="1"/>
        <v>600.96174511333197</v>
      </c>
      <c r="Y5" s="204">
        <f t="shared" si="1"/>
        <v>600.96174511333197</v>
      </c>
      <c r="Z5" s="204">
        <f t="shared" si="2"/>
        <v>600.96174511333197</v>
      </c>
      <c r="AA5" s="204">
        <f t="shared" si="2"/>
        <v>600.96174511333197</v>
      </c>
      <c r="AB5" s="204">
        <f t="shared" si="2"/>
        <v>600.96174511333197</v>
      </c>
      <c r="AC5" s="204">
        <f t="shared" si="2"/>
        <v>600.96174511333197</v>
      </c>
      <c r="AD5" s="204">
        <f t="shared" si="2"/>
        <v>600.96174511333197</v>
      </c>
      <c r="AE5" s="204">
        <f t="shared" si="2"/>
        <v>600.96174511333197</v>
      </c>
      <c r="AF5" s="204">
        <f t="shared" si="2"/>
        <v>600.96174511333197</v>
      </c>
      <c r="AG5" s="204">
        <f t="shared" si="2"/>
        <v>600.96174511333197</v>
      </c>
      <c r="AH5" s="204">
        <f t="shared" si="2"/>
        <v>600.96174511333197</v>
      </c>
      <c r="AI5" s="204">
        <f t="shared" si="2"/>
        <v>600.96174511333197</v>
      </c>
      <c r="AJ5" s="204">
        <f t="shared" si="3"/>
        <v>600.96174511333197</v>
      </c>
      <c r="AK5" s="204">
        <f t="shared" si="3"/>
        <v>600.96174511333197</v>
      </c>
      <c r="AL5" s="204">
        <f t="shared" si="3"/>
        <v>600.96174511333197</v>
      </c>
      <c r="AM5" s="204">
        <f t="shared" si="3"/>
        <v>600.96174511333197</v>
      </c>
      <c r="AN5" s="204">
        <f t="shared" si="3"/>
        <v>600.96174511333197</v>
      </c>
      <c r="AO5" s="204">
        <f t="shared" si="3"/>
        <v>600.96174511333197</v>
      </c>
      <c r="AP5" s="204">
        <f t="shared" si="3"/>
        <v>600.96174511333197</v>
      </c>
      <c r="AQ5" s="204">
        <f t="shared" si="3"/>
        <v>600.96174511333197</v>
      </c>
      <c r="AR5" s="204">
        <f t="shared" si="3"/>
        <v>600.96174511333197</v>
      </c>
      <c r="AS5" s="204">
        <f t="shared" si="3"/>
        <v>1095.5690994329716</v>
      </c>
      <c r="AT5" s="204">
        <f t="shared" si="4"/>
        <v>1095.5690994329716</v>
      </c>
      <c r="AU5" s="204">
        <f t="shared" si="4"/>
        <v>1095.5690994329716</v>
      </c>
      <c r="AV5" s="204">
        <f t="shared" si="4"/>
        <v>1095.5690994329716</v>
      </c>
      <c r="AW5" s="204">
        <f t="shared" si="4"/>
        <v>1095.5690994329716</v>
      </c>
      <c r="AX5" s="204">
        <f t="shared" si="4"/>
        <v>1095.5690994329716</v>
      </c>
      <c r="AY5" s="204">
        <f t="shared" si="4"/>
        <v>1095.5690994329716</v>
      </c>
      <c r="AZ5" s="204">
        <f t="shared" si="4"/>
        <v>1095.5690994329716</v>
      </c>
      <c r="BA5" s="204">
        <f t="shared" si="4"/>
        <v>1095.5690994329716</v>
      </c>
      <c r="BB5" s="204">
        <f t="shared" si="4"/>
        <v>1095.5690994329716</v>
      </c>
      <c r="BC5" s="204">
        <f t="shared" si="4"/>
        <v>1095.5690994329716</v>
      </c>
      <c r="BD5" s="204">
        <f t="shared" si="5"/>
        <v>1095.5690994329716</v>
      </c>
      <c r="BE5" s="204">
        <f t="shared" si="5"/>
        <v>1095.5690994329716</v>
      </c>
      <c r="BF5" s="204">
        <f t="shared" si="5"/>
        <v>1095.5690994329716</v>
      </c>
      <c r="BG5" s="204">
        <f t="shared" si="5"/>
        <v>1095.5690994329716</v>
      </c>
      <c r="BH5" s="204">
        <f t="shared" si="5"/>
        <v>1095.5690994329716</v>
      </c>
      <c r="BI5" s="204">
        <f t="shared" si="5"/>
        <v>1095.5690994329716</v>
      </c>
      <c r="BJ5" s="204">
        <f t="shared" si="5"/>
        <v>1095.5690994329716</v>
      </c>
      <c r="BK5" s="204">
        <f t="shared" si="5"/>
        <v>1095.5690994329716</v>
      </c>
      <c r="BL5" s="204">
        <f t="shared" si="5"/>
        <v>1095.5690994329716</v>
      </c>
      <c r="BM5" s="204">
        <f t="shared" si="5"/>
        <v>1095.5690994329716</v>
      </c>
      <c r="BN5" s="204">
        <f t="shared" si="6"/>
        <v>1095.5690994329716</v>
      </c>
      <c r="BO5" s="204">
        <f t="shared" si="6"/>
        <v>1095.5690994329716</v>
      </c>
      <c r="BP5" s="204">
        <f t="shared" si="6"/>
        <v>1095.5690994329716</v>
      </c>
      <c r="BQ5" s="204">
        <f t="shared" si="6"/>
        <v>1095.5690994329716</v>
      </c>
      <c r="BR5" s="204">
        <f t="shared" si="6"/>
        <v>1095.5690994329716</v>
      </c>
      <c r="BS5" s="204">
        <f t="shared" si="6"/>
        <v>1095.5690994329716</v>
      </c>
      <c r="BT5" s="204">
        <f t="shared" si="6"/>
        <v>1095.5690994329716</v>
      </c>
      <c r="BU5" s="204">
        <f t="shared" si="6"/>
        <v>1095.5690994329716</v>
      </c>
      <c r="BV5" s="204">
        <f t="shared" si="6"/>
        <v>1095.5690994329716</v>
      </c>
      <c r="BW5" s="204">
        <f t="shared" si="6"/>
        <v>1095.5690994329716</v>
      </c>
      <c r="BX5" s="204">
        <f t="shared" si="7"/>
        <v>1095.5690994329716</v>
      </c>
      <c r="BY5" s="204">
        <f t="shared" si="7"/>
        <v>1095.5690994329716</v>
      </c>
      <c r="BZ5" s="204">
        <f t="shared" si="7"/>
        <v>1095.5690994329716</v>
      </c>
      <c r="CA5" s="204">
        <f t="shared" si="7"/>
        <v>1916.6340270102087</v>
      </c>
      <c r="CB5" s="204">
        <f t="shared" si="7"/>
        <v>1916.6340270102087</v>
      </c>
      <c r="CC5" s="204">
        <f t="shared" si="7"/>
        <v>1916.6340270102087</v>
      </c>
      <c r="CD5" s="204">
        <f t="shared" si="7"/>
        <v>1916.6340270102087</v>
      </c>
      <c r="CE5" s="204">
        <f t="shared" si="7"/>
        <v>1916.6340270102087</v>
      </c>
      <c r="CF5" s="204">
        <f t="shared" si="7"/>
        <v>1916.6340270102087</v>
      </c>
      <c r="CG5" s="204">
        <f t="shared" si="7"/>
        <v>1916.6340270102087</v>
      </c>
      <c r="CH5" s="204">
        <f t="shared" si="8"/>
        <v>1916.6340270102087</v>
      </c>
      <c r="CI5" s="204">
        <f t="shared" si="8"/>
        <v>1916.6340270102087</v>
      </c>
      <c r="CJ5" s="204">
        <f t="shared" si="8"/>
        <v>1916.6340270102087</v>
      </c>
      <c r="CK5" s="204">
        <f t="shared" si="8"/>
        <v>1916.6340270102087</v>
      </c>
      <c r="CL5" s="204">
        <f t="shared" si="8"/>
        <v>1916.6340270102087</v>
      </c>
      <c r="CM5" s="204">
        <f t="shared" si="8"/>
        <v>1916.6340270102087</v>
      </c>
      <c r="CN5" s="204">
        <f t="shared" si="8"/>
        <v>1916.6340270102087</v>
      </c>
      <c r="CO5" s="204">
        <f t="shared" si="8"/>
        <v>1916.6340270102087</v>
      </c>
      <c r="CP5" s="204">
        <f t="shared" si="8"/>
        <v>1916.6340270102087</v>
      </c>
      <c r="CQ5" s="204">
        <f t="shared" si="8"/>
        <v>2192.2857565535119</v>
      </c>
      <c r="CR5" s="204">
        <f t="shared" si="9"/>
        <v>2192.2857565535119</v>
      </c>
      <c r="CS5" s="204">
        <f t="shared" si="9"/>
        <v>2192.2857565535119</v>
      </c>
      <c r="CT5" s="204">
        <f t="shared" si="9"/>
        <v>2192.2857565535119</v>
      </c>
      <c r="CU5" s="204">
        <f t="shared" si="9"/>
        <v>2192.2857565535119</v>
      </c>
      <c r="CV5" s="204">
        <f t="shared" si="9"/>
        <v>2192.2857565535119</v>
      </c>
      <c r="CW5" s="204">
        <f t="shared" si="9"/>
        <v>2192.2857565535119</v>
      </c>
      <c r="CX5" s="204">
        <f t="shared" si="9"/>
        <v>2192.2857565535119</v>
      </c>
      <c r="CY5" s="204">
        <f t="shared" si="9"/>
        <v>2192.2857565535119</v>
      </c>
      <c r="CZ5" s="204">
        <f t="shared" si="9"/>
        <v>2192.2857565535119</v>
      </c>
      <c r="DA5" s="204">
        <f t="shared" si="9"/>
        <v>2192.2857565535119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0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1"/>
        <v>0</v>
      </c>
      <c r="Q6" s="204">
        <f t="shared" si="1"/>
        <v>0</v>
      </c>
      <c r="R6" s="204">
        <f t="shared" si="1"/>
        <v>0</v>
      </c>
      <c r="S6" s="204">
        <f t="shared" si="1"/>
        <v>0</v>
      </c>
      <c r="T6" s="204">
        <f t="shared" si="1"/>
        <v>0</v>
      </c>
      <c r="U6" s="204">
        <f t="shared" si="1"/>
        <v>0</v>
      </c>
      <c r="V6" s="204">
        <f t="shared" si="1"/>
        <v>0</v>
      </c>
      <c r="W6" s="204">
        <f t="shared" si="1"/>
        <v>0</v>
      </c>
      <c r="X6" s="204">
        <f t="shared" si="1"/>
        <v>0</v>
      </c>
      <c r="Y6" s="204">
        <f t="shared" si="1"/>
        <v>0</v>
      </c>
      <c r="Z6" s="204">
        <f t="shared" si="2"/>
        <v>0</v>
      </c>
      <c r="AA6" s="204">
        <f t="shared" si="2"/>
        <v>0</v>
      </c>
      <c r="AB6" s="204">
        <f t="shared" si="2"/>
        <v>0</v>
      </c>
      <c r="AC6" s="204">
        <f t="shared" si="2"/>
        <v>0</v>
      </c>
      <c r="AD6" s="204">
        <f t="shared" si="2"/>
        <v>0</v>
      </c>
      <c r="AE6" s="204">
        <f t="shared" si="2"/>
        <v>0</v>
      </c>
      <c r="AF6" s="204">
        <f t="shared" si="2"/>
        <v>0</v>
      </c>
      <c r="AG6" s="204">
        <f t="shared" si="2"/>
        <v>0</v>
      </c>
      <c r="AH6" s="204">
        <f t="shared" si="2"/>
        <v>0</v>
      </c>
      <c r="AI6" s="204">
        <f t="shared" si="2"/>
        <v>0</v>
      </c>
      <c r="AJ6" s="204">
        <f t="shared" si="3"/>
        <v>0</v>
      </c>
      <c r="AK6" s="204">
        <f t="shared" si="3"/>
        <v>0</v>
      </c>
      <c r="AL6" s="204">
        <f t="shared" si="3"/>
        <v>0</v>
      </c>
      <c r="AM6" s="204">
        <f t="shared" si="3"/>
        <v>0</v>
      </c>
      <c r="AN6" s="204">
        <f t="shared" si="3"/>
        <v>0</v>
      </c>
      <c r="AO6" s="204">
        <f t="shared" si="3"/>
        <v>0</v>
      </c>
      <c r="AP6" s="204">
        <f t="shared" si="3"/>
        <v>0</v>
      </c>
      <c r="AQ6" s="204">
        <f t="shared" si="3"/>
        <v>0</v>
      </c>
      <c r="AR6" s="204">
        <f t="shared" si="3"/>
        <v>0</v>
      </c>
      <c r="AS6" s="204">
        <f t="shared" si="3"/>
        <v>0</v>
      </c>
      <c r="AT6" s="204">
        <f t="shared" si="4"/>
        <v>0</v>
      </c>
      <c r="AU6" s="204">
        <f t="shared" si="4"/>
        <v>0</v>
      </c>
      <c r="AV6" s="204">
        <f t="shared" si="4"/>
        <v>0</v>
      </c>
      <c r="AW6" s="204">
        <f t="shared" si="4"/>
        <v>0</v>
      </c>
      <c r="AX6" s="204">
        <f t="shared" si="4"/>
        <v>0</v>
      </c>
      <c r="AY6" s="204">
        <f t="shared" si="4"/>
        <v>0</v>
      </c>
      <c r="AZ6" s="204">
        <f t="shared" si="4"/>
        <v>0</v>
      </c>
      <c r="BA6" s="204">
        <f t="shared" si="4"/>
        <v>0</v>
      </c>
      <c r="BB6" s="204">
        <f t="shared" si="4"/>
        <v>0</v>
      </c>
      <c r="BC6" s="204">
        <f t="shared" si="4"/>
        <v>0</v>
      </c>
      <c r="BD6" s="204">
        <f t="shared" si="5"/>
        <v>0</v>
      </c>
      <c r="BE6" s="204">
        <f t="shared" si="5"/>
        <v>0</v>
      </c>
      <c r="BF6" s="204">
        <f t="shared" si="5"/>
        <v>0</v>
      </c>
      <c r="BG6" s="204">
        <f t="shared" si="5"/>
        <v>0</v>
      </c>
      <c r="BH6" s="204">
        <f t="shared" si="5"/>
        <v>0</v>
      </c>
      <c r="BI6" s="204">
        <f t="shared" si="5"/>
        <v>0</v>
      </c>
      <c r="BJ6" s="204">
        <f t="shared" si="5"/>
        <v>0</v>
      </c>
      <c r="BK6" s="204">
        <f t="shared" si="5"/>
        <v>0</v>
      </c>
      <c r="BL6" s="204">
        <f t="shared" si="5"/>
        <v>0</v>
      </c>
      <c r="BM6" s="204">
        <f t="shared" si="5"/>
        <v>0</v>
      </c>
      <c r="BN6" s="204">
        <f t="shared" si="6"/>
        <v>0</v>
      </c>
      <c r="BO6" s="204">
        <f t="shared" si="6"/>
        <v>0</v>
      </c>
      <c r="BP6" s="204">
        <f t="shared" si="6"/>
        <v>0</v>
      </c>
      <c r="BQ6" s="204">
        <f t="shared" si="6"/>
        <v>0</v>
      </c>
      <c r="BR6" s="204">
        <f t="shared" si="6"/>
        <v>0</v>
      </c>
      <c r="BS6" s="204">
        <f t="shared" si="6"/>
        <v>0</v>
      </c>
      <c r="BT6" s="204">
        <f t="shared" si="6"/>
        <v>0</v>
      </c>
      <c r="BU6" s="204">
        <f t="shared" si="6"/>
        <v>0</v>
      </c>
      <c r="BV6" s="204">
        <f t="shared" si="6"/>
        <v>0</v>
      </c>
      <c r="BW6" s="204">
        <f t="shared" si="6"/>
        <v>0</v>
      </c>
      <c r="BX6" s="204">
        <f t="shared" si="7"/>
        <v>0</v>
      </c>
      <c r="BY6" s="204">
        <f t="shared" si="7"/>
        <v>0</v>
      </c>
      <c r="BZ6" s="204">
        <f t="shared" si="7"/>
        <v>0</v>
      </c>
      <c r="CA6" s="204">
        <f t="shared" si="7"/>
        <v>0</v>
      </c>
      <c r="CB6" s="204">
        <f t="shared" si="7"/>
        <v>0</v>
      </c>
      <c r="CC6" s="204">
        <f t="shared" si="7"/>
        <v>0</v>
      </c>
      <c r="CD6" s="204">
        <f t="shared" si="7"/>
        <v>0</v>
      </c>
      <c r="CE6" s="204">
        <f t="shared" si="7"/>
        <v>0</v>
      </c>
      <c r="CF6" s="204">
        <f t="shared" si="7"/>
        <v>0</v>
      </c>
      <c r="CG6" s="204">
        <f t="shared" si="7"/>
        <v>0</v>
      </c>
      <c r="CH6" s="204">
        <f t="shared" si="8"/>
        <v>0</v>
      </c>
      <c r="CI6" s="204">
        <f t="shared" si="8"/>
        <v>0</v>
      </c>
      <c r="CJ6" s="204">
        <f t="shared" si="8"/>
        <v>0</v>
      </c>
      <c r="CK6" s="204">
        <f t="shared" si="8"/>
        <v>0</v>
      </c>
      <c r="CL6" s="204">
        <f t="shared" si="8"/>
        <v>0</v>
      </c>
      <c r="CM6" s="204">
        <f t="shared" si="8"/>
        <v>0</v>
      </c>
      <c r="CN6" s="204">
        <f t="shared" si="8"/>
        <v>0</v>
      </c>
      <c r="CO6" s="204">
        <f t="shared" si="8"/>
        <v>0</v>
      </c>
      <c r="CP6" s="204">
        <f t="shared" si="8"/>
        <v>0</v>
      </c>
      <c r="CQ6" s="204">
        <f t="shared" si="8"/>
        <v>0</v>
      </c>
      <c r="CR6" s="204">
        <f t="shared" si="9"/>
        <v>0</v>
      </c>
      <c r="CS6" s="204">
        <f t="shared" si="9"/>
        <v>0</v>
      </c>
      <c r="CT6" s="204">
        <f t="shared" si="9"/>
        <v>0</v>
      </c>
      <c r="CU6" s="204">
        <f t="shared" si="9"/>
        <v>0</v>
      </c>
      <c r="CV6" s="204">
        <f t="shared" si="9"/>
        <v>0</v>
      </c>
      <c r="CW6" s="204">
        <f t="shared" si="9"/>
        <v>0</v>
      </c>
      <c r="CX6" s="204">
        <f t="shared" si="9"/>
        <v>0</v>
      </c>
      <c r="CY6" s="204">
        <f t="shared" si="9"/>
        <v>0</v>
      </c>
      <c r="CZ6" s="204">
        <f t="shared" si="9"/>
        <v>0</v>
      </c>
      <c r="DA6" s="204">
        <f t="shared" si="9"/>
        <v>0</v>
      </c>
      <c r="DB6" s="204"/>
    </row>
    <row r="7" spans="1:106">
      <c r="A7" s="201" t="str">
        <f>Income!A76</f>
        <v>Animals sold</v>
      </c>
      <c r="B7" s="203">
        <f>Income!B76</f>
        <v>3045.4403600511423</v>
      </c>
      <c r="C7" s="203">
        <f>Income!C76</f>
        <v>10048.517627056288</v>
      </c>
      <c r="D7" s="203">
        <f>Income!D76</f>
        <v>21797.091177278024</v>
      </c>
      <c r="E7" s="203">
        <f>Income!E76</f>
        <v>31324.70731659016</v>
      </c>
      <c r="F7" s="204">
        <f t="shared" si="0"/>
        <v>3045.4403600511423</v>
      </c>
      <c r="G7" s="204">
        <f t="shared" si="0"/>
        <v>3045.4403600511423</v>
      </c>
      <c r="H7" s="204">
        <f t="shared" si="0"/>
        <v>3045.4403600511423</v>
      </c>
      <c r="I7" s="204">
        <f t="shared" si="0"/>
        <v>3045.4403600511423</v>
      </c>
      <c r="J7" s="204">
        <f t="shared" si="0"/>
        <v>3045.4403600511423</v>
      </c>
      <c r="K7" s="204">
        <f t="shared" si="0"/>
        <v>3045.4403600511423</v>
      </c>
      <c r="L7" s="204">
        <f t="shared" si="0"/>
        <v>3045.4403600511423</v>
      </c>
      <c r="M7" s="204">
        <f t="shared" si="0"/>
        <v>3045.4403600511423</v>
      </c>
      <c r="N7" s="204">
        <f t="shared" si="0"/>
        <v>3045.4403600511423</v>
      </c>
      <c r="O7" s="204">
        <f t="shared" si="0"/>
        <v>3045.4403600511423</v>
      </c>
      <c r="P7" s="204">
        <f t="shared" si="1"/>
        <v>3045.4403600511423</v>
      </c>
      <c r="Q7" s="204">
        <f t="shared" si="1"/>
        <v>3045.4403600511423</v>
      </c>
      <c r="R7" s="204">
        <f t="shared" si="1"/>
        <v>3045.4403600511423</v>
      </c>
      <c r="S7" s="204">
        <f t="shared" si="1"/>
        <v>3045.4403600511423</v>
      </c>
      <c r="T7" s="204">
        <f t="shared" si="1"/>
        <v>3045.4403600511423</v>
      </c>
      <c r="U7" s="204">
        <f t="shared" si="1"/>
        <v>3045.4403600511423</v>
      </c>
      <c r="V7" s="204">
        <f t="shared" si="1"/>
        <v>3045.4403600511423</v>
      </c>
      <c r="W7" s="204">
        <f t="shared" si="1"/>
        <v>3045.4403600511423</v>
      </c>
      <c r="X7" s="204">
        <f t="shared" si="1"/>
        <v>3045.4403600511423</v>
      </c>
      <c r="Y7" s="204">
        <f t="shared" si="1"/>
        <v>3045.4403600511423</v>
      </c>
      <c r="Z7" s="204">
        <f t="shared" si="2"/>
        <v>3045.4403600511423</v>
      </c>
      <c r="AA7" s="204">
        <f t="shared" si="2"/>
        <v>3045.4403600511423</v>
      </c>
      <c r="AB7" s="204">
        <f t="shared" si="2"/>
        <v>3045.4403600511423</v>
      </c>
      <c r="AC7" s="204">
        <f t="shared" si="2"/>
        <v>3045.4403600511423</v>
      </c>
      <c r="AD7" s="204">
        <f t="shared" si="2"/>
        <v>3045.4403600511423</v>
      </c>
      <c r="AE7" s="204">
        <f t="shared" si="2"/>
        <v>3045.4403600511423</v>
      </c>
      <c r="AF7" s="204">
        <f t="shared" si="2"/>
        <v>3045.4403600511423</v>
      </c>
      <c r="AG7" s="204">
        <f t="shared" si="2"/>
        <v>3045.4403600511423</v>
      </c>
      <c r="AH7" s="204">
        <f t="shared" si="2"/>
        <v>3045.4403600511423</v>
      </c>
      <c r="AI7" s="204">
        <f t="shared" si="2"/>
        <v>3045.4403600511423</v>
      </c>
      <c r="AJ7" s="204">
        <f t="shared" si="3"/>
        <v>3045.4403600511423</v>
      </c>
      <c r="AK7" s="204">
        <f t="shared" si="3"/>
        <v>3045.4403600511423</v>
      </c>
      <c r="AL7" s="204">
        <f t="shared" si="3"/>
        <v>3045.4403600511423</v>
      </c>
      <c r="AM7" s="204">
        <f t="shared" si="3"/>
        <v>3045.4403600511423</v>
      </c>
      <c r="AN7" s="204">
        <f t="shared" si="3"/>
        <v>3045.4403600511423</v>
      </c>
      <c r="AO7" s="204">
        <f t="shared" si="3"/>
        <v>3045.4403600511423</v>
      </c>
      <c r="AP7" s="204">
        <f t="shared" si="3"/>
        <v>3045.4403600511423</v>
      </c>
      <c r="AQ7" s="204">
        <f t="shared" si="3"/>
        <v>3045.4403600511423</v>
      </c>
      <c r="AR7" s="204">
        <f t="shared" si="3"/>
        <v>3045.4403600511423</v>
      </c>
      <c r="AS7" s="204">
        <f t="shared" si="3"/>
        <v>10048.517627056288</v>
      </c>
      <c r="AT7" s="204">
        <f t="shared" si="4"/>
        <v>10048.517627056288</v>
      </c>
      <c r="AU7" s="204">
        <f t="shared" si="4"/>
        <v>10048.517627056288</v>
      </c>
      <c r="AV7" s="204">
        <f t="shared" si="4"/>
        <v>10048.517627056288</v>
      </c>
      <c r="AW7" s="204">
        <f t="shared" si="4"/>
        <v>10048.517627056288</v>
      </c>
      <c r="AX7" s="204">
        <f t="shared" si="4"/>
        <v>10048.517627056288</v>
      </c>
      <c r="AY7" s="204">
        <f t="shared" si="4"/>
        <v>10048.517627056288</v>
      </c>
      <c r="AZ7" s="204">
        <f t="shared" si="4"/>
        <v>10048.517627056288</v>
      </c>
      <c r="BA7" s="204">
        <f t="shared" si="4"/>
        <v>10048.517627056288</v>
      </c>
      <c r="BB7" s="204">
        <f t="shared" si="4"/>
        <v>10048.517627056288</v>
      </c>
      <c r="BC7" s="204">
        <f t="shared" si="4"/>
        <v>10048.517627056288</v>
      </c>
      <c r="BD7" s="204">
        <f t="shared" si="5"/>
        <v>10048.517627056288</v>
      </c>
      <c r="BE7" s="204">
        <f t="shared" si="5"/>
        <v>10048.517627056288</v>
      </c>
      <c r="BF7" s="204">
        <f t="shared" si="5"/>
        <v>10048.517627056288</v>
      </c>
      <c r="BG7" s="204">
        <f t="shared" si="5"/>
        <v>10048.517627056288</v>
      </c>
      <c r="BH7" s="204">
        <f t="shared" si="5"/>
        <v>10048.517627056288</v>
      </c>
      <c r="BI7" s="204">
        <f t="shared" si="5"/>
        <v>10048.517627056288</v>
      </c>
      <c r="BJ7" s="204">
        <f t="shared" si="5"/>
        <v>10048.517627056288</v>
      </c>
      <c r="BK7" s="204">
        <f t="shared" si="5"/>
        <v>10048.517627056288</v>
      </c>
      <c r="BL7" s="204">
        <f t="shared" si="5"/>
        <v>10048.517627056288</v>
      </c>
      <c r="BM7" s="204">
        <f t="shared" si="5"/>
        <v>10048.517627056288</v>
      </c>
      <c r="BN7" s="204">
        <f t="shared" si="6"/>
        <v>10048.517627056288</v>
      </c>
      <c r="BO7" s="204">
        <f t="shared" si="6"/>
        <v>10048.517627056288</v>
      </c>
      <c r="BP7" s="204">
        <f t="shared" si="6"/>
        <v>10048.517627056288</v>
      </c>
      <c r="BQ7" s="204">
        <f t="shared" si="6"/>
        <v>10048.517627056288</v>
      </c>
      <c r="BR7" s="204">
        <f t="shared" si="6"/>
        <v>10048.517627056288</v>
      </c>
      <c r="BS7" s="204">
        <f t="shared" si="6"/>
        <v>10048.517627056288</v>
      </c>
      <c r="BT7" s="204">
        <f t="shared" si="6"/>
        <v>10048.517627056288</v>
      </c>
      <c r="BU7" s="204">
        <f t="shared" si="6"/>
        <v>10048.517627056288</v>
      </c>
      <c r="BV7" s="204">
        <f t="shared" si="6"/>
        <v>10048.517627056288</v>
      </c>
      <c r="BW7" s="204">
        <f t="shared" si="6"/>
        <v>10048.517627056288</v>
      </c>
      <c r="BX7" s="204">
        <f t="shared" si="7"/>
        <v>10048.517627056288</v>
      </c>
      <c r="BY7" s="204">
        <f t="shared" si="7"/>
        <v>10048.517627056288</v>
      </c>
      <c r="BZ7" s="204">
        <f t="shared" si="7"/>
        <v>10048.517627056288</v>
      </c>
      <c r="CA7" s="204">
        <f t="shared" si="7"/>
        <v>21797.091177278024</v>
      </c>
      <c r="CB7" s="204">
        <f t="shared" si="7"/>
        <v>21797.091177278024</v>
      </c>
      <c r="CC7" s="204">
        <f t="shared" si="7"/>
        <v>21797.091177278024</v>
      </c>
      <c r="CD7" s="204">
        <f t="shared" si="7"/>
        <v>21797.091177278024</v>
      </c>
      <c r="CE7" s="204">
        <f t="shared" si="7"/>
        <v>21797.091177278024</v>
      </c>
      <c r="CF7" s="204">
        <f t="shared" si="7"/>
        <v>21797.091177278024</v>
      </c>
      <c r="CG7" s="204">
        <f t="shared" si="7"/>
        <v>21797.091177278024</v>
      </c>
      <c r="CH7" s="204">
        <f t="shared" si="8"/>
        <v>21797.091177278024</v>
      </c>
      <c r="CI7" s="204">
        <f t="shared" si="8"/>
        <v>21797.091177278024</v>
      </c>
      <c r="CJ7" s="204">
        <f t="shared" si="8"/>
        <v>21797.091177278024</v>
      </c>
      <c r="CK7" s="204">
        <f t="shared" si="8"/>
        <v>21797.091177278024</v>
      </c>
      <c r="CL7" s="204">
        <f t="shared" si="8"/>
        <v>21797.091177278024</v>
      </c>
      <c r="CM7" s="204">
        <f t="shared" si="8"/>
        <v>21797.091177278024</v>
      </c>
      <c r="CN7" s="204">
        <f t="shared" si="8"/>
        <v>21797.091177278024</v>
      </c>
      <c r="CO7" s="204">
        <f t="shared" si="8"/>
        <v>21797.091177278024</v>
      </c>
      <c r="CP7" s="204">
        <f t="shared" si="8"/>
        <v>21797.091177278024</v>
      </c>
      <c r="CQ7" s="204">
        <f t="shared" si="8"/>
        <v>31324.70731659016</v>
      </c>
      <c r="CR7" s="204">
        <f t="shared" si="9"/>
        <v>31324.70731659016</v>
      </c>
      <c r="CS7" s="204">
        <f t="shared" si="9"/>
        <v>31324.70731659016</v>
      </c>
      <c r="CT7" s="204">
        <f t="shared" si="9"/>
        <v>31324.70731659016</v>
      </c>
      <c r="CU7" s="204">
        <f t="shared" si="9"/>
        <v>31324.70731659016</v>
      </c>
      <c r="CV7" s="204">
        <f t="shared" si="9"/>
        <v>31324.70731659016</v>
      </c>
      <c r="CW7" s="204">
        <f t="shared" si="9"/>
        <v>31324.70731659016</v>
      </c>
      <c r="CX7" s="204">
        <f t="shared" si="9"/>
        <v>31324.70731659016</v>
      </c>
      <c r="CY7" s="204">
        <f t="shared" si="9"/>
        <v>31324.70731659016</v>
      </c>
      <c r="CZ7" s="204">
        <f t="shared" si="9"/>
        <v>31324.70731659016</v>
      </c>
      <c r="DA7" s="204">
        <f t="shared" si="9"/>
        <v>31324.70731659016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121.2080495528232</v>
      </c>
      <c r="D8" s="203">
        <f>Income!D77</f>
        <v>85.117058498518091</v>
      </c>
      <c r="E8" s="203">
        <f>Income!E77</f>
        <v>0</v>
      </c>
      <c r="F8" s="204">
        <f t="shared" si="0"/>
        <v>0</v>
      </c>
      <c r="G8" s="204">
        <f t="shared" si="0"/>
        <v>0</v>
      </c>
      <c r="H8" s="204">
        <f t="shared" si="0"/>
        <v>0</v>
      </c>
      <c r="I8" s="204">
        <f t="shared" si="0"/>
        <v>0</v>
      </c>
      <c r="J8" s="204">
        <f t="shared" si="0"/>
        <v>0</v>
      </c>
      <c r="K8" s="204">
        <f t="shared" si="0"/>
        <v>0</v>
      </c>
      <c r="L8" s="204">
        <f t="shared" si="0"/>
        <v>0</v>
      </c>
      <c r="M8" s="204">
        <f t="shared" si="0"/>
        <v>0</v>
      </c>
      <c r="N8" s="204">
        <f t="shared" si="0"/>
        <v>0</v>
      </c>
      <c r="O8" s="204">
        <f t="shared" si="0"/>
        <v>0</v>
      </c>
      <c r="P8" s="204">
        <f t="shared" si="1"/>
        <v>0</v>
      </c>
      <c r="Q8" s="204">
        <f t="shared" si="1"/>
        <v>0</v>
      </c>
      <c r="R8" s="204">
        <f t="shared" si="1"/>
        <v>0</v>
      </c>
      <c r="S8" s="204">
        <f t="shared" si="1"/>
        <v>0</v>
      </c>
      <c r="T8" s="204">
        <f t="shared" si="1"/>
        <v>0</v>
      </c>
      <c r="U8" s="204">
        <f t="shared" si="1"/>
        <v>0</v>
      </c>
      <c r="V8" s="204">
        <f t="shared" si="1"/>
        <v>0</v>
      </c>
      <c r="W8" s="204">
        <f t="shared" si="1"/>
        <v>0</v>
      </c>
      <c r="X8" s="204">
        <f t="shared" si="1"/>
        <v>0</v>
      </c>
      <c r="Y8" s="204">
        <f t="shared" si="1"/>
        <v>0</v>
      </c>
      <c r="Z8" s="204">
        <f t="shared" si="2"/>
        <v>0</v>
      </c>
      <c r="AA8" s="204">
        <f t="shared" si="2"/>
        <v>0</v>
      </c>
      <c r="AB8" s="204">
        <f t="shared" si="2"/>
        <v>0</v>
      </c>
      <c r="AC8" s="204">
        <f t="shared" si="2"/>
        <v>0</v>
      </c>
      <c r="AD8" s="204">
        <f t="shared" si="2"/>
        <v>0</v>
      </c>
      <c r="AE8" s="204">
        <f t="shared" si="2"/>
        <v>0</v>
      </c>
      <c r="AF8" s="204">
        <f t="shared" si="2"/>
        <v>0</v>
      </c>
      <c r="AG8" s="204">
        <f t="shared" si="2"/>
        <v>0</v>
      </c>
      <c r="AH8" s="204">
        <f t="shared" si="2"/>
        <v>0</v>
      </c>
      <c r="AI8" s="204">
        <f t="shared" si="2"/>
        <v>0</v>
      </c>
      <c r="AJ8" s="204">
        <f t="shared" si="3"/>
        <v>0</v>
      </c>
      <c r="AK8" s="204">
        <f t="shared" si="3"/>
        <v>0</v>
      </c>
      <c r="AL8" s="204">
        <f t="shared" si="3"/>
        <v>0</v>
      </c>
      <c r="AM8" s="204">
        <f t="shared" si="3"/>
        <v>0</v>
      </c>
      <c r="AN8" s="204">
        <f t="shared" si="3"/>
        <v>0</v>
      </c>
      <c r="AO8" s="204">
        <f t="shared" si="3"/>
        <v>0</v>
      </c>
      <c r="AP8" s="204">
        <f t="shared" si="3"/>
        <v>0</v>
      </c>
      <c r="AQ8" s="204">
        <f t="shared" si="3"/>
        <v>0</v>
      </c>
      <c r="AR8" s="204">
        <f t="shared" si="3"/>
        <v>0</v>
      </c>
      <c r="AS8" s="204">
        <f t="shared" si="3"/>
        <v>121.2080495528232</v>
      </c>
      <c r="AT8" s="204">
        <f t="shared" si="4"/>
        <v>121.2080495528232</v>
      </c>
      <c r="AU8" s="204">
        <f t="shared" si="4"/>
        <v>121.2080495528232</v>
      </c>
      <c r="AV8" s="204">
        <f t="shared" si="4"/>
        <v>121.2080495528232</v>
      </c>
      <c r="AW8" s="204">
        <f t="shared" si="4"/>
        <v>121.2080495528232</v>
      </c>
      <c r="AX8" s="204">
        <f t="shared" si="4"/>
        <v>121.2080495528232</v>
      </c>
      <c r="AY8" s="204">
        <f t="shared" si="4"/>
        <v>121.2080495528232</v>
      </c>
      <c r="AZ8" s="204">
        <f t="shared" si="4"/>
        <v>121.2080495528232</v>
      </c>
      <c r="BA8" s="204">
        <f t="shared" si="4"/>
        <v>121.2080495528232</v>
      </c>
      <c r="BB8" s="204">
        <f t="shared" si="4"/>
        <v>121.2080495528232</v>
      </c>
      <c r="BC8" s="204">
        <f t="shared" si="4"/>
        <v>121.2080495528232</v>
      </c>
      <c r="BD8" s="204">
        <f t="shared" si="5"/>
        <v>121.2080495528232</v>
      </c>
      <c r="BE8" s="204">
        <f t="shared" si="5"/>
        <v>121.2080495528232</v>
      </c>
      <c r="BF8" s="204">
        <f t="shared" si="5"/>
        <v>121.2080495528232</v>
      </c>
      <c r="BG8" s="204">
        <f t="shared" si="5"/>
        <v>121.2080495528232</v>
      </c>
      <c r="BH8" s="204">
        <f t="shared" si="5"/>
        <v>121.2080495528232</v>
      </c>
      <c r="BI8" s="204">
        <f t="shared" si="5"/>
        <v>121.2080495528232</v>
      </c>
      <c r="BJ8" s="204">
        <f t="shared" si="5"/>
        <v>121.2080495528232</v>
      </c>
      <c r="BK8" s="204">
        <f t="shared" si="5"/>
        <v>121.2080495528232</v>
      </c>
      <c r="BL8" s="204">
        <f t="shared" si="5"/>
        <v>121.2080495528232</v>
      </c>
      <c r="BM8" s="204">
        <f t="shared" si="5"/>
        <v>121.2080495528232</v>
      </c>
      <c r="BN8" s="204">
        <f t="shared" si="6"/>
        <v>121.2080495528232</v>
      </c>
      <c r="BO8" s="204">
        <f t="shared" si="6"/>
        <v>121.2080495528232</v>
      </c>
      <c r="BP8" s="204">
        <f t="shared" si="6"/>
        <v>121.2080495528232</v>
      </c>
      <c r="BQ8" s="204">
        <f t="shared" si="6"/>
        <v>121.2080495528232</v>
      </c>
      <c r="BR8" s="204">
        <f t="shared" si="6"/>
        <v>121.2080495528232</v>
      </c>
      <c r="BS8" s="204">
        <f t="shared" si="6"/>
        <v>121.2080495528232</v>
      </c>
      <c r="BT8" s="204">
        <f t="shared" si="6"/>
        <v>121.2080495528232</v>
      </c>
      <c r="BU8" s="204">
        <f t="shared" si="6"/>
        <v>121.2080495528232</v>
      </c>
      <c r="BV8" s="204">
        <f t="shared" si="6"/>
        <v>121.2080495528232</v>
      </c>
      <c r="BW8" s="204">
        <f t="shared" si="6"/>
        <v>121.2080495528232</v>
      </c>
      <c r="BX8" s="204">
        <f t="shared" si="7"/>
        <v>121.2080495528232</v>
      </c>
      <c r="BY8" s="204">
        <f t="shared" si="7"/>
        <v>121.2080495528232</v>
      </c>
      <c r="BZ8" s="204">
        <f t="shared" si="7"/>
        <v>121.2080495528232</v>
      </c>
      <c r="CA8" s="204">
        <f t="shared" si="7"/>
        <v>85.117058498518091</v>
      </c>
      <c r="CB8" s="204">
        <f t="shared" si="7"/>
        <v>85.117058498518091</v>
      </c>
      <c r="CC8" s="204">
        <f t="shared" si="7"/>
        <v>85.117058498518091</v>
      </c>
      <c r="CD8" s="204">
        <f t="shared" si="7"/>
        <v>85.117058498518091</v>
      </c>
      <c r="CE8" s="204">
        <f t="shared" si="7"/>
        <v>85.117058498518091</v>
      </c>
      <c r="CF8" s="204">
        <f t="shared" si="7"/>
        <v>85.117058498518091</v>
      </c>
      <c r="CG8" s="204">
        <f t="shared" si="7"/>
        <v>85.117058498518091</v>
      </c>
      <c r="CH8" s="204">
        <f t="shared" si="8"/>
        <v>85.117058498518091</v>
      </c>
      <c r="CI8" s="204">
        <f t="shared" si="8"/>
        <v>85.117058498518091</v>
      </c>
      <c r="CJ8" s="204">
        <f t="shared" si="8"/>
        <v>85.117058498518091</v>
      </c>
      <c r="CK8" s="204">
        <f t="shared" si="8"/>
        <v>85.117058498518091</v>
      </c>
      <c r="CL8" s="204">
        <f t="shared" si="8"/>
        <v>85.117058498518091</v>
      </c>
      <c r="CM8" s="204">
        <f t="shared" si="8"/>
        <v>85.117058498518091</v>
      </c>
      <c r="CN8" s="204">
        <f t="shared" si="8"/>
        <v>85.117058498518091</v>
      </c>
      <c r="CO8" s="204">
        <f t="shared" si="8"/>
        <v>85.117058498518091</v>
      </c>
      <c r="CP8" s="204">
        <f t="shared" si="8"/>
        <v>85.117058498518091</v>
      </c>
      <c r="CQ8" s="204">
        <f t="shared" si="8"/>
        <v>0</v>
      </c>
      <c r="CR8" s="204">
        <f t="shared" si="9"/>
        <v>0</v>
      </c>
      <c r="CS8" s="204">
        <f t="shared" si="9"/>
        <v>0</v>
      </c>
      <c r="CT8" s="204">
        <f t="shared" si="9"/>
        <v>0</v>
      </c>
      <c r="CU8" s="204">
        <f t="shared" si="9"/>
        <v>0</v>
      </c>
      <c r="CV8" s="204">
        <f t="shared" si="9"/>
        <v>0</v>
      </c>
      <c r="CW8" s="204">
        <f t="shared" si="9"/>
        <v>0</v>
      </c>
      <c r="CX8" s="204">
        <f t="shared" si="9"/>
        <v>0</v>
      </c>
      <c r="CY8" s="204">
        <f t="shared" si="9"/>
        <v>0</v>
      </c>
      <c r="CZ8" s="204">
        <f t="shared" si="9"/>
        <v>0</v>
      </c>
      <c r="DA8" s="204">
        <f t="shared" si="9"/>
        <v>0</v>
      </c>
      <c r="DB8" s="204"/>
    </row>
    <row r="9" spans="1:106">
      <c r="A9" s="201" t="str">
        <f>Income!A78</f>
        <v>Labour - casual</v>
      </c>
      <c r="B9" s="203">
        <f>Income!B78</f>
        <v>5317.1555759881148</v>
      </c>
      <c r="C9" s="203">
        <f>Income!C78</f>
        <v>2477.3683198261147</v>
      </c>
      <c r="D9" s="203">
        <f>Income!D78</f>
        <v>59625.591349457311</v>
      </c>
      <c r="E9" s="203">
        <f>Income!E78</f>
        <v>0</v>
      </c>
      <c r="F9" s="204">
        <f t="shared" si="0"/>
        <v>5317.1555759881148</v>
      </c>
      <c r="G9" s="204">
        <f t="shared" si="0"/>
        <v>5317.1555759881148</v>
      </c>
      <c r="H9" s="204">
        <f t="shared" si="0"/>
        <v>5317.1555759881148</v>
      </c>
      <c r="I9" s="204">
        <f t="shared" si="0"/>
        <v>5317.1555759881148</v>
      </c>
      <c r="J9" s="204">
        <f t="shared" si="0"/>
        <v>5317.1555759881148</v>
      </c>
      <c r="K9" s="204">
        <f t="shared" si="0"/>
        <v>5317.1555759881148</v>
      </c>
      <c r="L9" s="204">
        <f t="shared" si="0"/>
        <v>5317.1555759881148</v>
      </c>
      <c r="M9" s="204">
        <f t="shared" si="0"/>
        <v>5317.1555759881148</v>
      </c>
      <c r="N9" s="204">
        <f t="shared" si="0"/>
        <v>5317.1555759881148</v>
      </c>
      <c r="O9" s="204">
        <f t="shared" si="0"/>
        <v>5317.1555759881148</v>
      </c>
      <c r="P9" s="204">
        <f t="shared" si="1"/>
        <v>5317.1555759881148</v>
      </c>
      <c r="Q9" s="204">
        <f t="shared" si="1"/>
        <v>5317.1555759881148</v>
      </c>
      <c r="R9" s="204">
        <f t="shared" si="1"/>
        <v>5317.1555759881148</v>
      </c>
      <c r="S9" s="204">
        <f t="shared" si="1"/>
        <v>5317.1555759881148</v>
      </c>
      <c r="T9" s="204">
        <f t="shared" si="1"/>
        <v>5317.1555759881148</v>
      </c>
      <c r="U9" s="204">
        <f t="shared" si="1"/>
        <v>5317.1555759881148</v>
      </c>
      <c r="V9" s="204">
        <f t="shared" si="1"/>
        <v>5317.1555759881148</v>
      </c>
      <c r="W9" s="204">
        <f t="shared" si="1"/>
        <v>5317.1555759881148</v>
      </c>
      <c r="X9" s="204">
        <f t="shared" si="1"/>
        <v>5317.1555759881148</v>
      </c>
      <c r="Y9" s="204">
        <f t="shared" si="1"/>
        <v>5317.1555759881148</v>
      </c>
      <c r="Z9" s="204">
        <f t="shared" si="2"/>
        <v>5317.1555759881148</v>
      </c>
      <c r="AA9" s="204">
        <f t="shared" si="2"/>
        <v>5317.1555759881148</v>
      </c>
      <c r="AB9" s="204">
        <f t="shared" si="2"/>
        <v>5317.1555759881148</v>
      </c>
      <c r="AC9" s="204">
        <f t="shared" si="2"/>
        <v>5317.1555759881148</v>
      </c>
      <c r="AD9" s="204">
        <f t="shared" si="2"/>
        <v>5317.1555759881148</v>
      </c>
      <c r="AE9" s="204">
        <f t="shared" si="2"/>
        <v>5317.1555759881148</v>
      </c>
      <c r="AF9" s="204">
        <f t="shared" si="2"/>
        <v>5317.1555759881148</v>
      </c>
      <c r="AG9" s="204">
        <f t="shared" si="2"/>
        <v>5317.1555759881148</v>
      </c>
      <c r="AH9" s="204">
        <f t="shared" si="2"/>
        <v>5317.1555759881148</v>
      </c>
      <c r="AI9" s="204">
        <f t="shared" si="2"/>
        <v>5317.1555759881148</v>
      </c>
      <c r="AJ9" s="204">
        <f t="shared" si="3"/>
        <v>5317.1555759881148</v>
      </c>
      <c r="AK9" s="204">
        <f t="shared" si="3"/>
        <v>5317.1555759881148</v>
      </c>
      <c r="AL9" s="204">
        <f t="shared" si="3"/>
        <v>5317.1555759881148</v>
      </c>
      <c r="AM9" s="204">
        <f t="shared" si="3"/>
        <v>5317.1555759881148</v>
      </c>
      <c r="AN9" s="204">
        <f t="shared" si="3"/>
        <v>5317.1555759881148</v>
      </c>
      <c r="AO9" s="204">
        <f t="shared" si="3"/>
        <v>5317.1555759881148</v>
      </c>
      <c r="AP9" s="204">
        <f t="shared" si="3"/>
        <v>5317.1555759881148</v>
      </c>
      <c r="AQ9" s="204">
        <f t="shared" si="3"/>
        <v>5317.1555759881148</v>
      </c>
      <c r="AR9" s="204">
        <f t="shared" si="3"/>
        <v>5317.1555759881148</v>
      </c>
      <c r="AS9" s="204">
        <f t="shared" si="3"/>
        <v>2477.3683198261147</v>
      </c>
      <c r="AT9" s="204">
        <f t="shared" si="4"/>
        <v>2477.3683198261147</v>
      </c>
      <c r="AU9" s="204">
        <f t="shared" si="4"/>
        <v>2477.3683198261147</v>
      </c>
      <c r="AV9" s="204">
        <f t="shared" si="4"/>
        <v>2477.3683198261147</v>
      </c>
      <c r="AW9" s="204">
        <f t="shared" si="4"/>
        <v>2477.3683198261147</v>
      </c>
      <c r="AX9" s="204">
        <f t="shared" si="4"/>
        <v>2477.3683198261147</v>
      </c>
      <c r="AY9" s="204">
        <f t="shared" si="4"/>
        <v>2477.3683198261147</v>
      </c>
      <c r="AZ9" s="204">
        <f t="shared" si="4"/>
        <v>2477.3683198261147</v>
      </c>
      <c r="BA9" s="204">
        <f t="shared" si="4"/>
        <v>2477.3683198261147</v>
      </c>
      <c r="BB9" s="204">
        <f t="shared" si="4"/>
        <v>2477.3683198261147</v>
      </c>
      <c r="BC9" s="204">
        <f t="shared" si="4"/>
        <v>2477.3683198261147</v>
      </c>
      <c r="BD9" s="204">
        <f t="shared" si="5"/>
        <v>2477.3683198261147</v>
      </c>
      <c r="BE9" s="204">
        <f t="shared" si="5"/>
        <v>2477.3683198261147</v>
      </c>
      <c r="BF9" s="204">
        <f t="shared" si="5"/>
        <v>2477.3683198261147</v>
      </c>
      <c r="BG9" s="204">
        <f t="shared" si="5"/>
        <v>2477.3683198261147</v>
      </c>
      <c r="BH9" s="204">
        <f t="shared" si="5"/>
        <v>2477.3683198261147</v>
      </c>
      <c r="BI9" s="204">
        <f t="shared" si="5"/>
        <v>2477.3683198261147</v>
      </c>
      <c r="BJ9" s="204">
        <f t="shared" si="5"/>
        <v>2477.3683198261147</v>
      </c>
      <c r="BK9" s="204">
        <f t="shared" si="5"/>
        <v>2477.3683198261147</v>
      </c>
      <c r="BL9" s="204">
        <f t="shared" si="5"/>
        <v>2477.3683198261147</v>
      </c>
      <c r="BM9" s="204">
        <f t="shared" si="5"/>
        <v>2477.3683198261147</v>
      </c>
      <c r="BN9" s="204">
        <f t="shared" si="6"/>
        <v>2477.3683198261147</v>
      </c>
      <c r="BO9" s="204">
        <f t="shared" si="6"/>
        <v>2477.3683198261147</v>
      </c>
      <c r="BP9" s="204">
        <f t="shared" si="6"/>
        <v>2477.3683198261147</v>
      </c>
      <c r="BQ9" s="204">
        <f t="shared" si="6"/>
        <v>2477.3683198261147</v>
      </c>
      <c r="BR9" s="204">
        <f t="shared" si="6"/>
        <v>2477.3683198261147</v>
      </c>
      <c r="BS9" s="204">
        <f t="shared" si="6"/>
        <v>2477.3683198261147</v>
      </c>
      <c r="BT9" s="204">
        <f t="shared" si="6"/>
        <v>2477.3683198261147</v>
      </c>
      <c r="BU9" s="204">
        <f t="shared" si="6"/>
        <v>2477.3683198261147</v>
      </c>
      <c r="BV9" s="204">
        <f t="shared" si="6"/>
        <v>2477.3683198261147</v>
      </c>
      <c r="BW9" s="204">
        <f t="shared" si="6"/>
        <v>2477.3683198261147</v>
      </c>
      <c r="BX9" s="204">
        <f t="shared" si="7"/>
        <v>2477.3683198261147</v>
      </c>
      <c r="BY9" s="204">
        <f t="shared" si="7"/>
        <v>2477.3683198261147</v>
      </c>
      <c r="BZ9" s="204">
        <f t="shared" si="7"/>
        <v>2477.3683198261147</v>
      </c>
      <c r="CA9" s="204">
        <f t="shared" si="7"/>
        <v>59625.591349457311</v>
      </c>
      <c r="CB9" s="204">
        <f t="shared" si="7"/>
        <v>59625.591349457311</v>
      </c>
      <c r="CC9" s="204">
        <f t="shared" si="7"/>
        <v>59625.591349457311</v>
      </c>
      <c r="CD9" s="204">
        <f t="shared" si="7"/>
        <v>59625.591349457311</v>
      </c>
      <c r="CE9" s="204">
        <f t="shared" si="7"/>
        <v>59625.591349457311</v>
      </c>
      <c r="CF9" s="204">
        <f t="shared" si="7"/>
        <v>59625.591349457311</v>
      </c>
      <c r="CG9" s="204">
        <f t="shared" si="7"/>
        <v>59625.591349457311</v>
      </c>
      <c r="CH9" s="204">
        <f t="shared" si="8"/>
        <v>59625.591349457311</v>
      </c>
      <c r="CI9" s="204">
        <f t="shared" si="8"/>
        <v>59625.591349457311</v>
      </c>
      <c r="CJ9" s="204">
        <f t="shared" si="8"/>
        <v>59625.591349457311</v>
      </c>
      <c r="CK9" s="204">
        <f t="shared" si="8"/>
        <v>59625.591349457311</v>
      </c>
      <c r="CL9" s="204">
        <f t="shared" si="8"/>
        <v>59625.591349457311</v>
      </c>
      <c r="CM9" s="204">
        <f t="shared" si="8"/>
        <v>59625.591349457311</v>
      </c>
      <c r="CN9" s="204">
        <f t="shared" si="8"/>
        <v>59625.591349457311</v>
      </c>
      <c r="CO9" s="204">
        <f t="shared" si="8"/>
        <v>59625.591349457311</v>
      </c>
      <c r="CP9" s="204">
        <f t="shared" si="8"/>
        <v>59625.591349457311</v>
      </c>
      <c r="CQ9" s="204">
        <f t="shared" si="8"/>
        <v>0</v>
      </c>
      <c r="CR9" s="204">
        <f t="shared" si="9"/>
        <v>0</v>
      </c>
      <c r="CS9" s="204">
        <f t="shared" si="9"/>
        <v>0</v>
      </c>
      <c r="CT9" s="204">
        <f t="shared" si="9"/>
        <v>0</v>
      </c>
      <c r="CU9" s="204">
        <f t="shared" si="9"/>
        <v>0</v>
      </c>
      <c r="CV9" s="204">
        <f t="shared" si="9"/>
        <v>0</v>
      </c>
      <c r="CW9" s="204">
        <f t="shared" si="9"/>
        <v>0</v>
      </c>
      <c r="CX9" s="204">
        <f t="shared" si="9"/>
        <v>0</v>
      </c>
      <c r="CY9" s="204">
        <f t="shared" si="9"/>
        <v>0</v>
      </c>
      <c r="CZ9" s="204">
        <f t="shared" si="9"/>
        <v>0</v>
      </c>
      <c r="DA9" s="204">
        <f t="shared" si="9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28209.654775238527</v>
      </c>
      <c r="E10" s="203">
        <f>Income!E79</f>
        <v>154408.65828783836</v>
      </c>
      <c r="F10" s="204">
        <f t="shared" si="0"/>
        <v>0</v>
      </c>
      <c r="G10" s="204">
        <f t="shared" si="0"/>
        <v>0</v>
      </c>
      <c r="H10" s="204">
        <f t="shared" si="0"/>
        <v>0</v>
      </c>
      <c r="I10" s="204">
        <f t="shared" si="0"/>
        <v>0</v>
      </c>
      <c r="J10" s="204">
        <f t="shared" si="0"/>
        <v>0</v>
      </c>
      <c r="K10" s="204">
        <f t="shared" si="0"/>
        <v>0</v>
      </c>
      <c r="L10" s="204">
        <f t="shared" si="0"/>
        <v>0</v>
      </c>
      <c r="M10" s="204">
        <f t="shared" si="0"/>
        <v>0</v>
      </c>
      <c r="N10" s="204">
        <f t="shared" si="0"/>
        <v>0</v>
      </c>
      <c r="O10" s="204">
        <f t="shared" si="0"/>
        <v>0</v>
      </c>
      <c r="P10" s="204">
        <f t="shared" si="1"/>
        <v>0</v>
      </c>
      <c r="Q10" s="204">
        <f t="shared" si="1"/>
        <v>0</v>
      </c>
      <c r="R10" s="204">
        <f t="shared" si="1"/>
        <v>0</v>
      </c>
      <c r="S10" s="204">
        <f t="shared" si="1"/>
        <v>0</v>
      </c>
      <c r="T10" s="204">
        <f t="shared" si="1"/>
        <v>0</v>
      </c>
      <c r="U10" s="204">
        <f t="shared" si="1"/>
        <v>0</v>
      </c>
      <c r="V10" s="204">
        <f t="shared" si="1"/>
        <v>0</v>
      </c>
      <c r="W10" s="204">
        <f t="shared" si="1"/>
        <v>0</v>
      </c>
      <c r="X10" s="204">
        <f t="shared" si="1"/>
        <v>0</v>
      </c>
      <c r="Y10" s="204">
        <f t="shared" si="1"/>
        <v>0</v>
      </c>
      <c r="Z10" s="204">
        <f t="shared" si="2"/>
        <v>0</v>
      </c>
      <c r="AA10" s="204">
        <f t="shared" si="2"/>
        <v>0</v>
      </c>
      <c r="AB10" s="204">
        <f t="shared" si="2"/>
        <v>0</v>
      </c>
      <c r="AC10" s="204">
        <f t="shared" si="2"/>
        <v>0</v>
      </c>
      <c r="AD10" s="204">
        <f t="shared" si="2"/>
        <v>0</v>
      </c>
      <c r="AE10" s="204">
        <f t="shared" si="2"/>
        <v>0</v>
      </c>
      <c r="AF10" s="204">
        <f t="shared" si="2"/>
        <v>0</v>
      </c>
      <c r="AG10" s="204">
        <f t="shared" si="2"/>
        <v>0</v>
      </c>
      <c r="AH10" s="204">
        <f t="shared" si="2"/>
        <v>0</v>
      </c>
      <c r="AI10" s="204">
        <f t="shared" si="2"/>
        <v>0</v>
      </c>
      <c r="AJ10" s="204">
        <f t="shared" si="3"/>
        <v>0</v>
      </c>
      <c r="AK10" s="204">
        <f t="shared" si="3"/>
        <v>0</v>
      </c>
      <c r="AL10" s="204">
        <f t="shared" si="3"/>
        <v>0</v>
      </c>
      <c r="AM10" s="204">
        <f t="shared" si="3"/>
        <v>0</v>
      </c>
      <c r="AN10" s="204">
        <f t="shared" si="3"/>
        <v>0</v>
      </c>
      <c r="AO10" s="204">
        <f t="shared" si="3"/>
        <v>0</v>
      </c>
      <c r="AP10" s="204">
        <f t="shared" si="3"/>
        <v>0</v>
      </c>
      <c r="AQ10" s="204">
        <f t="shared" si="3"/>
        <v>0</v>
      </c>
      <c r="AR10" s="204">
        <f t="shared" si="3"/>
        <v>0</v>
      </c>
      <c r="AS10" s="204">
        <f t="shared" si="3"/>
        <v>0</v>
      </c>
      <c r="AT10" s="204">
        <f t="shared" si="4"/>
        <v>0</v>
      </c>
      <c r="AU10" s="204">
        <f t="shared" si="4"/>
        <v>0</v>
      </c>
      <c r="AV10" s="204">
        <f t="shared" si="4"/>
        <v>0</v>
      </c>
      <c r="AW10" s="204">
        <f t="shared" si="4"/>
        <v>0</v>
      </c>
      <c r="AX10" s="204">
        <f t="shared" si="4"/>
        <v>0</v>
      </c>
      <c r="AY10" s="204">
        <f t="shared" si="4"/>
        <v>0</v>
      </c>
      <c r="AZ10" s="204">
        <f t="shared" si="4"/>
        <v>0</v>
      </c>
      <c r="BA10" s="204">
        <f t="shared" si="4"/>
        <v>0</v>
      </c>
      <c r="BB10" s="204">
        <f t="shared" si="4"/>
        <v>0</v>
      </c>
      <c r="BC10" s="204">
        <f t="shared" si="4"/>
        <v>0</v>
      </c>
      <c r="BD10" s="204">
        <f t="shared" si="5"/>
        <v>0</v>
      </c>
      <c r="BE10" s="204">
        <f t="shared" si="5"/>
        <v>0</v>
      </c>
      <c r="BF10" s="204">
        <f t="shared" si="5"/>
        <v>0</v>
      </c>
      <c r="BG10" s="204">
        <f t="shared" si="5"/>
        <v>0</v>
      </c>
      <c r="BH10" s="204">
        <f t="shared" si="5"/>
        <v>0</v>
      </c>
      <c r="BI10" s="204">
        <f t="shared" si="5"/>
        <v>0</v>
      </c>
      <c r="BJ10" s="204">
        <f t="shared" si="5"/>
        <v>0</v>
      </c>
      <c r="BK10" s="204">
        <f t="shared" si="5"/>
        <v>0</v>
      </c>
      <c r="BL10" s="204">
        <f t="shared" si="5"/>
        <v>0</v>
      </c>
      <c r="BM10" s="204">
        <f t="shared" si="5"/>
        <v>0</v>
      </c>
      <c r="BN10" s="204">
        <f t="shared" si="6"/>
        <v>0</v>
      </c>
      <c r="BO10" s="204">
        <f t="shared" si="6"/>
        <v>0</v>
      </c>
      <c r="BP10" s="204">
        <f t="shared" si="6"/>
        <v>0</v>
      </c>
      <c r="BQ10" s="204">
        <f t="shared" si="6"/>
        <v>0</v>
      </c>
      <c r="BR10" s="204">
        <f t="shared" si="6"/>
        <v>0</v>
      </c>
      <c r="BS10" s="204">
        <f t="shared" si="6"/>
        <v>0</v>
      </c>
      <c r="BT10" s="204">
        <f t="shared" si="6"/>
        <v>0</v>
      </c>
      <c r="BU10" s="204">
        <f t="shared" si="6"/>
        <v>0</v>
      </c>
      <c r="BV10" s="204">
        <f t="shared" si="6"/>
        <v>0</v>
      </c>
      <c r="BW10" s="204">
        <f t="shared" si="6"/>
        <v>0</v>
      </c>
      <c r="BX10" s="204">
        <f t="shared" si="7"/>
        <v>0</v>
      </c>
      <c r="BY10" s="204">
        <f t="shared" si="7"/>
        <v>0</v>
      </c>
      <c r="BZ10" s="204">
        <f t="shared" si="7"/>
        <v>0</v>
      </c>
      <c r="CA10" s="204">
        <f t="shared" si="7"/>
        <v>28209.654775238527</v>
      </c>
      <c r="CB10" s="204">
        <f t="shared" si="7"/>
        <v>28209.654775238527</v>
      </c>
      <c r="CC10" s="204">
        <f t="shared" si="7"/>
        <v>28209.654775238527</v>
      </c>
      <c r="CD10" s="204">
        <f t="shared" si="7"/>
        <v>28209.654775238527</v>
      </c>
      <c r="CE10" s="204">
        <f t="shared" si="7"/>
        <v>28209.654775238527</v>
      </c>
      <c r="CF10" s="204">
        <f t="shared" si="7"/>
        <v>28209.654775238527</v>
      </c>
      <c r="CG10" s="204">
        <f t="shared" si="7"/>
        <v>28209.654775238527</v>
      </c>
      <c r="CH10" s="204">
        <f t="shared" si="8"/>
        <v>28209.654775238527</v>
      </c>
      <c r="CI10" s="204">
        <f t="shared" si="8"/>
        <v>28209.654775238527</v>
      </c>
      <c r="CJ10" s="204">
        <f t="shared" si="8"/>
        <v>28209.654775238527</v>
      </c>
      <c r="CK10" s="204">
        <f t="shared" si="8"/>
        <v>28209.654775238527</v>
      </c>
      <c r="CL10" s="204">
        <f t="shared" si="8"/>
        <v>28209.654775238527</v>
      </c>
      <c r="CM10" s="204">
        <f t="shared" si="8"/>
        <v>28209.654775238527</v>
      </c>
      <c r="CN10" s="204">
        <f t="shared" si="8"/>
        <v>28209.654775238527</v>
      </c>
      <c r="CO10" s="204">
        <f t="shared" si="8"/>
        <v>28209.654775238527</v>
      </c>
      <c r="CP10" s="204">
        <f t="shared" si="8"/>
        <v>28209.654775238527</v>
      </c>
      <c r="CQ10" s="204">
        <f t="shared" si="8"/>
        <v>154408.65828783836</v>
      </c>
      <c r="CR10" s="204">
        <f t="shared" si="9"/>
        <v>154408.65828783836</v>
      </c>
      <c r="CS10" s="204">
        <f t="shared" si="9"/>
        <v>154408.65828783836</v>
      </c>
      <c r="CT10" s="204">
        <f t="shared" si="9"/>
        <v>154408.65828783836</v>
      </c>
      <c r="CU10" s="204">
        <f t="shared" si="9"/>
        <v>154408.65828783836</v>
      </c>
      <c r="CV10" s="204">
        <f t="shared" si="9"/>
        <v>154408.65828783836</v>
      </c>
      <c r="CW10" s="204">
        <f t="shared" si="9"/>
        <v>154408.65828783836</v>
      </c>
      <c r="CX10" s="204">
        <f t="shared" si="9"/>
        <v>154408.65828783836</v>
      </c>
      <c r="CY10" s="204">
        <f t="shared" si="9"/>
        <v>154408.65828783836</v>
      </c>
      <c r="CZ10" s="204">
        <f t="shared" si="9"/>
        <v>154408.65828783836</v>
      </c>
      <c r="DA10" s="204">
        <f t="shared" si="9"/>
        <v>154408.65828783836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0"/>
        <v>0</v>
      </c>
      <c r="G11" s="204">
        <f t="shared" si="0"/>
        <v>0</v>
      </c>
      <c r="H11" s="204">
        <f t="shared" si="0"/>
        <v>0</v>
      </c>
      <c r="I11" s="204">
        <f t="shared" si="0"/>
        <v>0</v>
      </c>
      <c r="J11" s="204">
        <f t="shared" si="0"/>
        <v>0</v>
      </c>
      <c r="K11" s="204">
        <f t="shared" si="0"/>
        <v>0</v>
      </c>
      <c r="L11" s="204">
        <f t="shared" si="0"/>
        <v>0</v>
      </c>
      <c r="M11" s="204">
        <f t="shared" si="0"/>
        <v>0</v>
      </c>
      <c r="N11" s="204">
        <f t="shared" si="0"/>
        <v>0</v>
      </c>
      <c r="O11" s="204">
        <f t="shared" si="0"/>
        <v>0</v>
      </c>
      <c r="P11" s="204">
        <f t="shared" si="1"/>
        <v>0</v>
      </c>
      <c r="Q11" s="204">
        <f t="shared" si="1"/>
        <v>0</v>
      </c>
      <c r="R11" s="204">
        <f t="shared" si="1"/>
        <v>0</v>
      </c>
      <c r="S11" s="204">
        <f t="shared" si="1"/>
        <v>0</v>
      </c>
      <c r="T11" s="204">
        <f t="shared" si="1"/>
        <v>0</v>
      </c>
      <c r="U11" s="204">
        <f t="shared" si="1"/>
        <v>0</v>
      </c>
      <c r="V11" s="204">
        <f t="shared" si="1"/>
        <v>0</v>
      </c>
      <c r="W11" s="204">
        <f t="shared" si="1"/>
        <v>0</v>
      </c>
      <c r="X11" s="204">
        <f t="shared" si="1"/>
        <v>0</v>
      </c>
      <c r="Y11" s="204">
        <f t="shared" si="1"/>
        <v>0</v>
      </c>
      <c r="Z11" s="204">
        <f t="shared" si="2"/>
        <v>0</v>
      </c>
      <c r="AA11" s="204">
        <f t="shared" si="2"/>
        <v>0</v>
      </c>
      <c r="AB11" s="204">
        <f t="shared" si="2"/>
        <v>0</v>
      </c>
      <c r="AC11" s="204">
        <f t="shared" si="2"/>
        <v>0</v>
      </c>
      <c r="AD11" s="204">
        <f t="shared" si="2"/>
        <v>0</v>
      </c>
      <c r="AE11" s="204">
        <f t="shared" si="2"/>
        <v>0</v>
      </c>
      <c r="AF11" s="204">
        <f t="shared" si="2"/>
        <v>0</v>
      </c>
      <c r="AG11" s="204">
        <f t="shared" si="2"/>
        <v>0</v>
      </c>
      <c r="AH11" s="204">
        <f t="shared" si="2"/>
        <v>0</v>
      </c>
      <c r="AI11" s="204">
        <f t="shared" si="2"/>
        <v>0</v>
      </c>
      <c r="AJ11" s="204">
        <f t="shared" si="3"/>
        <v>0</v>
      </c>
      <c r="AK11" s="204">
        <f t="shared" si="3"/>
        <v>0</v>
      </c>
      <c r="AL11" s="204">
        <f t="shared" si="3"/>
        <v>0</v>
      </c>
      <c r="AM11" s="204">
        <f t="shared" si="3"/>
        <v>0</v>
      </c>
      <c r="AN11" s="204">
        <f t="shared" si="3"/>
        <v>0</v>
      </c>
      <c r="AO11" s="204">
        <f t="shared" si="3"/>
        <v>0</v>
      </c>
      <c r="AP11" s="204">
        <f t="shared" si="3"/>
        <v>0</v>
      </c>
      <c r="AQ11" s="204">
        <f t="shared" si="3"/>
        <v>0</v>
      </c>
      <c r="AR11" s="204">
        <f t="shared" si="3"/>
        <v>0</v>
      </c>
      <c r="AS11" s="204">
        <f t="shared" si="3"/>
        <v>0</v>
      </c>
      <c r="AT11" s="204">
        <f t="shared" si="4"/>
        <v>0</v>
      </c>
      <c r="AU11" s="204">
        <f t="shared" si="4"/>
        <v>0</v>
      </c>
      <c r="AV11" s="204">
        <f t="shared" si="4"/>
        <v>0</v>
      </c>
      <c r="AW11" s="204">
        <f t="shared" si="4"/>
        <v>0</v>
      </c>
      <c r="AX11" s="204">
        <f t="shared" si="4"/>
        <v>0</v>
      </c>
      <c r="AY11" s="204">
        <f t="shared" si="4"/>
        <v>0</v>
      </c>
      <c r="AZ11" s="204">
        <f t="shared" si="4"/>
        <v>0</v>
      </c>
      <c r="BA11" s="204">
        <f t="shared" si="4"/>
        <v>0</v>
      </c>
      <c r="BB11" s="204">
        <f t="shared" si="4"/>
        <v>0</v>
      </c>
      <c r="BC11" s="204">
        <f t="shared" si="4"/>
        <v>0</v>
      </c>
      <c r="BD11" s="204">
        <f t="shared" si="5"/>
        <v>0</v>
      </c>
      <c r="BE11" s="204">
        <f t="shared" si="5"/>
        <v>0</v>
      </c>
      <c r="BF11" s="204">
        <f t="shared" si="5"/>
        <v>0</v>
      </c>
      <c r="BG11" s="204">
        <f t="shared" si="5"/>
        <v>0</v>
      </c>
      <c r="BH11" s="204">
        <f t="shared" si="5"/>
        <v>0</v>
      </c>
      <c r="BI11" s="204">
        <f t="shared" si="5"/>
        <v>0</v>
      </c>
      <c r="BJ11" s="204">
        <f t="shared" si="5"/>
        <v>0</v>
      </c>
      <c r="BK11" s="204">
        <f t="shared" si="5"/>
        <v>0</v>
      </c>
      <c r="BL11" s="204">
        <f t="shared" si="5"/>
        <v>0</v>
      </c>
      <c r="BM11" s="204">
        <f t="shared" si="5"/>
        <v>0</v>
      </c>
      <c r="BN11" s="204">
        <f t="shared" si="6"/>
        <v>0</v>
      </c>
      <c r="BO11" s="204">
        <f t="shared" si="6"/>
        <v>0</v>
      </c>
      <c r="BP11" s="204">
        <f t="shared" si="6"/>
        <v>0</v>
      </c>
      <c r="BQ11" s="204">
        <f t="shared" si="6"/>
        <v>0</v>
      </c>
      <c r="BR11" s="204">
        <f t="shared" si="6"/>
        <v>0</v>
      </c>
      <c r="BS11" s="204">
        <f t="shared" si="6"/>
        <v>0</v>
      </c>
      <c r="BT11" s="204">
        <f t="shared" si="6"/>
        <v>0</v>
      </c>
      <c r="BU11" s="204">
        <f t="shared" si="6"/>
        <v>0</v>
      </c>
      <c r="BV11" s="204">
        <f t="shared" si="6"/>
        <v>0</v>
      </c>
      <c r="BW11" s="204">
        <f t="shared" si="6"/>
        <v>0</v>
      </c>
      <c r="BX11" s="204">
        <f t="shared" si="7"/>
        <v>0</v>
      </c>
      <c r="BY11" s="204">
        <f t="shared" si="7"/>
        <v>0</v>
      </c>
      <c r="BZ11" s="204">
        <f t="shared" si="7"/>
        <v>0</v>
      </c>
      <c r="CA11" s="204">
        <f t="shared" si="7"/>
        <v>0</v>
      </c>
      <c r="CB11" s="204">
        <f t="shared" si="7"/>
        <v>0</v>
      </c>
      <c r="CC11" s="204">
        <f t="shared" si="7"/>
        <v>0</v>
      </c>
      <c r="CD11" s="204">
        <f t="shared" si="7"/>
        <v>0</v>
      </c>
      <c r="CE11" s="204">
        <f t="shared" si="7"/>
        <v>0</v>
      </c>
      <c r="CF11" s="204">
        <f t="shared" si="7"/>
        <v>0</v>
      </c>
      <c r="CG11" s="204">
        <f t="shared" si="7"/>
        <v>0</v>
      </c>
      <c r="CH11" s="204">
        <f t="shared" si="8"/>
        <v>0</v>
      </c>
      <c r="CI11" s="204">
        <f t="shared" si="8"/>
        <v>0</v>
      </c>
      <c r="CJ11" s="204">
        <f t="shared" si="8"/>
        <v>0</v>
      </c>
      <c r="CK11" s="204">
        <f t="shared" si="8"/>
        <v>0</v>
      </c>
      <c r="CL11" s="204">
        <f t="shared" si="8"/>
        <v>0</v>
      </c>
      <c r="CM11" s="204">
        <f t="shared" si="8"/>
        <v>0</v>
      </c>
      <c r="CN11" s="204">
        <f t="shared" si="8"/>
        <v>0</v>
      </c>
      <c r="CO11" s="204">
        <f t="shared" si="8"/>
        <v>0</v>
      </c>
      <c r="CP11" s="204">
        <f t="shared" si="8"/>
        <v>0</v>
      </c>
      <c r="CQ11" s="204">
        <f t="shared" si="8"/>
        <v>0</v>
      </c>
      <c r="CR11" s="204">
        <f t="shared" si="9"/>
        <v>0</v>
      </c>
      <c r="CS11" s="204">
        <f t="shared" si="9"/>
        <v>0</v>
      </c>
      <c r="CT11" s="204">
        <f t="shared" si="9"/>
        <v>0</v>
      </c>
      <c r="CU11" s="204">
        <f t="shared" si="9"/>
        <v>0</v>
      </c>
      <c r="CV11" s="204">
        <f t="shared" si="9"/>
        <v>0</v>
      </c>
      <c r="CW11" s="204">
        <f t="shared" si="9"/>
        <v>0</v>
      </c>
      <c r="CX11" s="204">
        <f t="shared" si="9"/>
        <v>0</v>
      </c>
      <c r="CY11" s="204">
        <f t="shared" si="9"/>
        <v>0</v>
      </c>
      <c r="CZ11" s="204">
        <f t="shared" si="9"/>
        <v>0</v>
      </c>
      <c r="DA11" s="204">
        <f t="shared" si="9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1575.0156205517019</v>
      </c>
      <c r="C12" s="203">
        <f>Income!C82</f>
        <v>1148.448889985616</v>
      </c>
      <c r="D12" s="203">
        <f>Income!D82</f>
        <v>0</v>
      </c>
      <c r="E12" s="203">
        <f>Income!E82</f>
        <v>60961.888313094656</v>
      </c>
      <c r="F12" s="204">
        <f t="shared" si="0"/>
        <v>1575.0156205517019</v>
      </c>
      <c r="G12" s="204">
        <f t="shared" si="0"/>
        <v>1575.0156205517019</v>
      </c>
      <c r="H12" s="204">
        <f t="shared" si="0"/>
        <v>1575.0156205517019</v>
      </c>
      <c r="I12" s="204">
        <f t="shared" si="0"/>
        <v>1575.0156205517019</v>
      </c>
      <c r="J12" s="204">
        <f t="shared" si="0"/>
        <v>1575.0156205517019</v>
      </c>
      <c r="K12" s="204">
        <f t="shared" si="0"/>
        <v>1575.0156205517019</v>
      </c>
      <c r="L12" s="204">
        <f t="shared" si="0"/>
        <v>1575.0156205517019</v>
      </c>
      <c r="M12" s="204">
        <f t="shared" si="0"/>
        <v>1575.0156205517019</v>
      </c>
      <c r="N12" s="204">
        <f t="shared" si="0"/>
        <v>1575.0156205517019</v>
      </c>
      <c r="O12" s="204">
        <f t="shared" si="0"/>
        <v>1575.0156205517019</v>
      </c>
      <c r="P12" s="204">
        <f t="shared" si="1"/>
        <v>1575.0156205517019</v>
      </c>
      <c r="Q12" s="204">
        <f t="shared" si="1"/>
        <v>1575.0156205517019</v>
      </c>
      <c r="R12" s="204">
        <f t="shared" si="1"/>
        <v>1575.0156205517019</v>
      </c>
      <c r="S12" s="204">
        <f t="shared" si="1"/>
        <v>1575.0156205517019</v>
      </c>
      <c r="T12" s="204">
        <f t="shared" si="1"/>
        <v>1575.0156205517019</v>
      </c>
      <c r="U12" s="204">
        <f t="shared" si="1"/>
        <v>1575.0156205517019</v>
      </c>
      <c r="V12" s="204">
        <f t="shared" si="1"/>
        <v>1575.0156205517019</v>
      </c>
      <c r="W12" s="204">
        <f t="shared" si="1"/>
        <v>1575.0156205517019</v>
      </c>
      <c r="X12" s="204">
        <f t="shared" si="1"/>
        <v>1575.0156205517019</v>
      </c>
      <c r="Y12" s="204">
        <f t="shared" si="1"/>
        <v>1575.0156205517019</v>
      </c>
      <c r="Z12" s="204">
        <f t="shared" si="2"/>
        <v>1575.0156205517019</v>
      </c>
      <c r="AA12" s="204">
        <f t="shared" si="2"/>
        <v>1575.0156205517019</v>
      </c>
      <c r="AB12" s="204">
        <f t="shared" si="2"/>
        <v>1575.0156205517019</v>
      </c>
      <c r="AC12" s="204">
        <f t="shared" si="2"/>
        <v>1575.0156205517019</v>
      </c>
      <c r="AD12" s="204">
        <f t="shared" si="2"/>
        <v>1575.0156205517019</v>
      </c>
      <c r="AE12" s="204">
        <f t="shared" si="2"/>
        <v>1575.0156205517019</v>
      </c>
      <c r="AF12" s="204">
        <f t="shared" si="2"/>
        <v>1575.0156205517019</v>
      </c>
      <c r="AG12" s="204">
        <f t="shared" si="2"/>
        <v>1575.0156205517019</v>
      </c>
      <c r="AH12" s="204">
        <f t="shared" si="2"/>
        <v>1575.0156205517019</v>
      </c>
      <c r="AI12" s="204">
        <f t="shared" si="2"/>
        <v>1575.0156205517019</v>
      </c>
      <c r="AJ12" s="204">
        <f t="shared" si="3"/>
        <v>1575.0156205517019</v>
      </c>
      <c r="AK12" s="204">
        <f t="shared" si="3"/>
        <v>1575.0156205517019</v>
      </c>
      <c r="AL12" s="204">
        <f t="shared" si="3"/>
        <v>1575.0156205517019</v>
      </c>
      <c r="AM12" s="204">
        <f t="shared" si="3"/>
        <v>1575.0156205517019</v>
      </c>
      <c r="AN12" s="204">
        <f t="shared" si="3"/>
        <v>1575.0156205517019</v>
      </c>
      <c r="AO12" s="204">
        <f t="shared" si="3"/>
        <v>1575.0156205517019</v>
      </c>
      <c r="AP12" s="204">
        <f t="shared" si="3"/>
        <v>1575.0156205517019</v>
      </c>
      <c r="AQ12" s="204">
        <f t="shared" si="3"/>
        <v>1575.0156205517019</v>
      </c>
      <c r="AR12" s="204">
        <f t="shared" si="3"/>
        <v>1575.0156205517019</v>
      </c>
      <c r="AS12" s="204">
        <f t="shared" si="3"/>
        <v>1148.448889985616</v>
      </c>
      <c r="AT12" s="204">
        <f t="shared" si="4"/>
        <v>1148.448889985616</v>
      </c>
      <c r="AU12" s="204">
        <f t="shared" si="4"/>
        <v>1148.448889985616</v>
      </c>
      <c r="AV12" s="204">
        <f t="shared" si="4"/>
        <v>1148.448889985616</v>
      </c>
      <c r="AW12" s="204">
        <f t="shared" si="4"/>
        <v>1148.448889985616</v>
      </c>
      <c r="AX12" s="204">
        <f t="shared" si="4"/>
        <v>1148.448889985616</v>
      </c>
      <c r="AY12" s="204">
        <f t="shared" si="4"/>
        <v>1148.448889985616</v>
      </c>
      <c r="AZ12" s="204">
        <f t="shared" si="4"/>
        <v>1148.448889985616</v>
      </c>
      <c r="BA12" s="204">
        <f t="shared" si="4"/>
        <v>1148.448889985616</v>
      </c>
      <c r="BB12" s="204">
        <f t="shared" si="4"/>
        <v>1148.448889985616</v>
      </c>
      <c r="BC12" s="204">
        <f t="shared" si="4"/>
        <v>1148.448889985616</v>
      </c>
      <c r="BD12" s="204">
        <f t="shared" si="5"/>
        <v>1148.448889985616</v>
      </c>
      <c r="BE12" s="204">
        <f t="shared" si="5"/>
        <v>1148.448889985616</v>
      </c>
      <c r="BF12" s="204">
        <f t="shared" si="5"/>
        <v>1148.448889985616</v>
      </c>
      <c r="BG12" s="204">
        <f t="shared" si="5"/>
        <v>1148.448889985616</v>
      </c>
      <c r="BH12" s="204">
        <f t="shared" si="5"/>
        <v>1148.448889985616</v>
      </c>
      <c r="BI12" s="204">
        <f t="shared" si="5"/>
        <v>1148.448889985616</v>
      </c>
      <c r="BJ12" s="204">
        <f t="shared" si="5"/>
        <v>1148.448889985616</v>
      </c>
      <c r="BK12" s="204">
        <f t="shared" si="5"/>
        <v>1148.448889985616</v>
      </c>
      <c r="BL12" s="204">
        <f t="shared" si="5"/>
        <v>1148.448889985616</v>
      </c>
      <c r="BM12" s="204">
        <f t="shared" si="5"/>
        <v>1148.448889985616</v>
      </c>
      <c r="BN12" s="204">
        <f t="shared" si="6"/>
        <v>1148.448889985616</v>
      </c>
      <c r="BO12" s="204">
        <f t="shared" si="6"/>
        <v>1148.448889985616</v>
      </c>
      <c r="BP12" s="204">
        <f t="shared" si="6"/>
        <v>1148.448889985616</v>
      </c>
      <c r="BQ12" s="204">
        <f t="shared" si="6"/>
        <v>1148.448889985616</v>
      </c>
      <c r="BR12" s="204">
        <f t="shared" si="6"/>
        <v>1148.448889985616</v>
      </c>
      <c r="BS12" s="204">
        <f t="shared" si="6"/>
        <v>1148.448889985616</v>
      </c>
      <c r="BT12" s="204">
        <f t="shared" si="6"/>
        <v>1148.448889985616</v>
      </c>
      <c r="BU12" s="204">
        <f t="shared" si="6"/>
        <v>1148.448889985616</v>
      </c>
      <c r="BV12" s="204">
        <f t="shared" si="6"/>
        <v>1148.448889985616</v>
      </c>
      <c r="BW12" s="204">
        <f t="shared" si="6"/>
        <v>1148.448889985616</v>
      </c>
      <c r="BX12" s="204">
        <f t="shared" si="7"/>
        <v>1148.448889985616</v>
      </c>
      <c r="BY12" s="204">
        <f t="shared" si="7"/>
        <v>1148.448889985616</v>
      </c>
      <c r="BZ12" s="204">
        <f t="shared" si="7"/>
        <v>1148.448889985616</v>
      </c>
      <c r="CA12" s="204">
        <f t="shared" si="7"/>
        <v>0</v>
      </c>
      <c r="CB12" s="204">
        <f t="shared" si="7"/>
        <v>0</v>
      </c>
      <c r="CC12" s="204">
        <f t="shared" si="7"/>
        <v>0</v>
      </c>
      <c r="CD12" s="204">
        <f t="shared" si="7"/>
        <v>0</v>
      </c>
      <c r="CE12" s="204">
        <f t="shared" si="7"/>
        <v>0</v>
      </c>
      <c r="CF12" s="204">
        <f t="shared" si="7"/>
        <v>0</v>
      </c>
      <c r="CG12" s="204">
        <f t="shared" si="7"/>
        <v>0</v>
      </c>
      <c r="CH12" s="204">
        <f t="shared" si="8"/>
        <v>0</v>
      </c>
      <c r="CI12" s="204">
        <f t="shared" si="8"/>
        <v>0</v>
      </c>
      <c r="CJ12" s="204">
        <f t="shared" si="8"/>
        <v>0</v>
      </c>
      <c r="CK12" s="204">
        <f t="shared" si="8"/>
        <v>0</v>
      </c>
      <c r="CL12" s="204">
        <f t="shared" si="8"/>
        <v>0</v>
      </c>
      <c r="CM12" s="204">
        <f t="shared" si="8"/>
        <v>0</v>
      </c>
      <c r="CN12" s="204">
        <f t="shared" si="8"/>
        <v>0</v>
      </c>
      <c r="CO12" s="204">
        <f t="shared" si="8"/>
        <v>0</v>
      </c>
      <c r="CP12" s="204">
        <f t="shared" si="8"/>
        <v>0</v>
      </c>
      <c r="CQ12" s="204">
        <f t="shared" si="8"/>
        <v>60961.888313094656</v>
      </c>
      <c r="CR12" s="204">
        <f t="shared" si="9"/>
        <v>60961.888313094656</v>
      </c>
      <c r="CS12" s="204">
        <f t="shared" si="9"/>
        <v>60961.888313094656</v>
      </c>
      <c r="CT12" s="204">
        <f t="shared" si="9"/>
        <v>60961.888313094656</v>
      </c>
      <c r="CU12" s="204">
        <f t="shared" si="9"/>
        <v>60961.888313094656</v>
      </c>
      <c r="CV12" s="204">
        <f t="shared" si="9"/>
        <v>60961.888313094656</v>
      </c>
      <c r="CW12" s="204">
        <f t="shared" si="9"/>
        <v>60961.888313094656</v>
      </c>
      <c r="CX12" s="204">
        <f t="shared" si="9"/>
        <v>60961.888313094656</v>
      </c>
      <c r="CY12" s="204">
        <f t="shared" si="9"/>
        <v>60961.888313094656</v>
      </c>
      <c r="CZ12" s="204">
        <f t="shared" si="9"/>
        <v>60961.888313094656</v>
      </c>
      <c r="DA12" s="204">
        <f t="shared" si="9"/>
        <v>60961.888313094656</v>
      </c>
      <c r="DB12" s="204"/>
    </row>
    <row r="13" spans="1:106">
      <c r="A13" s="201" t="str">
        <f>Income!A83</f>
        <v>Food transfer - official</v>
      </c>
      <c r="B13" s="203">
        <f>Income!B83</f>
        <v>2542.6668466728388</v>
      </c>
      <c r="C13" s="203">
        <f>Income!C83</f>
        <v>2592.6389326114268</v>
      </c>
      <c r="D13" s="203">
        <f>Income!D83</f>
        <v>2307.4028516274425</v>
      </c>
      <c r="E13" s="203">
        <f>Income!E83</f>
        <v>403.95618288041288</v>
      </c>
      <c r="F13" s="204">
        <f t="shared" ref="F13:O18" si="10">IF(F$2&lt;=($B$2+$C$2+$D$2),IF(F$2&lt;=($B$2+$C$2),IF(F$2&lt;=$B$2,$B13,$C13),$D13),$E13)</f>
        <v>2542.6668466728388</v>
      </c>
      <c r="G13" s="204">
        <f t="shared" si="10"/>
        <v>2542.6668466728388</v>
      </c>
      <c r="H13" s="204">
        <f t="shared" si="10"/>
        <v>2542.6668466728388</v>
      </c>
      <c r="I13" s="204">
        <f t="shared" si="10"/>
        <v>2542.6668466728388</v>
      </c>
      <c r="J13" s="204">
        <f t="shared" si="10"/>
        <v>2542.6668466728388</v>
      </c>
      <c r="K13" s="204">
        <f t="shared" si="10"/>
        <v>2542.6668466728388</v>
      </c>
      <c r="L13" s="204">
        <f t="shared" si="10"/>
        <v>2542.6668466728388</v>
      </c>
      <c r="M13" s="204">
        <f t="shared" si="10"/>
        <v>2542.6668466728388</v>
      </c>
      <c r="N13" s="204">
        <f t="shared" si="10"/>
        <v>2542.6668466728388</v>
      </c>
      <c r="O13" s="204">
        <f t="shared" si="10"/>
        <v>2542.6668466728388</v>
      </c>
      <c r="P13" s="204">
        <f t="shared" ref="P13:Y18" si="11">IF(P$2&lt;=($B$2+$C$2+$D$2),IF(P$2&lt;=($B$2+$C$2),IF(P$2&lt;=$B$2,$B13,$C13),$D13),$E13)</f>
        <v>2542.6668466728388</v>
      </c>
      <c r="Q13" s="204">
        <f t="shared" si="11"/>
        <v>2542.6668466728388</v>
      </c>
      <c r="R13" s="204">
        <f t="shared" si="11"/>
        <v>2542.6668466728388</v>
      </c>
      <c r="S13" s="204">
        <f t="shared" si="11"/>
        <v>2542.6668466728388</v>
      </c>
      <c r="T13" s="204">
        <f t="shared" si="11"/>
        <v>2542.6668466728388</v>
      </c>
      <c r="U13" s="204">
        <f t="shared" si="11"/>
        <v>2542.6668466728388</v>
      </c>
      <c r="V13" s="204">
        <f t="shared" si="11"/>
        <v>2542.6668466728388</v>
      </c>
      <c r="W13" s="204">
        <f t="shared" si="11"/>
        <v>2542.6668466728388</v>
      </c>
      <c r="X13" s="204">
        <f t="shared" si="11"/>
        <v>2542.6668466728388</v>
      </c>
      <c r="Y13" s="204">
        <f t="shared" si="11"/>
        <v>2542.6668466728388</v>
      </c>
      <c r="Z13" s="204">
        <f t="shared" ref="Z13:AI18" si="12">IF(Z$2&lt;=($B$2+$C$2+$D$2),IF(Z$2&lt;=($B$2+$C$2),IF(Z$2&lt;=$B$2,$B13,$C13),$D13),$E13)</f>
        <v>2542.6668466728388</v>
      </c>
      <c r="AA13" s="204">
        <f t="shared" si="12"/>
        <v>2542.6668466728388</v>
      </c>
      <c r="AB13" s="204">
        <f t="shared" si="12"/>
        <v>2542.6668466728388</v>
      </c>
      <c r="AC13" s="204">
        <f t="shared" si="12"/>
        <v>2542.6668466728388</v>
      </c>
      <c r="AD13" s="204">
        <f t="shared" si="12"/>
        <v>2542.6668466728388</v>
      </c>
      <c r="AE13" s="204">
        <f t="shared" si="12"/>
        <v>2542.6668466728388</v>
      </c>
      <c r="AF13" s="204">
        <f t="shared" si="12"/>
        <v>2542.6668466728388</v>
      </c>
      <c r="AG13" s="204">
        <f t="shared" si="12"/>
        <v>2542.6668466728388</v>
      </c>
      <c r="AH13" s="204">
        <f t="shared" si="12"/>
        <v>2542.6668466728388</v>
      </c>
      <c r="AI13" s="204">
        <f t="shared" si="12"/>
        <v>2542.6668466728388</v>
      </c>
      <c r="AJ13" s="204">
        <f t="shared" ref="AJ13:AS18" si="13">IF(AJ$2&lt;=($B$2+$C$2+$D$2),IF(AJ$2&lt;=($B$2+$C$2),IF(AJ$2&lt;=$B$2,$B13,$C13),$D13),$E13)</f>
        <v>2542.6668466728388</v>
      </c>
      <c r="AK13" s="204">
        <f t="shared" si="13"/>
        <v>2542.6668466728388</v>
      </c>
      <c r="AL13" s="204">
        <f t="shared" si="13"/>
        <v>2542.6668466728388</v>
      </c>
      <c r="AM13" s="204">
        <f t="shared" si="13"/>
        <v>2542.6668466728388</v>
      </c>
      <c r="AN13" s="204">
        <f t="shared" si="13"/>
        <v>2542.6668466728388</v>
      </c>
      <c r="AO13" s="204">
        <f t="shared" si="13"/>
        <v>2542.6668466728388</v>
      </c>
      <c r="AP13" s="204">
        <f t="shared" si="13"/>
        <v>2542.6668466728388</v>
      </c>
      <c r="AQ13" s="204">
        <f t="shared" si="13"/>
        <v>2542.6668466728388</v>
      </c>
      <c r="AR13" s="204">
        <f t="shared" si="13"/>
        <v>2542.6668466728388</v>
      </c>
      <c r="AS13" s="204">
        <f t="shared" si="13"/>
        <v>2592.6389326114268</v>
      </c>
      <c r="AT13" s="204">
        <f t="shared" ref="AT13:BC18" si="14">IF(AT$2&lt;=($B$2+$C$2+$D$2),IF(AT$2&lt;=($B$2+$C$2),IF(AT$2&lt;=$B$2,$B13,$C13),$D13),$E13)</f>
        <v>2592.6389326114268</v>
      </c>
      <c r="AU13" s="204">
        <f t="shared" si="14"/>
        <v>2592.6389326114268</v>
      </c>
      <c r="AV13" s="204">
        <f t="shared" si="14"/>
        <v>2592.6389326114268</v>
      </c>
      <c r="AW13" s="204">
        <f t="shared" si="14"/>
        <v>2592.6389326114268</v>
      </c>
      <c r="AX13" s="204">
        <f t="shared" si="14"/>
        <v>2592.6389326114268</v>
      </c>
      <c r="AY13" s="204">
        <f t="shared" si="14"/>
        <v>2592.6389326114268</v>
      </c>
      <c r="AZ13" s="204">
        <f t="shared" si="14"/>
        <v>2592.6389326114268</v>
      </c>
      <c r="BA13" s="204">
        <f t="shared" si="14"/>
        <v>2592.6389326114268</v>
      </c>
      <c r="BB13" s="204">
        <f t="shared" si="14"/>
        <v>2592.6389326114268</v>
      </c>
      <c r="BC13" s="204">
        <f t="shared" si="14"/>
        <v>2592.6389326114268</v>
      </c>
      <c r="BD13" s="204">
        <f t="shared" ref="BD13:BM18" si="15">IF(BD$2&lt;=($B$2+$C$2+$D$2),IF(BD$2&lt;=($B$2+$C$2),IF(BD$2&lt;=$B$2,$B13,$C13),$D13),$E13)</f>
        <v>2592.6389326114268</v>
      </c>
      <c r="BE13" s="204">
        <f t="shared" si="15"/>
        <v>2592.6389326114268</v>
      </c>
      <c r="BF13" s="204">
        <f t="shared" si="15"/>
        <v>2592.6389326114268</v>
      </c>
      <c r="BG13" s="204">
        <f t="shared" si="15"/>
        <v>2592.6389326114268</v>
      </c>
      <c r="BH13" s="204">
        <f t="shared" si="15"/>
        <v>2592.6389326114268</v>
      </c>
      <c r="BI13" s="204">
        <f t="shared" si="15"/>
        <v>2592.6389326114268</v>
      </c>
      <c r="BJ13" s="204">
        <f t="shared" si="15"/>
        <v>2592.6389326114268</v>
      </c>
      <c r="BK13" s="204">
        <f t="shared" si="15"/>
        <v>2592.6389326114268</v>
      </c>
      <c r="BL13" s="204">
        <f t="shared" si="15"/>
        <v>2592.6389326114268</v>
      </c>
      <c r="BM13" s="204">
        <f t="shared" si="15"/>
        <v>2592.6389326114268</v>
      </c>
      <c r="BN13" s="204">
        <f t="shared" ref="BN13:BW18" si="16">IF(BN$2&lt;=($B$2+$C$2+$D$2),IF(BN$2&lt;=($B$2+$C$2),IF(BN$2&lt;=$B$2,$B13,$C13),$D13),$E13)</f>
        <v>2592.6389326114268</v>
      </c>
      <c r="BO13" s="204">
        <f t="shared" si="16"/>
        <v>2592.6389326114268</v>
      </c>
      <c r="BP13" s="204">
        <f t="shared" si="16"/>
        <v>2592.6389326114268</v>
      </c>
      <c r="BQ13" s="204">
        <f t="shared" si="16"/>
        <v>2592.6389326114268</v>
      </c>
      <c r="BR13" s="204">
        <f t="shared" si="16"/>
        <v>2592.6389326114268</v>
      </c>
      <c r="BS13" s="204">
        <f t="shared" si="16"/>
        <v>2592.6389326114268</v>
      </c>
      <c r="BT13" s="204">
        <f t="shared" si="16"/>
        <v>2592.6389326114268</v>
      </c>
      <c r="BU13" s="204">
        <f t="shared" si="16"/>
        <v>2592.6389326114268</v>
      </c>
      <c r="BV13" s="204">
        <f t="shared" si="16"/>
        <v>2592.6389326114268</v>
      </c>
      <c r="BW13" s="204">
        <f t="shared" si="16"/>
        <v>2592.6389326114268</v>
      </c>
      <c r="BX13" s="204">
        <f t="shared" ref="BX13:CG18" si="17">IF(BX$2&lt;=($B$2+$C$2+$D$2),IF(BX$2&lt;=($B$2+$C$2),IF(BX$2&lt;=$B$2,$B13,$C13),$D13),$E13)</f>
        <v>2592.6389326114268</v>
      </c>
      <c r="BY13" s="204">
        <f t="shared" si="17"/>
        <v>2592.6389326114268</v>
      </c>
      <c r="BZ13" s="204">
        <f t="shared" si="17"/>
        <v>2592.6389326114268</v>
      </c>
      <c r="CA13" s="204">
        <f t="shared" si="17"/>
        <v>2307.4028516274425</v>
      </c>
      <c r="CB13" s="204">
        <f t="shared" si="17"/>
        <v>2307.4028516274425</v>
      </c>
      <c r="CC13" s="204">
        <f t="shared" si="17"/>
        <v>2307.4028516274425</v>
      </c>
      <c r="CD13" s="204">
        <f t="shared" si="17"/>
        <v>2307.4028516274425</v>
      </c>
      <c r="CE13" s="204">
        <f t="shared" si="17"/>
        <v>2307.4028516274425</v>
      </c>
      <c r="CF13" s="204">
        <f t="shared" si="17"/>
        <v>2307.4028516274425</v>
      </c>
      <c r="CG13" s="204">
        <f t="shared" si="17"/>
        <v>2307.4028516274425</v>
      </c>
      <c r="CH13" s="204">
        <f t="shared" ref="CH13:CQ18" si="18">IF(CH$2&lt;=($B$2+$C$2+$D$2),IF(CH$2&lt;=($B$2+$C$2),IF(CH$2&lt;=$B$2,$B13,$C13),$D13),$E13)</f>
        <v>2307.4028516274425</v>
      </c>
      <c r="CI13" s="204">
        <f t="shared" si="18"/>
        <v>2307.4028516274425</v>
      </c>
      <c r="CJ13" s="204">
        <f t="shared" si="18"/>
        <v>2307.4028516274425</v>
      </c>
      <c r="CK13" s="204">
        <f t="shared" si="18"/>
        <v>2307.4028516274425</v>
      </c>
      <c r="CL13" s="204">
        <f t="shared" si="18"/>
        <v>2307.4028516274425</v>
      </c>
      <c r="CM13" s="204">
        <f t="shared" si="18"/>
        <v>2307.4028516274425</v>
      </c>
      <c r="CN13" s="204">
        <f t="shared" si="18"/>
        <v>2307.4028516274425</v>
      </c>
      <c r="CO13" s="204">
        <f t="shared" si="18"/>
        <v>2307.4028516274425</v>
      </c>
      <c r="CP13" s="204">
        <f t="shared" si="18"/>
        <v>2307.4028516274425</v>
      </c>
      <c r="CQ13" s="204">
        <f t="shared" si="18"/>
        <v>403.95618288041288</v>
      </c>
      <c r="CR13" s="204">
        <f t="shared" ref="CR13:DA18" si="19">IF(CR$2&lt;=($B$2+$C$2+$D$2),IF(CR$2&lt;=($B$2+$C$2),IF(CR$2&lt;=$B$2,$B13,$C13),$D13),$E13)</f>
        <v>403.95618288041288</v>
      </c>
      <c r="CS13" s="204">
        <f t="shared" si="19"/>
        <v>403.95618288041288</v>
      </c>
      <c r="CT13" s="204">
        <f t="shared" si="19"/>
        <v>403.95618288041288</v>
      </c>
      <c r="CU13" s="204">
        <f t="shared" si="19"/>
        <v>403.95618288041288</v>
      </c>
      <c r="CV13" s="204">
        <f t="shared" si="19"/>
        <v>403.95618288041288</v>
      </c>
      <c r="CW13" s="204">
        <f t="shared" si="19"/>
        <v>403.95618288041288</v>
      </c>
      <c r="CX13" s="204">
        <f t="shared" si="19"/>
        <v>403.95618288041288</v>
      </c>
      <c r="CY13" s="204">
        <f t="shared" si="19"/>
        <v>403.95618288041288</v>
      </c>
      <c r="CZ13" s="204">
        <f t="shared" si="19"/>
        <v>403.95618288041288</v>
      </c>
      <c r="DA13" s="204">
        <f t="shared" si="19"/>
        <v>403.95618288041288</v>
      </c>
      <c r="DB13" s="204"/>
    </row>
    <row r="14" spans="1:106">
      <c r="A14" s="201" t="str">
        <f>Income!A85</f>
        <v>Cash transfer - official</v>
      </c>
      <c r="B14" s="203">
        <f>Income!B85</f>
        <v>23585.858917761736</v>
      </c>
      <c r="C14" s="203">
        <f>Income!C85</f>
        <v>31271.442953672617</v>
      </c>
      <c r="D14" s="203">
        <f>Income!D85</f>
        <v>9343.217663344205</v>
      </c>
      <c r="E14" s="203">
        <f>Income!E85</f>
        <v>11264.238186571814</v>
      </c>
      <c r="F14" s="204">
        <f t="shared" si="10"/>
        <v>23585.858917761736</v>
      </c>
      <c r="G14" s="204">
        <f t="shared" si="10"/>
        <v>23585.858917761736</v>
      </c>
      <c r="H14" s="204">
        <f t="shared" si="10"/>
        <v>23585.858917761736</v>
      </c>
      <c r="I14" s="204">
        <f t="shared" si="10"/>
        <v>23585.858917761736</v>
      </c>
      <c r="J14" s="204">
        <f t="shared" si="10"/>
        <v>23585.858917761736</v>
      </c>
      <c r="K14" s="204">
        <f t="shared" si="10"/>
        <v>23585.858917761736</v>
      </c>
      <c r="L14" s="204">
        <f t="shared" si="10"/>
        <v>23585.858917761736</v>
      </c>
      <c r="M14" s="204">
        <f t="shared" si="10"/>
        <v>23585.858917761736</v>
      </c>
      <c r="N14" s="204">
        <f t="shared" si="10"/>
        <v>23585.858917761736</v>
      </c>
      <c r="O14" s="204">
        <f t="shared" si="10"/>
        <v>23585.858917761736</v>
      </c>
      <c r="P14" s="204">
        <f t="shared" si="11"/>
        <v>23585.858917761736</v>
      </c>
      <c r="Q14" s="204">
        <f t="shared" si="11"/>
        <v>23585.858917761736</v>
      </c>
      <c r="R14" s="204">
        <f t="shared" si="11"/>
        <v>23585.858917761736</v>
      </c>
      <c r="S14" s="204">
        <f t="shared" si="11"/>
        <v>23585.858917761736</v>
      </c>
      <c r="T14" s="204">
        <f t="shared" si="11"/>
        <v>23585.858917761736</v>
      </c>
      <c r="U14" s="204">
        <f t="shared" si="11"/>
        <v>23585.858917761736</v>
      </c>
      <c r="V14" s="204">
        <f t="shared" si="11"/>
        <v>23585.858917761736</v>
      </c>
      <c r="W14" s="204">
        <f t="shared" si="11"/>
        <v>23585.858917761736</v>
      </c>
      <c r="X14" s="204">
        <f t="shared" si="11"/>
        <v>23585.858917761736</v>
      </c>
      <c r="Y14" s="204">
        <f t="shared" si="11"/>
        <v>23585.858917761736</v>
      </c>
      <c r="Z14" s="204">
        <f t="shared" si="12"/>
        <v>23585.858917761736</v>
      </c>
      <c r="AA14" s="204">
        <f t="shared" si="12"/>
        <v>23585.858917761736</v>
      </c>
      <c r="AB14" s="204">
        <f t="shared" si="12"/>
        <v>23585.858917761736</v>
      </c>
      <c r="AC14" s="204">
        <f t="shared" si="12"/>
        <v>23585.858917761736</v>
      </c>
      <c r="AD14" s="204">
        <f t="shared" si="12"/>
        <v>23585.858917761736</v>
      </c>
      <c r="AE14" s="204">
        <f t="shared" si="12"/>
        <v>23585.858917761736</v>
      </c>
      <c r="AF14" s="204">
        <f t="shared" si="12"/>
        <v>23585.858917761736</v>
      </c>
      <c r="AG14" s="204">
        <f t="shared" si="12"/>
        <v>23585.858917761736</v>
      </c>
      <c r="AH14" s="204">
        <f t="shared" si="12"/>
        <v>23585.858917761736</v>
      </c>
      <c r="AI14" s="204">
        <f t="shared" si="12"/>
        <v>23585.858917761736</v>
      </c>
      <c r="AJ14" s="204">
        <f t="shared" si="13"/>
        <v>23585.858917761736</v>
      </c>
      <c r="AK14" s="204">
        <f t="shared" si="13"/>
        <v>23585.858917761736</v>
      </c>
      <c r="AL14" s="204">
        <f t="shared" si="13"/>
        <v>23585.858917761736</v>
      </c>
      <c r="AM14" s="204">
        <f t="shared" si="13"/>
        <v>23585.858917761736</v>
      </c>
      <c r="AN14" s="204">
        <f t="shared" si="13"/>
        <v>23585.858917761736</v>
      </c>
      <c r="AO14" s="204">
        <f t="shared" si="13"/>
        <v>23585.858917761736</v>
      </c>
      <c r="AP14" s="204">
        <f t="shared" si="13"/>
        <v>23585.858917761736</v>
      </c>
      <c r="AQ14" s="204">
        <f t="shared" si="13"/>
        <v>23585.858917761736</v>
      </c>
      <c r="AR14" s="204">
        <f t="shared" si="13"/>
        <v>23585.858917761736</v>
      </c>
      <c r="AS14" s="204">
        <f t="shared" si="13"/>
        <v>31271.442953672617</v>
      </c>
      <c r="AT14" s="204">
        <f t="shared" si="14"/>
        <v>31271.442953672617</v>
      </c>
      <c r="AU14" s="204">
        <f t="shared" si="14"/>
        <v>31271.442953672617</v>
      </c>
      <c r="AV14" s="204">
        <f t="shared" si="14"/>
        <v>31271.442953672617</v>
      </c>
      <c r="AW14" s="204">
        <f t="shared" si="14"/>
        <v>31271.442953672617</v>
      </c>
      <c r="AX14" s="204">
        <f t="shared" si="14"/>
        <v>31271.442953672617</v>
      </c>
      <c r="AY14" s="204">
        <f t="shared" si="14"/>
        <v>31271.442953672617</v>
      </c>
      <c r="AZ14" s="204">
        <f t="shared" si="14"/>
        <v>31271.442953672617</v>
      </c>
      <c r="BA14" s="204">
        <f t="shared" si="14"/>
        <v>31271.442953672617</v>
      </c>
      <c r="BB14" s="204">
        <f t="shared" si="14"/>
        <v>31271.442953672617</v>
      </c>
      <c r="BC14" s="204">
        <f t="shared" si="14"/>
        <v>31271.442953672617</v>
      </c>
      <c r="BD14" s="204">
        <f t="shared" si="15"/>
        <v>31271.442953672617</v>
      </c>
      <c r="BE14" s="204">
        <f t="shared" si="15"/>
        <v>31271.442953672617</v>
      </c>
      <c r="BF14" s="204">
        <f t="shared" si="15"/>
        <v>31271.442953672617</v>
      </c>
      <c r="BG14" s="204">
        <f t="shared" si="15"/>
        <v>31271.442953672617</v>
      </c>
      <c r="BH14" s="204">
        <f t="shared" si="15"/>
        <v>31271.442953672617</v>
      </c>
      <c r="BI14" s="204">
        <f t="shared" si="15"/>
        <v>31271.442953672617</v>
      </c>
      <c r="BJ14" s="204">
        <f t="shared" si="15"/>
        <v>31271.442953672617</v>
      </c>
      <c r="BK14" s="204">
        <f t="shared" si="15"/>
        <v>31271.442953672617</v>
      </c>
      <c r="BL14" s="204">
        <f t="shared" si="15"/>
        <v>31271.442953672617</v>
      </c>
      <c r="BM14" s="204">
        <f t="shared" si="15"/>
        <v>31271.442953672617</v>
      </c>
      <c r="BN14" s="204">
        <f t="shared" si="16"/>
        <v>31271.442953672617</v>
      </c>
      <c r="BO14" s="204">
        <f t="shared" si="16"/>
        <v>31271.442953672617</v>
      </c>
      <c r="BP14" s="204">
        <f t="shared" si="16"/>
        <v>31271.442953672617</v>
      </c>
      <c r="BQ14" s="204">
        <f t="shared" si="16"/>
        <v>31271.442953672617</v>
      </c>
      <c r="BR14" s="204">
        <f t="shared" si="16"/>
        <v>31271.442953672617</v>
      </c>
      <c r="BS14" s="204">
        <f t="shared" si="16"/>
        <v>31271.442953672617</v>
      </c>
      <c r="BT14" s="204">
        <f t="shared" si="16"/>
        <v>31271.442953672617</v>
      </c>
      <c r="BU14" s="204">
        <f t="shared" si="16"/>
        <v>31271.442953672617</v>
      </c>
      <c r="BV14" s="204">
        <f t="shared" si="16"/>
        <v>31271.442953672617</v>
      </c>
      <c r="BW14" s="204">
        <f t="shared" si="16"/>
        <v>31271.442953672617</v>
      </c>
      <c r="BX14" s="204">
        <f t="shared" si="17"/>
        <v>31271.442953672617</v>
      </c>
      <c r="BY14" s="204">
        <f t="shared" si="17"/>
        <v>31271.442953672617</v>
      </c>
      <c r="BZ14" s="204">
        <f t="shared" si="17"/>
        <v>31271.442953672617</v>
      </c>
      <c r="CA14" s="204">
        <f t="shared" si="17"/>
        <v>9343.217663344205</v>
      </c>
      <c r="CB14" s="204">
        <f t="shared" si="17"/>
        <v>9343.217663344205</v>
      </c>
      <c r="CC14" s="204">
        <f t="shared" si="17"/>
        <v>9343.217663344205</v>
      </c>
      <c r="CD14" s="204">
        <f t="shared" si="17"/>
        <v>9343.217663344205</v>
      </c>
      <c r="CE14" s="204">
        <f t="shared" si="17"/>
        <v>9343.217663344205</v>
      </c>
      <c r="CF14" s="204">
        <f t="shared" si="17"/>
        <v>9343.217663344205</v>
      </c>
      <c r="CG14" s="204">
        <f t="shared" si="17"/>
        <v>9343.217663344205</v>
      </c>
      <c r="CH14" s="204">
        <f t="shared" si="18"/>
        <v>9343.217663344205</v>
      </c>
      <c r="CI14" s="204">
        <f t="shared" si="18"/>
        <v>9343.217663344205</v>
      </c>
      <c r="CJ14" s="204">
        <f t="shared" si="18"/>
        <v>9343.217663344205</v>
      </c>
      <c r="CK14" s="204">
        <f t="shared" si="18"/>
        <v>9343.217663344205</v>
      </c>
      <c r="CL14" s="204">
        <f t="shared" si="18"/>
        <v>9343.217663344205</v>
      </c>
      <c r="CM14" s="204">
        <f t="shared" si="18"/>
        <v>9343.217663344205</v>
      </c>
      <c r="CN14" s="204">
        <f t="shared" si="18"/>
        <v>9343.217663344205</v>
      </c>
      <c r="CO14" s="204">
        <f t="shared" si="18"/>
        <v>9343.217663344205</v>
      </c>
      <c r="CP14" s="204">
        <f t="shared" si="18"/>
        <v>9343.217663344205</v>
      </c>
      <c r="CQ14" s="204">
        <f t="shared" si="18"/>
        <v>11264.238186571814</v>
      </c>
      <c r="CR14" s="204">
        <f t="shared" si="19"/>
        <v>11264.238186571814</v>
      </c>
      <c r="CS14" s="204">
        <f t="shared" si="19"/>
        <v>11264.238186571814</v>
      </c>
      <c r="CT14" s="204">
        <f t="shared" si="19"/>
        <v>11264.238186571814</v>
      </c>
      <c r="CU14" s="204">
        <f t="shared" si="19"/>
        <v>11264.238186571814</v>
      </c>
      <c r="CV14" s="204">
        <f t="shared" si="19"/>
        <v>11264.238186571814</v>
      </c>
      <c r="CW14" s="204">
        <f t="shared" si="19"/>
        <v>11264.238186571814</v>
      </c>
      <c r="CX14" s="204">
        <f t="shared" si="19"/>
        <v>11264.238186571814</v>
      </c>
      <c r="CY14" s="204">
        <f t="shared" si="19"/>
        <v>11264.238186571814</v>
      </c>
      <c r="CZ14" s="204">
        <f t="shared" si="19"/>
        <v>11264.238186571814</v>
      </c>
      <c r="DA14" s="204">
        <f t="shared" si="19"/>
        <v>11264.238186571814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348.63627017420481</v>
      </c>
      <c r="D15" s="203">
        <f>Income!D86</f>
        <v>6257.8745637991742</v>
      </c>
      <c r="E15" s="203">
        <f>Income!E86</f>
        <v>22950.357953165047</v>
      </c>
      <c r="F15" s="204">
        <f t="shared" si="10"/>
        <v>0</v>
      </c>
      <c r="G15" s="204">
        <f t="shared" si="10"/>
        <v>0</v>
      </c>
      <c r="H15" s="204">
        <f t="shared" si="10"/>
        <v>0</v>
      </c>
      <c r="I15" s="204">
        <f t="shared" si="10"/>
        <v>0</v>
      </c>
      <c r="J15" s="204">
        <f t="shared" si="10"/>
        <v>0</v>
      </c>
      <c r="K15" s="204">
        <f t="shared" si="10"/>
        <v>0</v>
      </c>
      <c r="L15" s="204">
        <f t="shared" si="10"/>
        <v>0</v>
      </c>
      <c r="M15" s="204">
        <f t="shared" si="10"/>
        <v>0</v>
      </c>
      <c r="N15" s="204">
        <f t="shared" si="10"/>
        <v>0</v>
      </c>
      <c r="O15" s="204">
        <f t="shared" si="10"/>
        <v>0</v>
      </c>
      <c r="P15" s="204">
        <f t="shared" si="11"/>
        <v>0</v>
      </c>
      <c r="Q15" s="204">
        <f t="shared" si="11"/>
        <v>0</v>
      </c>
      <c r="R15" s="204">
        <f t="shared" si="11"/>
        <v>0</v>
      </c>
      <c r="S15" s="204">
        <f t="shared" si="11"/>
        <v>0</v>
      </c>
      <c r="T15" s="204">
        <f t="shared" si="11"/>
        <v>0</v>
      </c>
      <c r="U15" s="204">
        <f t="shared" si="11"/>
        <v>0</v>
      </c>
      <c r="V15" s="204">
        <f t="shared" si="11"/>
        <v>0</v>
      </c>
      <c r="W15" s="204">
        <f t="shared" si="11"/>
        <v>0</v>
      </c>
      <c r="X15" s="204">
        <f t="shared" si="11"/>
        <v>0</v>
      </c>
      <c r="Y15" s="204">
        <f t="shared" si="11"/>
        <v>0</v>
      </c>
      <c r="Z15" s="204">
        <f t="shared" si="12"/>
        <v>0</v>
      </c>
      <c r="AA15" s="204">
        <f t="shared" si="12"/>
        <v>0</v>
      </c>
      <c r="AB15" s="204">
        <f t="shared" si="12"/>
        <v>0</v>
      </c>
      <c r="AC15" s="204">
        <f t="shared" si="12"/>
        <v>0</v>
      </c>
      <c r="AD15" s="204">
        <f t="shared" si="12"/>
        <v>0</v>
      </c>
      <c r="AE15" s="204">
        <f t="shared" si="12"/>
        <v>0</v>
      </c>
      <c r="AF15" s="204">
        <f t="shared" si="12"/>
        <v>0</v>
      </c>
      <c r="AG15" s="204">
        <f t="shared" si="12"/>
        <v>0</v>
      </c>
      <c r="AH15" s="204">
        <f t="shared" si="12"/>
        <v>0</v>
      </c>
      <c r="AI15" s="204">
        <f t="shared" si="12"/>
        <v>0</v>
      </c>
      <c r="AJ15" s="204">
        <f t="shared" si="13"/>
        <v>0</v>
      </c>
      <c r="AK15" s="204">
        <f t="shared" si="13"/>
        <v>0</v>
      </c>
      <c r="AL15" s="204">
        <f t="shared" si="13"/>
        <v>0</v>
      </c>
      <c r="AM15" s="204">
        <f t="shared" si="13"/>
        <v>0</v>
      </c>
      <c r="AN15" s="204">
        <f t="shared" si="13"/>
        <v>0</v>
      </c>
      <c r="AO15" s="204">
        <f t="shared" si="13"/>
        <v>0</v>
      </c>
      <c r="AP15" s="204">
        <f t="shared" si="13"/>
        <v>0</v>
      </c>
      <c r="AQ15" s="204">
        <f t="shared" si="13"/>
        <v>0</v>
      </c>
      <c r="AR15" s="204">
        <f t="shared" si="13"/>
        <v>0</v>
      </c>
      <c r="AS15" s="204">
        <f t="shared" si="13"/>
        <v>348.63627017420481</v>
      </c>
      <c r="AT15" s="204">
        <f t="shared" si="14"/>
        <v>348.63627017420481</v>
      </c>
      <c r="AU15" s="204">
        <f t="shared" si="14"/>
        <v>348.63627017420481</v>
      </c>
      <c r="AV15" s="204">
        <f t="shared" si="14"/>
        <v>348.63627017420481</v>
      </c>
      <c r="AW15" s="204">
        <f t="shared" si="14"/>
        <v>348.63627017420481</v>
      </c>
      <c r="AX15" s="204">
        <f t="shared" si="14"/>
        <v>348.63627017420481</v>
      </c>
      <c r="AY15" s="204">
        <f t="shared" si="14"/>
        <v>348.63627017420481</v>
      </c>
      <c r="AZ15" s="204">
        <f t="shared" si="14"/>
        <v>348.63627017420481</v>
      </c>
      <c r="BA15" s="204">
        <f t="shared" si="14"/>
        <v>348.63627017420481</v>
      </c>
      <c r="BB15" s="204">
        <f t="shared" si="14"/>
        <v>348.63627017420481</v>
      </c>
      <c r="BC15" s="204">
        <f t="shared" si="14"/>
        <v>348.63627017420481</v>
      </c>
      <c r="BD15" s="204">
        <f t="shared" si="15"/>
        <v>348.63627017420481</v>
      </c>
      <c r="BE15" s="204">
        <f t="shared" si="15"/>
        <v>348.63627017420481</v>
      </c>
      <c r="BF15" s="204">
        <f t="shared" si="15"/>
        <v>348.63627017420481</v>
      </c>
      <c r="BG15" s="204">
        <f t="shared" si="15"/>
        <v>348.63627017420481</v>
      </c>
      <c r="BH15" s="204">
        <f t="shared" si="15"/>
        <v>348.63627017420481</v>
      </c>
      <c r="BI15" s="204">
        <f t="shared" si="15"/>
        <v>348.63627017420481</v>
      </c>
      <c r="BJ15" s="204">
        <f t="shared" si="15"/>
        <v>348.63627017420481</v>
      </c>
      <c r="BK15" s="204">
        <f t="shared" si="15"/>
        <v>348.63627017420481</v>
      </c>
      <c r="BL15" s="204">
        <f t="shared" si="15"/>
        <v>348.63627017420481</v>
      </c>
      <c r="BM15" s="204">
        <f t="shared" si="15"/>
        <v>348.63627017420481</v>
      </c>
      <c r="BN15" s="204">
        <f t="shared" si="16"/>
        <v>348.63627017420481</v>
      </c>
      <c r="BO15" s="204">
        <f t="shared" si="16"/>
        <v>348.63627017420481</v>
      </c>
      <c r="BP15" s="204">
        <f t="shared" si="16"/>
        <v>348.63627017420481</v>
      </c>
      <c r="BQ15" s="204">
        <f t="shared" si="16"/>
        <v>348.63627017420481</v>
      </c>
      <c r="BR15" s="204">
        <f t="shared" si="16"/>
        <v>348.63627017420481</v>
      </c>
      <c r="BS15" s="204">
        <f t="shared" si="16"/>
        <v>348.63627017420481</v>
      </c>
      <c r="BT15" s="204">
        <f t="shared" si="16"/>
        <v>348.63627017420481</v>
      </c>
      <c r="BU15" s="204">
        <f t="shared" si="16"/>
        <v>348.63627017420481</v>
      </c>
      <c r="BV15" s="204">
        <f t="shared" si="16"/>
        <v>348.63627017420481</v>
      </c>
      <c r="BW15" s="204">
        <f t="shared" si="16"/>
        <v>348.63627017420481</v>
      </c>
      <c r="BX15" s="204">
        <f t="shared" si="17"/>
        <v>348.63627017420481</v>
      </c>
      <c r="BY15" s="204">
        <f t="shared" si="17"/>
        <v>348.63627017420481</v>
      </c>
      <c r="BZ15" s="204">
        <f t="shared" si="17"/>
        <v>348.63627017420481</v>
      </c>
      <c r="CA15" s="204">
        <f t="shared" si="17"/>
        <v>6257.8745637991742</v>
      </c>
      <c r="CB15" s="204">
        <f t="shared" si="17"/>
        <v>6257.8745637991742</v>
      </c>
      <c r="CC15" s="204">
        <f t="shared" si="17"/>
        <v>6257.8745637991742</v>
      </c>
      <c r="CD15" s="204">
        <f t="shared" si="17"/>
        <v>6257.8745637991742</v>
      </c>
      <c r="CE15" s="204">
        <f t="shared" si="17"/>
        <v>6257.8745637991742</v>
      </c>
      <c r="CF15" s="204">
        <f t="shared" si="17"/>
        <v>6257.8745637991742</v>
      </c>
      <c r="CG15" s="204">
        <f t="shared" si="17"/>
        <v>6257.8745637991742</v>
      </c>
      <c r="CH15" s="204">
        <f t="shared" si="18"/>
        <v>6257.8745637991742</v>
      </c>
      <c r="CI15" s="204">
        <f t="shared" si="18"/>
        <v>6257.8745637991742</v>
      </c>
      <c r="CJ15" s="204">
        <f t="shared" si="18"/>
        <v>6257.8745637991742</v>
      </c>
      <c r="CK15" s="204">
        <f t="shared" si="18"/>
        <v>6257.8745637991742</v>
      </c>
      <c r="CL15" s="204">
        <f t="shared" si="18"/>
        <v>6257.8745637991742</v>
      </c>
      <c r="CM15" s="204">
        <f t="shared" si="18"/>
        <v>6257.8745637991742</v>
      </c>
      <c r="CN15" s="204">
        <f t="shared" si="18"/>
        <v>6257.8745637991742</v>
      </c>
      <c r="CO15" s="204">
        <f t="shared" si="18"/>
        <v>6257.8745637991742</v>
      </c>
      <c r="CP15" s="204">
        <f t="shared" si="18"/>
        <v>6257.8745637991742</v>
      </c>
      <c r="CQ15" s="204">
        <f t="shared" si="18"/>
        <v>22950.357953165047</v>
      </c>
      <c r="CR15" s="204">
        <f t="shared" si="19"/>
        <v>22950.357953165047</v>
      </c>
      <c r="CS15" s="204">
        <f t="shared" si="19"/>
        <v>22950.357953165047</v>
      </c>
      <c r="CT15" s="204">
        <f t="shared" si="19"/>
        <v>22950.357953165047</v>
      </c>
      <c r="CU15" s="204">
        <f t="shared" si="19"/>
        <v>22950.357953165047</v>
      </c>
      <c r="CV15" s="204">
        <f t="shared" si="19"/>
        <v>22950.357953165047</v>
      </c>
      <c r="CW15" s="204">
        <f t="shared" si="19"/>
        <v>22950.357953165047</v>
      </c>
      <c r="CX15" s="204">
        <f t="shared" si="19"/>
        <v>22950.357953165047</v>
      </c>
      <c r="CY15" s="204">
        <f t="shared" si="19"/>
        <v>22950.357953165047</v>
      </c>
      <c r="CZ15" s="204">
        <f t="shared" si="19"/>
        <v>22950.357953165047</v>
      </c>
      <c r="DA15" s="204">
        <f t="shared" si="19"/>
        <v>22950.357953165047</v>
      </c>
      <c r="DB15" s="204"/>
    </row>
    <row r="16" spans="1:106">
      <c r="A16" s="201" t="s">
        <v>115</v>
      </c>
      <c r="B16" s="203">
        <f>Income!B88</f>
        <v>43351.162705051131</v>
      </c>
      <c r="C16" s="203">
        <f>Income!C88</f>
        <v>63955.803032966454</v>
      </c>
      <c r="D16" s="203">
        <f>Income!D88</f>
        <v>144466.25089200071</v>
      </c>
      <c r="E16" s="203">
        <f>Income!E88</f>
        <v>307447.94455908786</v>
      </c>
      <c r="F16" s="204">
        <f t="shared" si="10"/>
        <v>43351.162705051131</v>
      </c>
      <c r="G16" s="204">
        <f t="shared" si="10"/>
        <v>43351.162705051131</v>
      </c>
      <c r="H16" s="204">
        <f t="shared" si="10"/>
        <v>43351.162705051131</v>
      </c>
      <c r="I16" s="204">
        <f t="shared" si="10"/>
        <v>43351.162705051131</v>
      </c>
      <c r="J16" s="204">
        <f t="shared" si="10"/>
        <v>43351.162705051131</v>
      </c>
      <c r="K16" s="204">
        <f t="shared" si="10"/>
        <v>43351.162705051131</v>
      </c>
      <c r="L16" s="204">
        <f t="shared" si="10"/>
        <v>43351.162705051131</v>
      </c>
      <c r="M16" s="204">
        <f t="shared" si="10"/>
        <v>43351.162705051131</v>
      </c>
      <c r="N16" s="204">
        <f t="shared" si="10"/>
        <v>43351.162705051131</v>
      </c>
      <c r="O16" s="204">
        <f t="shared" si="10"/>
        <v>43351.162705051131</v>
      </c>
      <c r="P16" s="204">
        <f t="shared" si="11"/>
        <v>43351.162705051131</v>
      </c>
      <c r="Q16" s="204">
        <f t="shared" si="11"/>
        <v>43351.162705051131</v>
      </c>
      <c r="R16" s="204">
        <f t="shared" si="11"/>
        <v>43351.162705051131</v>
      </c>
      <c r="S16" s="204">
        <f t="shared" si="11"/>
        <v>43351.162705051131</v>
      </c>
      <c r="T16" s="204">
        <f t="shared" si="11"/>
        <v>43351.162705051131</v>
      </c>
      <c r="U16" s="204">
        <f t="shared" si="11"/>
        <v>43351.162705051131</v>
      </c>
      <c r="V16" s="204">
        <f t="shared" si="11"/>
        <v>43351.162705051131</v>
      </c>
      <c r="W16" s="204">
        <f t="shared" si="11"/>
        <v>43351.162705051131</v>
      </c>
      <c r="X16" s="204">
        <f t="shared" si="11"/>
        <v>43351.162705051131</v>
      </c>
      <c r="Y16" s="204">
        <f t="shared" si="11"/>
        <v>43351.162705051131</v>
      </c>
      <c r="Z16" s="204">
        <f t="shared" si="12"/>
        <v>43351.162705051131</v>
      </c>
      <c r="AA16" s="204">
        <f t="shared" si="12"/>
        <v>43351.162705051131</v>
      </c>
      <c r="AB16" s="204">
        <f t="shared" si="12"/>
        <v>43351.162705051131</v>
      </c>
      <c r="AC16" s="204">
        <f t="shared" si="12"/>
        <v>43351.162705051131</v>
      </c>
      <c r="AD16" s="204">
        <f t="shared" si="12"/>
        <v>43351.162705051131</v>
      </c>
      <c r="AE16" s="204">
        <f t="shared" si="12"/>
        <v>43351.162705051131</v>
      </c>
      <c r="AF16" s="204">
        <f t="shared" si="12"/>
        <v>43351.162705051131</v>
      </c>
      <c r="AG16" s="204">
        <f t="shared" si="12"/>
        <v>43351.162705051131</v>
      </c>
      <c r="AH16" s="204">
        <f t="shared" si="12"/>
        <v>43351.162705051131</v>
      </c>
      <c r="AI16" s="204">
        <f t="shared" si="12"/>
        <v>43351.162705051131</v>
      </c>
      <c r="AJ16" s="204">
        <f t="shared" si="13"/>
        <v>43351.162705051131</v>
      </c>
      <c r="AK16" s="204">
        <f t="shared" si="13"/>
        <v>43351.162705051131</v>
      </c>
      <c r="AL16" s="204">
        <f t="shared" si="13"/>
        <v>43351.162705051131</v>
      </c>
      <c r="AM16" s="204">
        <f t="shared" si="13"/>
        <v>43351.162705051131</v>
      </c>
      <c r="AN16" s="204">
        <f t="shared" si="13"/>
        <v>43351.162705051131</v>
      </c>
      <c r="AO16" s="204">
        <f t="shared" si="13"/>
        <v>43351.162705051131</v>
      </c>
      <c r="AP16" s="204">
        <f t="shared" si="13"/>
        <v>43351.162705051131</v>
      </c>
      <c r="AQ16" s="204">
        <f t="shared" si="13"/>
        <v>43351.162705051131</v>
      </c>
      <c r="AR16" s="204">
        <f t="shared" si="13"/>
        <v>43351.162705051131</v>
      </c>
      <c r="AS16" s="204">
        <f t="shared" si="13"/>
        <v>63955.803032966454</v>
      </c>
      <c r="AT16" s="204">
        <f t="shared" si="14"/>
        <v>63955.803032966454</v>
      </c>
      <c r="AU16" s="204">
        <f t="shared" si="14"/>
        <v>63955.803032966454</v>
      </c>
      <c r="AV16" s="204">
        <f t="shared" si="14"/>
        <v>63955.803032966454</v>
      </c>
      <c r="AW16" s="204">
        <f t="shared" si="14"/>
        <v>63955.803032966454</v>
      </c>
      <c r="AX16" s="204">
        <f t="shared" si="14"/>
        <v>63955.803032966454</v>
      </c>
      <c r="AY16" s="204">
        <f t="shared" si="14"/>
        <v>63955.803032966454</v>
      </c>
      <c r="AZ16" s="204">
        <f t="shared" si="14"/>
        <v>63955.803032966454</v>
      </c>
      <c r="BA16" s="204">
        <f t="shared" si="14"/>
        <v>63955.803032966454</v>
      </c>
      <c r="BB16" s="204">
        <f t="shared" si="14"/>
        <v>63955.803032966454</v>
      </c>
      <c r="BC16" s="204">
        <f t="shared" si="14"/>
        <v>63955.803032966454</v>
      </c>
      <c r="BD16" s="204">
        <f t="shared" si="15"/>
        <v>63955.803032966454</v>
      </c>
      <c r="BE16" s="204">
        <f t="shared" si="15"/>
        <v>63955.803032966454</v>
      </c>
      <c r="BF16" s="204">
        <f t="shared" si="15"/>
        <v>63955.803032966454</v>
      </c>
      <c r="BG16" s="204">
        <f t="shared" si="15"/>
        <v>63955.803032966454</v>
      </c>
      <c r="BH16" s="204">
        <f t="shared" si="15"/>
        <v>63955.803032966454</v>
      </c>
      <c r="BI16" s="204">
        <f t="shared" si="15"/>
        <v>63955.803032966454</v>
      </c>
      <c r="BJ16" s="204">
        <f t="shared" si="15"/>
        <v>63955.803032966454</v>
      </c>
      <c r="BK16" s="204">
        <f t="shared" si="15"/>
        <v>63955.803032966454</v>
      </c>
      <c r="BL16" s="204">
        <f t="shared" si="15"/>
        <v>63955.803032966454</v>
      </c>
      <c r="BM16" s="204">
        <f t="shared" si="15"/>
        <v>63955.803032966454</v>
      </c>
      <c r="BN16" s="204">
        <f t="shared" si="16"/>
        <v>63955.803032966454</v>
      </c>
      <c r="BO16" s="204">
        <f t="shared" si="16"/>
        <v>63955.803032966454</v>
      </c>
      <c r="BP16" s="204">
        <f t="shared" si="16"/>
        <v>63955.803032966454</v>
      </c>
      <c r="BQ16" s="204">
        <f t="shared" si="16"/>
        <v>63955.803032966454</v>
      </c>
      <c r="BR16" s="204">
        <f t="shared" si="16"/>
        <v>63955.803032966454</v>
      </c>
      <c r="BS16" s="204">
        <f t="shared" si="16"/>
        <v>63955.803032966454</v>
      </c>
      <c r="BT16" s="204">
        <f t="shared" si="16"/>
        <v>63955.803032966454</v>
      </c>
      <c r="BU16" s="204">
        <f t="shared" si="16"/>
        <v>63955.803032966454</v>
      </c>
      <c r="BV16" s="204">
        <f t="shared" si="16"/>
        <v>63955.803032966454</v>
      </c>
      <c r="BW16" s="204">
        <f t="shared" si="16"/>
        <v>63955.803032966454</v>
      </c>
      <c r="BX16" s="204">
        <f t="shared" si="17"/>
        <v>63955.803032966454</v>
      </c>
      <c r="BY16" s="204">
        <f t="shared" si="17"/>
        <v>63955.803032966454</v>
      </c>
      <c r="BZ16" s="204">
        <f t="shared" si="17"/>
        <v>63955.803032966454</v>
      </c>
      <c r="CA16" s="204">
        <f t="shared" si="17"/>
        <v>144466.25089200071</v>
      </c>
      <c r="CB16" s="204">
        <f t="shared" si="17"/>
        <v>144466.25089200071</v>
      </c>
      <c r="CC16" s="204">
        <f t="shared" si="17"/>
        <v>144466.25089200071</v>
      </c>
      <c r="CD16" s="204">
        <f t="shared" si="17"/>
        <v>144466.25089200071</v>
      </c>
      <c r="CE16" s="204">
        <f t="shared" si="17"/>
        <v>144466.25089200071</v>
      </c>
      <c r="CF16" s="204">
        <f t="shared" si="17"/>
        <v>144466.25089200071</v>
      </c>
      <c r="CG16" s="204">
        <f t="shared" si="17"/>
        <v>144466.25089200071</v>
      </c>
      <c r="CH16" s="204">
        <f t="shared" si="18"/>
        <v>144466.25089200071</v>
      </c>
      <c r="CI16" s="204">
        <f t="shared" si="18"/>
        <v>144466.25089200071</v>
      </c>
      <c r="CJ16" s="204">
        <f t="shared" si="18"/>
        <v>144466.25089200071</v>
      </c>
      <c r="CK16" s="204">
        <f t="shared" si="18"/>
        <v>144466.25089200071</v>
      </c>
      <c r="CL16" s="204">
        <f t="shared" si="18"/>
        <v>144466.25089200071</v>
      </c>
      <c r="CM16" s="204">
        <f t="shared" si="18"/>
        <v>144466.25089200071</v>
      </c>
      <c r="CN16" s="204">
        <f t="shared" si="18"/>
        <v>144466.25089200071</v>
      </c>
      <c r="CO16" s="204">
        <f t="shared" si="18"/>
        <v>144466.25089200071</v>
      </c>
      <c r="CP16" s="204">
        <f t="shared" si="18"/>
        <v>144466.25089200071</v>
      </c>
      <c r="CQ16" s="204">
        <f t="shared" si="18"/>
        <v>307447.94455908786</v>
      </c>
      <c r="CR16" s="204">
        <f t="shared" si="19"/>
        <v>307447.94455908786</v>
      </c>
      <c r="CS16" s="204">
        <f t="shared" si="19"/>
        <v>307447.94455908786</v>
      </c>
      <c r="CT16" s="204">
        <f t="shared" si="19"/>
        <v>307447.94455908786</v>
      </c>
      <c r="CU16" s="204">
        <f t="shared" si="19"/>
        <v>307447.94455908786</v>
      </c>
      <c r="CV16" s="204">
        <f t="shared" si="19"/>
        <v>307447.94455908786</v>
      </c>
      <c r="CW16" s="204">
        <f t="shared" si="19"/>
        <v>307447.94455908786</v>
      </c>
      <c r="CX16" s="204">
        <f t="shared" si="19"/>
        <v>307447.94455908786</v>
      </c>
      <c r="CY16" s="204">
        <f t="shared" si="19"/>
        <v>307447.94455908786</v>
      </c>
      <c r="CZ16" s="204">
        <f t="shared" si="19"/>
        <v>307447.94455908786</v>
      </c>
      <c r="DA16" s="204">
        <f t="shared" si="19"/>
        <v>307447.94455908786</v>
      </c>
      <c r="DB16" s="204"/>
    </row>
    <row r="17" spans="1:105">
      <c r="A17" s="201" t="s">
        <v>101</v>
      </c>
      <c r="B17" s="203">
        <f>Income!B89</f>
        <v>31035.992491963734</v>
      </c>
      <c r="C17" s="203">
        <f>Income!C89</f>
        <v>31035.992491963734</v>
      </c>
      <c r="D17" s="203">
        <f>Income!D89</f>
        <v>31035.99249196376</v>
      </c>
      <c r="E17" s="203">
        <f>Income!E89</f>
        <v>31035.227765379786</v>
      </c>
      <c r="F17" s="204">
        <f t="shared" si="10"/>
        <v>31035.992491963734</v>
      </c>
      <c r="G17" s="204">
        <f t="shared" si="10"/>
        <v>31035.992491963734</v>
      </c>
      <c r="H17" s="204">
        <f t="shared" si="10"/>
        <v>31035.992491963734</v>
      </c>
      <c r="I17" s="204">
        <f t="shared" si="10"/>
        <v>31035.992491963734</v>
      </c>
      <c r="J17" s="204">
        <f t="shared" si="10"/>
        <v>31035.992491963734</v>
      </c>
      <c r="K17" s="204">
        <f t="shared" si="10"/>
        <v>31035.992491963734</v>
      </c>
      <c r="L17" s="204">
        <f t="shared" si="10"/>
        <v>31035.992491963734</v>
      </c>
      <c r="M17" s="204">
        <f t="shared" si="10"/>
        <v>31035.992491963734</v>
      </c>
      <c r="N17" s="204">
        <f t="shared" si="10"/>
        <v>31035.992491963734</v>
      </c>
      <c r="O17" s="204">
        <f t="shared" si="10"/>
        <v>31035.992491963734</v>
      </c>
      <c r="P17" s="204">
        <f t="shared" si="11"/>
        <v>31035.992491963734</v>
      </c>
      <c r="Q17" s="204">
        <f t="shared" si="11"/>
        <v>31035.992491963734</v>
      </c>
      <c r="R17" s="204">
        <f t="shared" si="11"/>
        <v>31035.992491963734</v>
      </c>
      <c r="S17" s="204">
        <f t="shared" si="11"/>
        <v>31035.992491963734</v>
      </c>
      <c r="T17" s="204">
        <f t="shared" si="11"/>
        <v>31035.992491963734</v>
      </c>
      <c r="U17" s="204">
        <f t="shared" si="11"/>
        <v>31035.992491963734</v>
      </c>
      <c r="V17" s="204">
        <f t="shared" si="11"/>
        <v>31035.992491963734</v>
      </c>
      <c r="W17" s="204">
        <f t="shared" si="11"/>
        <v>31035.992491963734</v>
      </c>
      <c r="X17" s="204">
        <f t="shared" si="11"/>
        <v>31035.992491963734</v>
      </c>
      <c r="Y17" s="204">
        <f t="shared" si="11"/>
        <v>31035.992491963734</v>
      </c>
      <c r="Z17" s="204">
        <f t="shared" si="12"/>
        <v>31035.992491963734</v>
      </c>
      <c r="AA17" s="204">
        <f t="shared" si="12"/>
        <v>31035.992491963734</v>
      </c>
      <c r="AB17" s="204">
        <f t="shared" si="12"/>
        <v>31035.992491963734</v>
      </c>
      <c r="AC17" s="204">
        <f t="shared" si="12"/>
        <v>31035.992491963734</v>
      </c>
      <c r="AD17" s="204">
        <f t="shared" si="12"/>
        <v>31035.992491963734</v>
      </c>
      <c r="AE17" s="204">
        <f t="shared" si="12"/>
        <v>31035.992491963734</v>
      </c>
      <c r="AF17" s="204">
        <f t="shared" si="12"/>
        <v>31035.992491963734</v>
      </c>
      <c r="AG17" s="204">
        <f t="shared" si="12"/>
        <v>31035.992491963734</v>
      </c>
      <c r="AH17" s="204">
        <f t="shared" si="12"/>
        <v>31035.992491963734</v>
      </c>
      <c r="AI17" s="204">
        <f t="shared" si="12"/>
        <v>31035.992491963734</v>
      </c>
      <c r="AJ17" s="204">
        <f t="shared" si="13"/>
        <v>31035.992491963734</v>
      </c>
      <c r="AK17" s="204">
        <f t="shared" si="13"/>
        <v>31035.992491963734</v>
      </c>
      <c r="AL17" s="204">
        <f t="shared" si="13"/>
        <v>31035.992491963734</v>
      </c>
      <c r="AM17" s="204">
        <f t="shared" si="13"/>
        <v>31035.992491963734</v>
      </c>
      <c r="AN17" s="204">
        <f t="shared" si="13"/>
        <v>31035.992491963734</v>
      </c>
      <c r="AO17" s="204">
        <f t="shared" si="13"/>
        <v>31035.992491963734</v>
      </c>
      <c r="AP17" s="204">
        <f t="shared" si="13"/>
        <v>31035.992491963734</v>
      </c>
      <c r="AQ17" s="204">
        <f t="shared" si="13"/>
        <v>31035.992491963734</v>
      </c>
      <c r="AR17" s="204">
        <f t="shared" si="13"/>
        <v>31035.992491963734</v>
      </c>
      <c r="AS17" s="204">
        <f t="shared" si="13"/>
        <v>31035.992491963734</v>
      </c>
      <c r="AT17" s="204">
        <f t="shared" si="14"/>
        <v>31035.992491963734</v>
      </c>
      <c r="AU17" s="204">
        <f t="shared" si="14"/>
        <v>31035.992491963734</v>
      </c>
      <c r="AV17" s="204">
        <f t="shared" si="14"/>
        <v>31035.992491963734</v>
      </c>
      <c r="AW17" s="204">
        <f t="shared" si="14"/>
        <v>31035.992491963734</v>
      </c>
      <c r="AX17" s="204">
        <f t="shared" si="14"/>
        <v>31035.992491963734</v>
      </c>
      <c r="AY17" s="204">
        <f t="shared" si="14"/>
        <v>31035.992491963734</v>
      </c>
      <c r="AZ17" s="204">
        <f t="shared" si="14"/>
        <v>31035.992491963734</v>
      </c>
      <c r="BA17" s="204">
        <f t="shared" si="14"/>
        <v>31035.992491963734</v>
      </c>
      <c r="BB17" s="204">
        <f t="shared" si="14"/>
        <v>31035.992491963734</v>
      </c>
      <c r="BC17" s="204">
        <f t="shared" si="14"/>
        <v>31035.992491963734</v>
      </c>
      <c r="BD17" s="204">
        <f t="shared" si="15"/>
        <v>31035.992491963734</v>
      </c>
      <c r="BE17" s="204">
        <f t="shared" si="15"/>
        <v>31035.992491963734</v>
      </c>
      <c r="BF17" s="204">
        <f t="shared" si="15"/>
        <v>31035.992491963734</v>
      </c>
      <c r="BG17" s="204">
        <f t="shared" si="15"/>
        <v>31035.992491963734</v>
      </c>
      <c r="BH17" s="204">
        <f t="shared" si="15"/>
        <v>31035.992491963734</v>
      </c>
      <c r="BI17" s="204">
        <f t="shared" si="15"/>
        <v>31035.992491963734</v>
      </c>
      <c r="BJ17" s="204">
        <f t="shared" si="15"/>
        <v>31035.992491963734</v>
      </c>
      <c r="BK17" s="204">
        <f t="shared" si="15"/>
        <v>31035.992491963734</v>
      </c>
      <c r="BL17" s="204">
        <f t="shared" si="15"/>
        <v>31035.992491963734</v>
      </c>
      <c r="BM17" s="204">
        <f t="shared" si="15"/>
        <v>31035.992491963734</v>
      </c>
      <c r="BN17" s="204">
        <f t="shared" si="16"/>
        <v>31035.992491963734</v>
      </c>
      <c r="BO17" s="204">
        <f t="shared" si="16"/>
        <v>31035.992491963734</v>
      </c>
      <c r="BP17" s="204">
        <f t="shared" si="16"/>
        <v>31035.992491963734</v>
      </c>
      <c r="BQ17" s="204">
        <f t="shared" si="16"/>
        <v>31035.992491963734</v>
      </c>
      <c r="BR17" s="204">
        <f t="shared" si="16"/>
        <v>31035.992491963734</v>
      </c>
      <c r="BS17" s="204">
        <f t="shared" si="16"/>
        <v>31035.992491963734</v>
      </c>
      <c r="BT17" s="204">
        <f t="shared" si="16"/>
        <v>31035.992491963734</v>
      </c>
      <c r="BU17" s="204">
        <f t="shared" si="16"/>
        <v>31035.992491963734</v>
      </c>
      <c r="BV17" s="204">
        <f t="shared" si="16"/>
        <v>31035.992491963734</v>
      </c>
      <c r="BW17" s="204">
        <f t="shared" si="16"/>
        <v>31035.992491963734</v>
      </c>
      <c r="BX17" s="204">
        <f t="shared" si="17"/>
        <v>31035.992491963734</v>
      </c>
      <c r="BY17" s="204">
        <f t="shared" si="17"/>
        <v>31035.992491963734</v>
      </c>
      <c r="BZ17" s="204">
        <f t="shared" si="17"/>
        <v>31035.992491963734</v>
      </c>
      <c r="CA17" s="204">
        <f t="shared" si="17"/>
        <v>31035.99249196376</v>
      </c>
      <c r="CB17" s="204">
        <f t="shared" si="17"/>
        <v>31035.99249196376</v>
      </c>
      <c r="CC17" s="204">
        <f t="shared" si="17"/>
        <v>31035.99249196376</v>
      </c>
      <c r="CD17" s="204">
        <f t="shared" si="17"/>
        <v>31035.99249196376</v>
      </c>
      <c r="CE17" s="204">
        <f t="shared" si="17"/>
        <v>31035.99249196376</v>
      </c>
      <c r="CF17" s="204">
        <f t="shared" si="17"/>
        <v>31035.99249196376</v>
      </c>
      <c r="CG17" s="204">
        <f t="shared" si="17"/>
        <v>31035.99249196376</v>
      </c>
      <c r="CH17" s="204">
        <f t="shared" si="18"/>
        <v>31035.99249196376</v>
      </c>
      <c r="CI17" s="204">
        <f t="shared" si="18"/>
        <v>31035.99249196376</v>
      </c>
      <c r="CJ17" s="204">
        <f t="shared" si="18"/>
        <v>31035.99249196376</v>
      </c>
      <c r="CK17" s="204">
        <f t="shared" si="18"/>
        <v>31035.99249196376</v>
      </c>
      <c r="CL17" s="204">
        <f t="shared" si="18"/>
        <v>31035.99249196376</v>
      </c>
      <c r="CM17" s="204">
        <f t="shared" si="18"/>
        <v>31035.99249196376</v>
      </c>
      <c r="CN17" s="204">
        <f t="shared" si="18"/>
        <v>31035.99249196376</v>
      </c>
      <c r="CO17" s="204">
        <f t="shared" si="18"/>
        <v>31035.99249196376</v>
      </c>
      <c r="CP17" s="204">
        <f t="shared" si="18"/>
        <v>31035.99249196376</v>
      </c>
      <c r="CQ17" s="204">
        <f t="shared" si="18"/>
        <v>31035.227765379786</v>
      </c>
      <c r="CR17" s="204">
        <f t="shared" si="19"/>
        <v>31035.227765379786</v>
      </c>
      <c r="CS17" s="204">
        <f t="shared" si="19"/>
        <v>31035.227765379786</v>
      </c>
      <c r="CT17" s="204">
        <f t="shared" si="19"/>
        <v>31035.227765379786</v>
      </c>
      <c r="CU17" s="204">
        <f t="shared" si="19"/>
        <v>31035.227765379786</v>
      </c>
      <c r="CV17" s="204">
        <f t="shared" si="19"/>
        <v>31035.227765379786</v>
      </c>
      <c r="CW17" s="204">
        <f t="shared" si="19"/>
        <v>31035.227765379786</v>
      </c>
      <c r="CX17" s="204">
        <f t="shared" si="19"/>
        <v>31035.227765379786</v>
      </c>
      <c r="CY17" s="204">
        <f t="shared" si="19"/>
        <v>31035.227765379786</v>
      </c>
      <c r="CZ17" s="204">
        <f t="shared" si="19"/>
        <v>31035.227765379786</v>
      </c>
      <c r="DA17" s="204">
        <f t="shared" si="19"/>
        <v>31035.227765379786</v>
      </c>
    </row>
    <row r="18" spans="1:105">
      <c r="A18" s="201" t="s">
        <v>85</v>
      </c>
      <c r="B18" s="203">
        <f>Income!B90</f>
        <v>47999.934714185954</v>
      </c>
      <c r="C18" s="203">
        <f>Income!C90</f>
        <v>47999.934714185954</v>
      </c>
      <c r="D18" s="203">
        <f>Income!D90</f>
        <v>47999.934714185954</v>
      </c>
      <c r="E18" s="203">
        <f>Income!E90</f>
        <v>47999.169987601977</v>
      </c>
      <c r="F18" s="204">
        <f t="shared" si="10"/>
        <v>47999.934714185954</v>
      </c>
      <c r="G18" s="204">
        <f t="shared" si="10"/>
        <v>47999.934714185954</v>
      </c>
      <c r="H18" s="204">
        <f t="shared" si="10"/>
        <v>47999.934714185954</v>
      </c>
      <c r="I18" s="204">
        <f t="shared" si="10"/>
        <v>47999.934714185954</v>
      </c>
      <c r="J18" s="204">
        <f t="shared" si="10"/>
        <v>47999.934714185954</v>
      </c>
      <c r="K18" s="204">
        <f t="shared" si="10"/>
        <v>47999.934714185954</v>
      </c>
      <c r="L18" s="204">
        <f t="shared" si="10"/>
        <v>47999.934714185954</v>
      </c>
      <c r="M18" s="204">
        <f t="shared" si="10"/>
        <v>47999.934714185954</v>
      </c>
      <c r="N18" s="204">
        <f t="shared" si="10"/>
        <v>47999.934714185954</v>
      </c>
      <c r="O18" s="204">
        <f t="shared" si="10"/>
        <v>47999.934714185954</v>
      </c>
      <c r="P18" s="204">
        <f t="shared" si="11"/>
        <v>47999.934714185954</v>
      </c>
      <c r="Q18" s="204">
        <f t="shared" si="11"/>
        <v>47999.934714185954</v>
      </c>
      <c r="R18" s="204">
        <f t="shared" si="11"/>
        <v>47999.934714185954</v>
      </c>
      <c r="S18" s="204">
        <f t="shared" si="11"/>
        <v>47999.934714185954</v>
      </c>
      <c r="T18" s="204">
        <f t="shared" si="11"/>
        <v>47999.934714185954</v>
      </c>
      <c r="U18" s="204">
        <f t="shared" si="11"/>
        <v>47999.934714185954</v>
      </c>
      <c r="V18" s="204">
        <f t="shared" si="11"/>
        <v>47999.934714185954</v>
      </c>
      <c r="W18" s="204">
        <f t="shared" si="11"/>
        <v>47999.934714185954</v>
      </c>
      <c r="X18" s="204">
        <f t="shared" si="11"/>
        <v>47999.934714185954</v>
      </c>
      <c r="Y18" s="204">
        <f t="shared" si="11"/>
        <v>47999.934714185954</v>
      </c>
      <c r="Z18" s="204">
        <f t="shared" si="12"/>
        <v>47999.934714185954</v>
      </c>
      <c r="AA18" s="204">
        <f t="shared" si="12"/>
        <v>47999.934714185954</v>
      </c>
      <c r="AB18" s="204">
        <f t="shared" si="12"/>
        <v>47999.934714185954</v>
      </c>
      <c r="AC18" s="204">
        <f t="shared" si="12"/>
        <v>47999.934714185954</v>
      </c>
      <c r="AD18" s="204">
        <f t="shared" si="12"/>
        <v>47999.934714185954</v>
      </c>
      <c r="AE18" s="204">
        <f t="shared" si="12"/>
        <v>47999.934714185954</v>
      </c>
      <c r="AF18" s="204">
        <f t="shared" si="12"/>
        <v>47999.934714185954</v>
      </c>
      <c r="AG18" s="204">
        <f t="shared" si="12"/>
        <v>47999.934714185954</v>
      </c>
      <c r="AH18" s="204">
        <f t="shared" si="12"/>
        <v>47999.934714185954</v>
      </c>
      <c r="AI18" s="204">
        <f t="shared" si="12"/>
        <v>47999.934714185954</v>
      </c>
      <c r="AJ18" s="204">
        <f t="shared" si="13"/>
        <v>47999.934714185954</v>
      </c>
      <c r="AK18" s="204">
        <f t="shared" si="13"/>
        <v>47999.934714185954</v>
      </c>
      <c r="AL18" s="204">
        <f t="shared" si="13"/>
        <v>47999.934714185954</v>
      </c>
      <c r="AM18" s="204">
        <f t="shared" si="13"/>
        <v>47999.934714185954</v>
      </c>
      <c r="AN18" s="204">
        <f t="shared" si="13"/>
        <v>47999.934714185954</v>
      </c>
      <c r="AO18" s="204">
        <f t="shared" si="13"/>
        <v>47999.934714185954</v>
      </c>
      <c r="AP18" s="204">
        <f t="shared" si="13"/>
        <v>47999.934714185954</v>
      </c>
      <c r="AQ18" s="204">
        <f t="shared" si="13"/>
        <v>47999.934714185954</v>
      </c>
      <c r="AR18" s="204">
        <f t="shared" si="13"/>
        <v>47999.934714185954</v>
      </c>
      <c r="AS18" s="204">
        <f t="shared" si="13"/>
        <v>47999.934714185954</v>
      </c>
      <c r="AT18" s="204">
        <f t="shared" si="14"/>
        <v>47999.934714185954</v>
      </c>
      <c r="AU18" s="204">
        <f t="shared" si="14"/>
        <v>47999.934714185954</v>
      </c>
      <c r="AV18" s="204">
        <f t="shared" si="14"/>
        <v>47999.934714185954</v>
      </c>
      <c r="AW18" s="204">
        <f t="shared" si="14"/>
        <v>47999.934714185954</v>
      </c>
      <c r="AX18" s="204">
        <f t="shared" si="14"/>
        <v>47999.934714185954</v>
      </c>
      <c r="AY18" s="204">
        <f t="shared" si="14"/>
        <v>47999.934714185954</v>
      </c>
      <c r="AZ18" s="204">
        <f t="shared" si="14"/>
        <v>47999.934714185954</v>
      </c>
      <c r="BA18" s="204">
        <f t="shared" si="14"/>
        <v>47999.934714185954</v>
      </c>
      <c r="BB18" s="204">
        <f t="shared" si="14"/>
        <v>47999.934714185954</v>
      </c>
      <c r="BC18" s="204">
        <f t="shared" si="14"/>
        <v>47999.934714185954</v>
      </c>
      <c r="BD18" s="204">
        <f t="shared" si="15"/>
        <v>47999.934714185954</v>
      </c>
      <c r="BE18" s="204">
        <f t="shared" si="15"/>
        <v>47999.934714185954</v>
      </c>
      <c r="BF18" s="204">
        <f t="shared" si="15"/>
        <v>47999.934714185954</v>
      </c>
      <c r="BG18" s="204">
        <f t="shared" si="15"/>
        <v>47999.934714185954</v>
      </c>
      <c r="BH18" s="204">
        <f t="shared" si="15"/>
        <v>47999.934714185954</v>
      </c>
      <c r="BI18" s="204">
        <f t="shared" si="15"/>
        <v>47999.934714185954</v>
      </c>
      <c r="BJ18" s="204">
        <f t="shared" si="15"/>
        <v>47999.934714185954</v>
      </c>
      <c r="BK18" s="204">
        <f t="shared" si="15"/>
        <v>47999.934714185954</v>
      </c>
      <c r="BL18" s="204">
        <f t="shared" si="15"/>
        <v>47999.934714185954</v>
      </c>
      <c r="BM18" s="204">
        <f t="shared" si="15"/>
        <v>47999.934714185954</v>
      </c>
      <c r="BN18" s="204">
        <f t="shared" si="16"/>
        <v>47999.934714185954</v>
      </c>
      <c r="BO18" s="204">
        <f t="shared" si="16"/>
        <v>47999.934714185954</v>
      </c>
      <c r="BP18" s="204">
        <f t="shared" si="16"/>
        <v>47999.934714185954</v>
      </c>
      <c r="BQ18" s="204">
        <f t="shared" si="16"/>
        <v>47999.934714185954</v>
      </c>
      <c r="BR18" s="204">
        <f t="shared" si="16"/>
        <v>47999.934714185954</v>
      </c>
      <c r="BS18" s="204">
        <f t="shared" si="16"/>
        <v>47999.934714185954</v>
      </c>
      <c r="BT18" s="204">
        <f t="shared" si="16"/>
        <v>47999.934714185954</v>
      </c>
      <c r="BU18" s="204">
        <f t="shared" si="16"/>
        <v>47999.934714185954</v>
      </c>
      <c r="BV18" s="204">
        <f t="shared" si="16"/>
        <v>47999.934714185954</v>
      </c>
      <c r="BW18" s="204">
        <f t="shared" si="16"/>
        <v>47999.934714185954</v>
      </c>
      <c r="BX18" s="204">
        <f t="shared" si="17"/>
        <v>47999.934714185954</v>
      </c>
      <c r="BY18" s="204">
        <f t="shared" si="17"/>
        <v>47999.934714185954</v>
      </c>
      <c r="BZ18" s="204">
        <f t="shared" si="17"/>
        <v>47999.934714185954</v>
      </c>
      <c r="CA18" s="204">
        <f t="shared" si="17"/>
        <v>47999.934714185954</v>
      </c>
      <c r="CB18" s="204">
        <f t="shared" si="17"/>
        <v>47999.934714185954</v>
      </c>
      <c r="CC18" s="204">
        <f t="shared" si="17"/>
        <v>47999.934714185954</v>
      </c>
      <c r="CD18" s="204">
        <f t="shared" si="17"/>
        <v>47999.934714185954</v>
      </c>
      <c r="CE18" s="204">
        <f t="shared" si="17"/>
        <v>47999.934714185954</v>
      </c>
      <c r="CF18" s="204">
        <f t="shared" si="17"/>
        <v>47999.934714185954</v>
      </c>
      <c r="CG18" s="204">
        <f t="shared" si="17"/>
        <v>47999.934714185954</v>
      </c>
      <c r="CH18" s="204">
        <f t="shared" si="18"/>
        <v>47999.934714185954</v>
      </c>
      <c r="CI18" s="204">
        <f t="shared" si="18"/>
        <v>47999.934714185954</v>
      </c>
      <c r="CJ18" s="204">
        <f t="shared" si="18"/>
        <v>47999.934714185954</v>
      </c>
      <c r="CK18" s="204">
        <f t="shared" si="18"/>
        <v>47999.934714185954</v>
      </c>
      <c r="CL18" s="204">
        <f t="shared" si="18"/>
        <v>47999.934714185954</v>
      </c>
      <c r="CM18" s="204">
        <f t="shared" si="18"/>
        <v>47999.934714185954</v>
      </c>
      <c r="CN18" s="204">
        <f t="shared" si="18"/>
        <v>47999.934714185954</v>
      </c>
      <c r="CO18" s="204">
        <f t="shared" si="18"/>
        <v>47999.934714185954</v>
      </c>
      <c r="CP18" s="204">
        <f t="shared" si="18"/>
        <v>47999.934714185954</v>
      </c>
      <c r="CQ18" s="204">
        <f t="shared" si="18"/>
        <v>47999.169987601977</v>
      </c>
      <c r="CR18" s="204">
        <f t="shared" si="19"/>
        <v>47999.169987601977</v>
      </c>
      <c r="CS18" s="204">
        <f t="shared" si="19"/>
        <v>47999.169987601977</v>
      </c>
      <c r="CT18" s="204">
        <f t="shared" si="19"/>
        <v>47999.169987601977</v>
      </c>
      <c r="CU18" s="204">
        <f t="shared" si="19"/>
        <v>47999.169987601977</v>
      </c>
      <c r="CV18" s="204">
        <f t="shared" si="19"/>
        <v>47999.169987601977</v>
      </c>
      <c r="CW18" s="204">
        <f t="shared" si="19"/>
        <v>47999.169987601977</v>
      </c>
      <c r="CX18" s="204">
        <f t="shared" si="19"/>
        <v>47999.169987601977</v>
      </c>
      <c r="CY18" s="204">
        <f t="shared" si="19"/>
        <v>47999.169987601977</v>
      </c>
      <c r="CZ18" s="204">
        <f t="shared" si="19"/>
        <v>47999.169987601977</v>
      </c>
      <c r="DA18" s="204">
        <f t="shared" si="19"/>
        <v>47999.169987601977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20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20"/>
        <v/>
      </c>
      <c r="I19" s="201" t="str">
        <f t="shared" si="20"/>
        <v/>
      </c>
      <c r="J19" s="201" t="str">
        <f t="shared" si="20"/>
        <v/>
      </c>
      <c r="K19" s="201" t="str">
        <f t="shared" si="20"/>
        <v/>
      </c>
      <c r="L19" s="201" t="str">
        <f t="shared" si="20"/>
        <v/>
      </c>
      <c r="M19" s="201" t="str">
        <f t="shared" si="20"/>
        <v/>
      </c>
      <c r="N19" s="201" t="str">
        <f t="shared" si="20"/>
        <v/>
      </c>
      <c r="O19" s="201" t="str">
        <f t="shared" si="20"/>
        <v/>
      </c>
      <c r="P19" s="201" t="str">
        <f t="shared" si="20"/>
        <v/>
      </c>
      <c r="Q19" s="201" t="str">
        <f t="shared" si="20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20"/>
        <v/>
      </c>
      <c r="U19" s="201" t="str">
        <f t="shared" si="20"/>
        <v/>
      </c>
      <c r="V19" s="201" t="str">
        <f t="shared" si="20"/>
        <v/>
      </c>
      <c r="W19" s="201" t="str">
        <f t="shared" si="20"/>
        <v/>
      </c>
      <c r="X19" s="201" t="str">
        <f t="shared" si="20"/>
        <v/>
      </c>
      <c r="Y19" s="201" t="str">
        <f t="shared" si="20"/>
        <v/>
      </c>
      <c r="Z19" s="201">
        <f t="shared" si="20"/>
        <v>43492.29037853</v>
      </c>
      <c r="AA19" s="201">
        <f t="shared" si="20"/>
        <v>44056.801072445494</v>
      </c>
      <c r="AB19" s="201">
        <f t="shared" si="20"/>
        <v>44621.311766360981</v>
      </c>
      <c r="AC19" s="201">
        <f t="shared" si="20"/>
        <v>45185.822460276468</v>
      </c>
      <c r="AD19" s="201">
        <f t="shared" si="20"/>
        <v>45750.333154191954</v>
      </c>
      <c r="AE19" s="201">
        <f t="shared" si="20"/>
        <v>46314.843848107441</v>
      </c>
      <c r="AF19" s="201">
        <f t="shared" si="20"/>
        <v>46879.354542022935</v>
      </c>
      <c r="AG19" s="201">
        <f t="shared" si="20"/>
        <v>47443.865235938421</v>
      </c>
      <c r="AH19" s="201">
        <f t="shared" si="20"/>
        <v>48008.375929853908</v>
      </c>
      <c r="AI19" s="201">
        <f t="shared" si="20"/>
        <v>48572.886623769395</v>
      </c>
      <c r="AJ19" s="201">
        <f t="shared" si="20"/>
        <v>49137.397317684889</v>
      </c>
      <c r="AK19" s="201">
        <f t="shared" si="20"/>
        <v>49701.908011600375</v>
      </c>
      <c r="AL19" s="201">
        <f t="shared" si="20"/>
        <v>50266.418705515862</v>
      </c>
      <c r="AM19" s="201">
        <f t="shared" si="20"/>
        <v>50830.929399431348</v>
      </c>
      <c r="AN19" s="201">
        <f t="shared" si="20"/>
        <v>51395.440093346842</v>
      </c>
      <c r="AO19" s="201">
        <f t="shared" si="20"/>
        <v>51959.950787262329</v>
      </c>
      <c r="AP19" s="201">
        <f t="shared" si="20"/>
        <v>52524.461481177816</v>
      </c>
      <c r="AQ19" s="201">
        <f t="shared" si="20"/>
        <v>53088.972175093302</v>
      </c>
      <c r="AR19" s="201">
        <f t="shared" si="20"/>
        <v>53653.482869008789</v>
      </c>
      <c r="AS19" s="201">
        <f t="shared" si="20"/>
        <v>54217.993562924283</v>
      </c>
      <c r="AT19" s="201">
        <f t="shared" si="20"/>
        <v>54782.504256839769</v>
      </c>
      <c r="AU19" s="201">
        <f t="shared" si="20"/>
        <v>55347.014950755256</v>
      </c>
      <c r="AV19" s="201">
        <f t="shared" si="20"/>
        <v>55911.52564467075</v>
      </c>
      <c r="AW19" s="201">
        <f t="shared" si="20"/>
        <v>56476.036338586237</v>
      </c>
      <c r="AX19" s="201">
        <f t="shared" si="20"/>
        <v>57040.547032501723</v>
      </c>
      <c r="AY19" s="201">
        <f t="shared" si="20"/>
        <v>57605.05772641721</v>
      </c>
      <c r="AZ19" s="201">
        <f t="shared" si="20"/>
        <v>58169.568420332696</v>
      </c>
      <c r="BA19" s="201">
        <f t="shared" si="20"/>
        <v>58734.07911424819</v>
      </c>
      <c r="BB19" s="201">
        <f t="shared" si="20"/>
        <v>59298.589808163677</v>
      </c>
      <c r="BC19" s="201">
        <f t="shared" si="20"/>
        <v>59863.100502079164</v>
      </c>
      <c r="BD19" s="201">
        <f t="shared" si="20"/>
        <v>60427.611195994657</v>
      </c>
      <c r="BE19" s="201">
        <f t="shared" si="20"/>
        <v>60992.121889910137</v>
      </c>
      <c r="BF19" s="201">
        <f t="shared" si="20"/>
        <v>61556.632583825631</v>
      </c>
      <c r="BG19" s="201">
        <f t="shared" si="20"/>
        <v>62121.143277741117</v>
      </c>
      <c r="BH19" s="201">
        <f t="shared" si="20"/>
        <v>62685.653971656604</v>
      </c>
      <c r="BI19" s="201">
        <f t="shared" si="20"/>
        <v>63250.164665572098</v>
      </c>
      <c r="BJ19" s="201">
        <f t="shared" si="20"/>
        <v>63814.675359487577</v>
      </c>
      <c r="BK19" s="201">
        <f t="shared" si="20"/>
        <v>66371.116468737484</v>
      </c>
      <c r="BL19" s="201">
        <f t="shared" si="20"/>
        <v>69591.534383098857</v>
      </c>
      <c r="BM19" s="201">
        <f t="shared" si="20"/>
        <v>72811.95229746023</v>
      </c>
      <c r="BN19" s="201">
        <f t="shared" si="20"/>
        <v>76032.370211821588</v>
      </c>
      <c r="BO19" s="201">
        <f t="shared" si="20"/>
        <v>79252.788126182961</v>
      </c>
      <c r="BP19" s="201">
        <f t="shared" si="20"/>
        <v>82473.206040544334</v>
      </c>
      <c r="BQ19" s="201">
        <f t="shared" si="20"/>
        <v>85693.623954905706</v>
      </c>
      <c r="BR19" s="201">
        <f t="shared" si="20"/>
        <v>88914.041869267079</v>
      </c>
      <c r="BS19" s="201">
        <f t="shared" ref="BS19:DA19" si="21">IF(BS$22&lt;$E$24,IF(BS$22&lt;$D$24,IF(BS$22&lt;$C$24,IF(BS$22&lt;$B$24,"",$B$16+(BS$22-$B$24)*(($C$16-$B$16)/($C$24-$B$24))),$C$16+(BS$22-$C$24)*(($D$16-$C$16)/($D$24-$C$24))),$D$16+(BS$22-$D$24)*(($E$16-$D$16)/($E$24-$D$24))),"")</f>
        <v>92134.459783628452</v>
      </c>
      <c r="BT19" s="201">
        <f t="shared" si="21"/>
        <v>95354.87769798981</v>
      </c>
      <c r="BU19" s="201">
        <f t="shared" si="21"/>
        <v>98575.295612351183</v>
      </c>
      <c r="BV19" s="201">
        <f t="shared" si="21"/>
        <v>101795.71352671256</v>
      </c>
      <c r="BW19" s="201">
        <f t="shared" si="21"/>
        <v>105016.13144107393</v>
      </c>
      <c r="BX19" s="201">
        <f t="shared" si="21"/>
        <v>108236.5493554353</v>
      </c>
      <c r="BY19" s="201">
        <f t="shared" si="21"/>
        <v>111456.96726979667</v>
      </c>
      <c r="BZ19" s="201">
        <f t="shared" si="21"/>
        <v>114677.38518415805</v>
      </c>
      <c r="CA19" s="201">
        <f t="shared" si="21"/>
        <v>117897.80309851942</v>
      </c>
      <c r="CB19" s="201">
        <f t="shared" si="21"/>
        <v>121118.22101288078</v>
      </c>
      <c r="CC19" s="201">
        <f t="shared" si="21"/>
        <v>124338.63892724215</v>
      </c>
      <c r="CD19" s="201">
        <f t="shared" si="21"/>
        <v>127559.05684160352</v>
      </c>
      <c r="CE19" s="201">
        <f t="shared" si="21"/>
        <v>130779.47475596488</v>
      </c>
      <c r="CF19" s="201">
        <f t="shared" si="21"/>
        <v>133999.89267032626</v>
      </c>
      <c r="CG19" s="201">
        <f t="shared" si="21"/>
        <v>137220.31058468763</v>
      </c>
      <c r="CH19" s="201">
        <f t="shared" si="21"/>
        <v>140440.728499049</v>
      </c>
      <c r="CI19" s="201">
        <f t="shared" si="21"/>
        <v>143661.14641341037</v>
      </c>
      <c r="CJ19" s="201">
        <f t="shared" si="21"/>
        <v>153520.78942906111</v>
      </c>
      <c r="CK19" s="201">
        <f t="shared" si="21"/>
        <v>165593.50747847496</v>
      </c>
      <c r="CL19" s="201">
        <f t="shared" si="21"/>
        <v>177666.22552788883</v>
      </c>
      <c r="CM19" s="201">
        <f t="shared" si="21"/>
        <v>189738.94357730268</v>
      </c>
      <c r="CN19" s="201">
        <f t="shared" si="21"/>
        <v>201811.66162671655</v>
      </c>
      <c r="CO19" s="201">
        <f t="shared" si="21"/>
        <v>213884.37967613043</v>
      </c>
      <c r="CP19" s="201">
        <f t="shared" si="21"/>
        <v>225957.0977255443</v>
      </c>
      <c r="CQ19" s="201">
        <f t="shared" si="21"/>
        <v>238029.81577495814</v>
      </c>
      <c r="CR19" s="201">
        <f t="shared" si="21"/>
        <v>250102.53382437199</v>
      </c>
      <c r="CS19" s="201">
        <f t="shared" si="21"/>
        <v>262175.25187378586</v>
      </c>
      <c r="CT19" s="201">
        <f t="shared" si="21"/>
        <v>274247.96992319974</v>
      </c>
      <c r="CU19" s="201">
        <f t="shared" si="21"/>
        <v>286320.68797261361</v>
      </c>
      <c r="CV19" s="201">
        <f t="shared" si="21"/>
        <v>298393.40602202748</v>
      </c>
      <c r="CW19" s="201" t="str">
        <f t="shared" si="21"/>
        <v/>
      </c>
      <c r="CX19" s="201" t="str">
        <f t="shared" si="21"/>
        <v/>
      </c>
      <c r="CY19" s="201" t="str">
        <f t="shared" si="21"/>
        <v/>
      </c>
      <c r="CZ19" s="201" t="str">
        <f t="shared" si="21"/>
        <v/>
      </c>
      <c r="DA19" s="201" t="str">
        <f t="shared" si="21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39.5</v>
      </c>
      <c r="C22" s="205">
        <f>C2*100</f>
        <v>33.5</v>
      </c>
      <c r="D22" s="205">
        <f>D2*100</f>
        <v>16.499999999999996</v>
      </c>
      <c r="E22" s="205">
        <f>E2*100</f>
        <v>10.500000000000002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39.5</v>
      </c>
      <c r="C23" s="206">
        <f>SUM($B22:C22)</f>
        <v>73</v>
      </c>
      <c r="D23" s="206">
        <f>SUM($B22:D22)</f>
        <v>89.5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19.75</v>
      </c>
      <c r="C24" s="208">
        <f>B23+(C23-B23)/2</f>
        <v>56.25</v>
      </c>
      <c r="D24" s="208">
        <f>C23+(D23-C23)/2</f>
        <v>81.25</v>
      </c>
      <c r="E24" s="208">
        <f>D23+(E23-D23)/2</f>
        <v>94.75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1637.8612483790453</v>
      </c>
      <c r="C25" s="203">
        <f>Income!C72</f>
        <v>3310.8818669346656</v>
      </c>
      <c r="D25" s="203">
        <f>Income!D72</f>
        <v>2890.7355865918666</v>
      </c>
      <c r="E25" s="203">
        <f>Income!E72</f>
        <v>1825.413865737894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1637.8612483790453</v>
      </c>
      <c r="G25" s="210">
        <f t="shared" ref="F25:U37" si="22">IF(G$22&lt;=$E$24,IF(G$22&lt;=$D$24,IF(G$22&lt;=$C$24,IF(G$22&lt;=$B$24,$B25,$B25+(G$22-$B$24)*($C25-$B25)/($C$24-$B$24)),$C25+(G$22-$C$24)*($D25-$C25)/($D$24-$C$24)),$D25+(G$22-$D$24)*($E25-$D25)/($E$24-$D$24)),$E25)</f>
        <v>1637.8612483790453</v>
      </c>
      <c r="H25" s="210">
        <f t="shared" si="22"/>
        <v>1637.8612483790453</v>
      </c>
      <c r="I25" s="210">
        <f t="shared" si="22"/>
        <v>1637.8612483790453</v>
      </c>
      <c r="J25" s="210">
        <f t="shared" si="22"/>
        <v>1637.8612483790453</v>
      </c>
      <c r="K25" s="210">
        <f t="shared" si="22"/>
        <v>1637.8612483790453</v>
      </c>
      <c r="L25" s="210">
        <f t="shared" si="22"/>
        <v>1637.8612483790453</v>
      </c>
      <c r="M25" s="210">
        <f t="shared" si="22"/>
        <v>1637.8612483790453</v>
      </c>
      <c r="N25" s="210">
        <f t="shared" si="22"/>
        <v>1637.8612483790453</v>
      </c>
      <c r="O25" s="210">
        <f t="shared" si="22"/>
        <v>1637.8612483790453</v>
      </c>
      <c r="P25" s="210">
        <f t="shared" ref="P25:AE37" si="23">IF(P$22&lt;=$E$24,IF(P$22&lt;=$D$24,IF(P$22&lt;=$C$24,IF(P$22&lt;=$B$24,$B25,$B25+(P$22-$B$24)*($C25-$B25)/($C$24-$B$24)),$C25+(P$22-$C$24)*($D25-$C25)/($D$24-$C$24)),$D25+(P$22-$D$24)*($E25-$D25)/($E$24-$D$24)),$E25)</f>
        <v>1637.8612483790453</v>
      </c>
      <c r="Q25" s="210">
        <f t="shared" si="23"/>
        <v>1637.8612483790453</v>
      </c>
      <c r="R25" s="210">
        <f t="shared" si="23"/>
        <v>1637.8612483790453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1637.8612483790453</v>
      </c>
      <c r="T25" s="210">
        <f t="shared" si="23"/>
        <v>1637.8612483790453</v>
      </c>
      <c r="U25" s="210">
        <f t="shared" si="23"/>
        <v>1637.8612483790453</v>
      </c>
      <c r="V25" s="210">
        <f t="shared" si="23"/>
        <v>1637.8612483790453</v>
      </c>
      <c r="W25" s="210">
        <f t="shared" si="23"/>
        <v>1637.8612483790453</v>
      </c>
      <c r="X25" s="210">
        <f t="shared" si="23"/>
        <v>1637.8612483790453</v>
      </c>
      <c r="Y25" s="210">
        <f t="shared" si="23"/>
        <v>1637.8612483790453</v>
      </c>
      <c r="Z25" s="210">
        <f t="shared" ref="Z25:AO37" si="24">IF(Z$22&lt;=$E$24,IF(Z$22&lt;=$D$24,IF(Z$22&lt;=$C$24,IF(Z$22&lt;=$B$24,$B25,$B25+(Z$22-$B$24)*($C25-$B25)/($C$24-$B$24)),$C25+(Z$22-$C$24)*($D25-$C25)/($D$24-$C$24)),$D25+(Z$22-$D$24)*($E25-$D25)/($E$24-$D$24)),$E25)</f>
        <v>1649.320293711618</v>
      </c>
      <c r="AA25" s="210">
        <f t="shared" si="24"/>
        <v>1695.1564750419091</v>
      </c>
      <c r="AB25" s="210">
        <f t="shared" si="24"/>
        <v>1740.9926563721999</v>
      </c>
      <c r="AC25" s="210">
        <f t="shared" si="24"/>
        <v>1786.828837702491</v>
      </c>
      <c r="AD25" s="210">
        <f t="shared" si="24"/>
        <v>1832.6650190327819</v>
      </c>
      <c r="AE25" s="210">
        <f t="shared" si="24"/>
        <v>1878.5012003630729</v>
      </c>
      <c r="AF25" s="210">
        <f t="shared" si="24"/>
        <v>1924.3373816933638</v>
      </c>
      <c r="AG25" s="210">
        <f t="shared" si="24"/>
        <v>1970.1735630236549</v>
      </c>
      <c r="AH25" s="210">
        <f t="shared" si="24"/>
        <v>2016.0097443539457</v>
      </c>
      <c r="AI25" s="210">
        <f t="shared" si="24"/>
        <v>2061.8459256842366</v>
      </c>
      <c r="AJ25" s="210">
        <f t="shared" ref="AJ25:AY37" si="25">IF(AJ$22&lt;=$E$24,IF(AJ$22&lt;=$D$24,IF(AJ$22&lt;=$C$24,IF(AJ$22&lt;=$B$24,$B25,$B25+(AJ$22-$B$24)*($C25-$B25)/($C$24-$B$24)),$C25+(AJ$22-$C$24)*($D25-$C25)/($D$24-$C$24)),$D25+(AJ$22-$D$24)*($E25-$D25)/($E$24-$D$24)),$E25)</f>
        <v>2107.6821070145279</v>
      </c>
      <c r="AK25" s="210">
        <f t="shared" si="25"/>
        <v>2153.5182883448188</v>
      </c>
      <c r="AL25" s="210">
        <f t="shared" si="25"/>
        <v>2199.3544696751096</v>
      </c>
      <c r="AM25" s="210">
        <f t="shared" si="25"/>
        <v>2245.1906510054005</v>
      </c>
      <c r="AN25" s="210">
        <f t="shared" si="25"/>
        <v>2291.0268323356913</v>
      </c>
      <c r="AO25" s="210">
        <f t="shared" si="25"/>
        <v>2336.8630136659826</v>
      </c>
      <c r="AP25" s="210">
        <f t="shared" si="25"/>
        <v>2382.6991949962735</v>
      </c>
      <c r="AQ25" s="210">
        <f t="shared" si="25"/>
        <v>2428.5353763265643</v>
      </c>
      <c r="AR25" s="210">
        <f t="shared" si="25"/>
        <v>2474.3715576568557</v>
      </c>
      <c r="AS25" s="210">
        <f t="shared" si="25"/>
        <v>2520.2077389871465</v>
      </c>
      <c r="AT25" s="210">
        <f t="shared" ref="AT25:BI37" si="26">IF(AT$22&lt;=$E$24,IF(AT$22&lt;=$D$24,IF(AT$22&lt;=$C$24,IF(AT$22&lt;=$B$24,$B25,$B25+(AT$22-$B$24)*($C25-$B25)/($C$24-$B$24)),$C25+(AT$22-$C$24)*($D25-$C25)/($D$24-$C$24)),$D25+(AT$22-$D$24)*($E25-$D25)/($E$24-$D$24)),$E25)</f>
        <v>2566.0439203174374</v>
      </c>
      <c r="AU25" s="210">
        <f t="shared" si="26"/>
        <v>2611.8801016477282</v>
      </c>
      <c r="AV25" s="210">
        <f t="shared" si="26"/>
        <v>2657.7162829780191</v>
      </c>
      <c r="AW25" s="210">
        <f t="shared" si="26"/>
        <v>2703.5524643083104</v>
      </c>
      <c r="AX25" s="210">
        <f t="shared" si="26"/>
        <v>2749.3886456386012</v>
      </c>
      <c r="AY25" s="210">
        <f t="shared" si="26"/>
        <v>2795.2248269688926</v>
      </c>
      <c r="AZ25" s="210">
        <f t="shared" si="26"/>
        <v>2841.0610082991834</v>
      </c>
      <c r="BA25" s="210">
        <f t="shared" si="26"/>
        <v>2886.8971896294743</v>
      </c>
      <c r="BB25" s="210">
        <f t="shared" si="26"/>
        <v>2932.7333709597651</v>
      </c>
      <c r="BC25" s="210">
        <f t="shared" si="26"/>
        <v>2978.569552290056</v>
      </c>
      <c r="BD25" s="210">
        <f t="shared" ref="BD25:BS37" si="27">IF(BD$22&lt;=$E$24,IF(BD$22&lt;=$D$24,IF(BD$22&lt;=$C$24,IF(BD$22&lt;=$B$24,$B25,$B25+(BD$22-$B$24)*($C25-$B25)/($C$24-$B$24)),$C25+(BD$22-$C$24)*($D25-$C25)/($D$24-$C$24)),$D25+(BD$22-$D$24)*($E25-$D25)/($E$24-$D$24)),$E25)</f>
        <v>3024.4057336203468</v>
      </c>
      <c r="BE25" s="210">
        <f t="shared" si="27"/>
        <v>3070.2419149506377</v>
      </c>
      <c r="BF25" s="210">
        <f t="shared" si="27"/>
        <v>3116.078096280929</v>
      </c>
      <c r="BG25" s="210">
        <f t="shared" si="27"/>
        <v>3161.9142776112199</v>
      </c>
      <c r="BH25" s="210">
        <f t="shared" si="27"/>
        <v>3207.7504589415112</v>
      </c>
      <c r="BI25" s="210">
        <f t="shared" si="27"/>
        <v>3253.586640271802</v>
      </c>
      <c r="BJ25" s="210">
        <f t="shared" si="27"/>
        <v>3299.4228216020929</v>
      </c>
      <c r="BK25" s="210">
        <f t="shared" si="27"/>
        <v>3298.2774785243814</v>
      </c>
      <c r="BL25" s="210">
        <f t="shared" si="27"/>
        <v>3281.4716273106696</v>
      </c>
      <c r="BM25" s="210">
        <f t="shared" si="27"/>
        <v>3264.6657760969579</v>
      </c>
      <c r="BN25" s="210">
        <f t="shared" ref="BN25:CC37" si="28">IF(BN$22&lt;=$E$24,IF(BN$22&lt;=$D$24,IF(BN$22&lt;=$C$24,IF(BN$22&lt;=$B$24,$B25,$B25+(BN$22-$B$24)*($C25-$B25)/($C$24-$B$24)),$C25+(BN$22-$C$24)*($D25-$C25)/($D$24-$C$24)),$D25+(BN$22-$D$24)*($E25-$D25)/($E$24-$D$24)),$E25)</f>
        <v>3247.8599248832456</v>
      </c>
      <c r="BO25" s="210">
        <f t="shared" si="28"/>
        <v>3231.0540736695339</v>
      </c>
      <c r="BP25" s="210">
        <f t="shared" si="28"/>
        <v>3214.2482224558216</v>
      </c>
      <c r="BQ25" s="210">
        <f t="shared" si="28"/>
        <v>3197.4423712421099</v>
      </c>
      <c r="BR25" s="210">
        <f t="shared" si="28"/>
        <v>3180.6365200283981</v>
      </c>
      <c r="BS25" s="210">
        <f t="shared" si="28"/>
        <v>3163.8306688146859</v>
      </c>
      <c r="BT25" s="210">
        <f t="shared" si="28"/>
        <v>3147.0248176009741</v>
      </c>
      <c r="BU25" s="210">
        <f t="shared" si="28"/>
        <v>3130.2189663872618</v>
      </c>
      <c r="BV25" s="210">
        <f t="shared" si="28"/>
        <v>3113.4131151735501</v>
      </c>
      <c r="BW25" s="210">
        <f t="shared" si="28"/>
        <v>3096.6072639598383</v>
      </c>
      <c r="BX25" s="210">
        <f t="shared" ref="BX25:CM37" si="29">IF(BX$22&lt;=$E$24,IF(BX$22&lt;=$D$24,IF(BX$22&lt;=$C$24,IF(BX$22&lt;=$B$24,$B25,$B25+(BX$22-$B$24)*($C25-$B25)/($C$24-$B$24)),$C25+(BX$22-$C$24)*($D25-$C25)/($D$24-$C$24)),$D25+(BX$22-$D$24)*($E25-$D25)/($E$24-$D$24)),$E25)</f>
        <v>3079.8014127461261</v>
      </c>
      <c r="BY25" s="210">
        <f t="shared" si="29"/>
        <v>3062.9955615324143</v>
      </c>
      <c r="BZ25" s="210">
        <f t="shared" si="29"/>
        <v>3046.1897103187021</v>
      </c>
      <c r="CA25" s="210">
        <f t="shared" si="29"/>
        <v>3029.3838591049903</v>
      </c>
      <c r="CB25" s="210">
        <f t="shared" si="29"/>
        <v>3012.5780078912785</v>
      </c>
      <c r="CC25" s="210">
        <f t="shared" si="29"/>
        <v>2995.7721566775663</v>
      </c>
      <c r="CD25" s="210">
        <f t="shared" si="29"/>
        <v>2978.9663054638545</v>
      </c>
      <c r="CE25" s="210">
        <f t="shared" si="29"/>
        <v>2962.1604542501427</v>
      </c>
      <c r="CF25" s="210">
        <f t="shared" si="29"/>
        <v>2945.3546030364305</v>
      </c>
      <c r="CG25" s="210">
        <f t="shared" si="29"/>
        <v>2928.5487518227187</v>
      </c>
      <c r="CH25" s="210">
        <f t="shared" ref="CH25:CW37" si="30">IF(CH$22&lt;=$E$24,IF(CH$22&lt;=$D$24,IF(CH$22&lt;=$C$24,IF(CH$22&lt;=$B$24,$B25,$B25+(CH$22-$B$24)*($C25-$B25)/($C$24-$B$24)),$C25+(CH$22-$C$24)*($D25-$C25)/($D$24-$C$24)),$D25+(CH$22-$D$24)*($E25-$D25)/($E$24-$D$24)),$E25)</f>
        <v>2911.7429006090065</v>
      </c>
      <c r="CI25" s="210">
        <f t="shared" si="30"/>
        <v>2894.9370493952947</v>
      </c>
      <c r="CJ25" s="210">
        <f t="shared" si="30"/>
        <v>2831.5510465444236</v>
      </c>
      <c r="CK25" s="210">
        <f t="shared" si="30"/>
        <v>2752.6383264811666</v>
      </c>
      <c r="CL25" s="210">
        <f t="shared" si="30"/>
        <v>2673.7256064179091</v>
      </c>
      <c r="CM25" s="210">
        <f t="shared" si="30"/>
        <v>2594.8128863546522</v>
      </c>
      <c r="CN25" s="210">
        <f t="shared" si="30"/>
        <v>2515.9001662913947</v>
      </c>
      <c r="CO25" s="210">
        <f t="shared" si="30"/>
        <v>2436.9874462281377</v>
      </c>
      <c r="CP25" s="210">
        <f t="shared" si="30"/>
        <v>2358.0747261648803</v>
      </c>
      <c r="CQ25" s="210">
        <f t="shared" si="30"/>
        <v>2279.1620061016229</v>
      </c>
      <c r="CR25" s="210">
        <f t="shared" ref="CR25:DA37" si="31">IF(CR$22&lt;=$E$24,IF(CR$22&lt;=$D$24,IF(CR$22&lt;=$C$24,IF(CR$22&lt;=$B$24,$B25,$B25+(CR$22-$B$24)*($C25-$B25)/($C$24-$B$24)),$C25+(CR$22-$C$24)*($D25-$C25)/($D$24-$C$24)),$D25+(CR$22-$D$24)*($E25-$D25)/($E$24-$D$24)),$E25)</f>
        <v>2200.2492860383659</v>
      </c>
      <c r="CS25" s="210">
        <f t="shared" si="31"/>
        <v>2121.3365659751084</v>
      </c>
      <c r="CT25" s="210">
        <f t="shared" si="31"/>
        <v>2042.4238459118515</v>
      </c>
      <c r="CU25" s="210">
        <f t="shared" si="31"/>
        <v>1963.511125848594</v>
      </c>
      <c r="CV25" s="210">
        <f t="shared" si="31"/>
        <v>1884.598405785337</v>
      </c>
      <c r="CW25" s="210">
        <f t="shared" si="31"/>
        <v>1825.413865737894</v>
      </c>
      <c r="CX25" s="210">
        <f t="shared" si="31"/>
        <v>1825.413865737894</v>
      </c>
      <c r="CY25" s="210">
        <f t="shared" si="31"/>
        <v>1825.413865737894</v>
      </c>
      <c r="CZ25" s="210">
        <f t="shared" si="31"/>
        <v>1825.413865737894</v>
      </c>
      <c r="DA25" s="210">
        <f t="shared" si="31"/>
        <v>1825.413865737894</v>
      </c>
    </row>
    <row r="26" spans="1:105">
      <c r="A26" s="201" t="str">
        <f>Income!A73</f>
        <v>Own crops sold</v>
      </c>
      <c r="B26" s="203">
        <f>Income!B73</f>
        <v>25.840100024676357</v>
      </c>
      <c r="C26" s="203">
        <f>Income!C73</f>
        <v>1526.206542727313</v>
      </c>
      <c r="D26" s="203">
        <f>Income!D73</f>
        <v>10861.045216721113</v>
      </c>
      <c r="E26" s="203">
        <f>Income!E73</f>
        <v>22116.438696656045</v>
      </c>
      <c r="F26" s="210">
        <f t="shared" si="22"/>
        <v>25.840100024676357</v>
      </c>
      <c r="G26" s="210">
        <f t="shared" si="22"/>
        <v>25.840100024676357</v>
      </c>
      <c r="H26" s="210">
        <f t="shared" si="22"/>
        <v>25.840100024676357</v>
      </c>
      <c r="I26" s="210">
        <f t="shared" si="22"/>
        <v>25.840100024676357</v>
      </c>
      <c r="J26" s="210">
        <f t="shared" si="22"/>
        <v>25.840100024676357</v>
      </c>
      <c r="K26" s="210">
        <f t="shared" si="22"/>
        <v>25.840100024676357</v>
      </c>
      <c r="L26" s="210">
        <f t="shared" si="22"/>
        <v>25.840100024676357</v>
      </c>
      <c r="M26" s="210">
        <f t="shared" si="22"/>
        <v>25.840100024676357</v>
      </c>
      <c r="N26" s="210">
        <f t="shared" si="22"/>
        <v>25.840100024676357</v>
      </c>
      <c r="O26" s="210">
        <f t="shared" si="22"/>
        <v>25.840100024676357</v>
      </c>
      <c r="P26" s="210">
        <f t="shared" si="23"/>
        <v>25.840100024676357</v>
      </c>
      <c r="Q26" s="210">
        <f t="shared" si="23"/>
        <v>25.840100024676357</v>
      </c>
      <c r="R26" s="210">
        <f t="shared" si="23"/>
        <v>25.840100024676357</v>
      </c>
      <c r="S26" s="210">
        <f t="shared" si="23"/>
        <v>25.840100024676357</v>
      </c>
      <c r="T26" s="210">
        <f t="shared" si="23"/>
        <v>25.840100024676357</v>
      </c>
      <c r="U26" s="210">
        <f t="shared" si="23"/>
        <v>25.840100024676357</v>
      </c>
      <c r="V26" s="210">
        <f t="shared" si="23"/>
        <v>25.840100024676357</v>
      </c>
      <c r="W26" s="210">
        <f t="shared" si="23"/>
        <v>25.840100024676357</v>
      </c>
      <c r="X26" s="210">
        <f t="shared" si="23"/>
        <v>25.840100024676357</v>
      </c>
      <c r="Y26" s="210">
        <f t="shared" si="23"/>
        <v>25.840100024676357</v>
      </c>
      <c r="Z26" s="210">
        <f t="shared" si="24"/>
        <v>36.116582508940994</v>
      </c>
      <c r="AA26" s="210">
        <f t="shared" si="24"/>
        <v>77.222512445999527</v>
      </c>
      <c r="AB26" s="210">
        <f t="shared" si="24"/>
        <v>118.32844238305807</v>
      </c>
      <c r="AC26" s="210">
        <f t="shared" si="24"/>
        <v>159.43437232011661</v>
      </c>
      <c r="AD26" s="210">
        <f t="shared" si="24"/>
        <v>200.54030225717517</v>
      </c>
      <c r="AE26" s="210">
        <f t="shared" si="24"/>
        <v>241.64623219423368</v>
      </c>
      <c r="AF26" s="210">
        <f t="shared" si="24"/>
        <v>282.75216213129221</v>
      </c>
      <c r="AG26" s="210">
        <f t="shared" si="24"/>
        <v>323.85809206835074</v>
      </c>
      <c r="AH26" s="210">
        <f t="shared" si="24"/>
        <v>364.96402200540933</v>
      </c>
      <c r="AI26" s="210">
        <f t="shared" si="24"/>
        <v>406.06995194246787</v>
      </c>
      <c r="AJ26" s="210">
        <f t="shared" si="25"/>
        <v>447.1758818795264</v>
      </c>
      <c r="AK26" s="210">
        <f t="shared" si="25"/>
        <v>488.28181181658488</v>
      </c>
      <c r="AL26" s="210">
        <f t="shared" si="25"/>
        <v>529.38774175364347</v>
      </c>
      <c r="AM26" s="210">
        <f t="shared" si="25"/>
        <v>570.49367169070194</v>
      </c>
      <c r="AN26" s="210">
        <f t="shared" si="25"/>
        <v>611.59960162776053</v>
      </c>
      <c r="AO26" s="210">
        <f t="shared" si="25"/>
        <v>652.70553156481901</v>
      </c>
      <c r="AP26" s="210">
        <f t="shared" si="25"/>
        <v>693.8114615018776</v>
      </c>
      <c r="AQ26" s="210">
        <f t="shared" si="25"/>
        <v>734.91739143893619</v>
      </c>
      <c r="AR26" s="210">
        <f t="shared" si="25"/>
        <v>776.02332137599467</v>
      </c>
      <c r="AS26" s="210">
        <f t="shared" si="25"/>
        <v>817.12925131305326</v>
      </c>
      <c r="AT26" s="210">
        <f t="shared" si="26"/>
        <v>858.23518125011174</v>
      </c>
      <c r="AU26" s="210">
        <f t="shared" si="26"/>
        <v>899.34111118717021</v>
      </c>
      <c r="AV26" s="210">
        <f t="shared" si="26"/>
        <v>940.4470411242288</v>
      </c>
      <c r="AW26" s="210">
        <f t="shared" si="26"/>
        <v>981.55297106128739</v>
      </c>
      <c r="AX26" s="210">
        <f t="shared" si="26"/>
        <v>1022.658900998346</v>
      </c>
      <c r="AY26" s="210">
        <f t="shared" si="26"/>
        <v>1063.7648309354045</v>
      </c>
      <c r="AZ26" s="210">
        <f t="shared" si="26"/>
        <v>1104.8707608724628</v>
      </c>
      <c r="BA26" s="210">
        <f t="shared" si="26"/>
        <v>1145.9766908095214</v>
      </c>
      <c r="BB26" s="210">
        <f t="shared" si="26"/>
        <v>1187.08262074658</v>
      </c>
      <c r="BC26" s="210">
        <f t="shared" si="26"/>
        <v>1228.1885506836386</v>
      </c>
      <c r="BD26" s="210">
        <f t="shared" si="27"/>
        <v>1269.2944806206972</v>
      </c>
      <c r="BE26" s="210">
        <f t="shared" si="27"/>
        <v>1310.4004105577558</v>
      </c>
      <c r="BF26" s="210">
        <f t="shared" si="27"/>
        <v>1351.5063404948141</v>
      </c>
      <c r="BG26" s="210">
        <f t="shared" si="27"/>
        <v>1392.6122704318727</v>
      </c>
      <c r="BH26" s="210">
        <f t="shared" si="27"/>
        <v>1433.7182003689313</v>
      </c>
      <c r="BI26" s="210">
        <f t="shared" si="27"/>
        <v>1474.8241303059899</v>
      </c>
      <c r="BJ26" s="210">
        <f t="shared" si="27"/>
        <v>1515.9300602430485</v>
      </c>
      <c r="BK26" s="210">
        <f t="shared" si="27"/>
        <v>1806.2517029471269</v>
      </c>
      <c r="BL26" s="210">
        <f t="shared" si="27"/>
        <v>2179.6452499068791</v>
      </c>
      <c r="BM26" s="210">
        <f t="shared" si="27"/>
        <v>2553.0387968666309</v>
      </c>
      <c r="BN26" s="210">
        <f t="shared" si="28"/>
        <v>2926.4323438263827</v>
      </c>
      <c r="BO26" s="210">
        <f t="shared" si="28"/>
        <v>3299.825890786135</v>
      </c>
      <c r="BP26" s="210">
        <f t="shared" si="28"/>
        <v>3673.2194377458873</v>
      </c>
      <c r="BQ26" s="210">
        <f t="shared" si="28"/>
        <v>4046.6129847056391</v>
      </c>
      <c r="BR26" s="210">
        <f t="shared" si="28"/>
        <v>4420.0065316653909</v>
      </c>
      <c r="BS26" s="210">
        <f t="shared" si="28"/>
        <v>4793.4000786251427</v>
      </c>
      <c r="BT26" s="210">
        <f t="shared" si="28"/>
        <v>5166.7936255848945</v>
      </c>
      <c r="BU26" s="210">
        <f t="shared" si="28"/>
        <v>5540.1871725446463</v>
      </c>
      <c r="BV26" s="210">
        <f t="shared" si="28"/>
        <v>5913.5807195043981</v>
      </c>
      <c r="BW26" s="210">
        <f t="shared" si="28"/>
        <v>6286.9742664641499</v>
      </c>
      <c r="BX26" s="210">
        <f t="shared" si="29"/>
        <v>6660.3678134239026</v>
      </c>
      <c r="BY26" s="210">
        <f t="shared" si="29"/>
        <v>7033.7613603836544</v>
      </c>
      <c r="BZ26" s="210">
        <f t="shared" si="29"/>
        <v>7407.1549073434062</v>
      </c>
      <c r="CA26" s="210">
        <f t="shared" si="29"/>
        <v>7780.548454303158</v>
      </c>
      <c r="CB26" s="210">
        <f t="shared" si="29"/>
        <v>8153.9420012629098</v>
      </c>
      <c r="CC26" s="210">
        <f t="shared" si="29"/>
        <v>8527.3355482226634</v>
      </c>
      <c r="CD26" s="210">
        <f t="shared" si="29"/>
        <v>8900.7290951824143</v>
      </c>
      <c r="CE26" s="210">
        <f t="shared" si="29"/>
        <v>9274.122642142167</v>
      </c>
      <c r="CF26" s="210">
        <f t="shared" si="29"/>
        <v>9647.5161891019179</v>
      </c>
      <c r="CG26" s="210">
        <f t="shared" si="29"/>
        <v>10020.909736061671</v>
      </c>
      <c r="CH26" s="210">
        <f t="shared" si="30"/>
        <v>10394.303283021423</v>
      </c>
      <c r="CI26" s="210">
        <f t="shared" si="30"/>
        <v>10767.696829981174</v>
      </c>
      <c r="CJ26" s="210">
        <f t="shared" si="30"/>
        <v>11486.344854495277</v>
      </c>
      <c r="CK26" s="210">
        <f t="shared" si="30"/>
        <v>12320.077704860827</v>
      </c>
      <c r="CL26" s="210">
        <f t="shared" si="30"/>
        <v>13153.810555226377</v>
      </c>
      <c r="CM26" s="210">
        <f t="shared" si="30"/>
        <v>13987.543405591929</v>
      </c>
      <c r="CN26" s="210">
        <f t="shared" si="30"/>
        <v>14821.276255957478</v>
      </c>
      <c r="CO26" s="210">
        <f t="shared" si="30"/>
        <v>15655.009106323028</v>
      </c>
      <c r="CP26" s="210">
        <f t="shared" si="30"/>
        <v>16488.74195668858</v>
      </c>
      <c r="CQ26" s="210">
        <f t="shared" si="30"/>
        <v>17322.474807054128</v>
      </c>
      <c r="CR26" s="210">
        <f t="shared" si="31"/>
        <v>18156.20765741968</v>
      </c>
      <c r="CS26" s="210">
        <f t="shared" si="31"/>
        <v>18989.940507785232</v>
      </c>
      <c r="CT26" s="210">
        <f t="shared" si="31"/>
        <v>19823.67335815078</v>
      </c>
      <c r="CU26" s="210">
        <f t="shared" si="31"/>
        <v>20657.406208516331</v>
      </c>
      <c r="CV26" s="210">
        <f t="shared" si="31"/>
        <v>21491.139058881883</v>
      </c>
      <c r="CW26" s="210">
        <f t="shared" si="31"/>
        <v>22116.438696656045</v>
      </c>
      <c r="CX26" s="210">
        <f t="shared" si="31"/>
        <v>22116.438696656045</v>
      </c>
      <c r="CY26" s="210">
        <f t="shared" si="31"/>
        <v>22116.438696656045</v>
      </c>
      <c r="CZ26" s="210">
        <f t="shared" si="31"/>
        <v>22116.438696656045</v>
      </c>
      <c r="DA26" s="210">
        <f t="shared" si="31"/>
        <v>22116.438696656045</v>
      </c>
    </row>
    <row r="27" spans="1:105">
      <c r="A27" s="201" t="str">
        <f>Income!A74</f>
        <v>Animal products consumed</v>
      </c>
      <c r="B27" s="203">
        <f>Income!B74</f>
        <v>600.96174511333197</v>
      </c>
      <c r="C27" s="203">
        <f>Income!C74</f>
        <v>1095.5690994329716</v>
      </c>
      <c r="D27" s="203">
        <f>Income!D74</f>
        <v>1916.6340270102087</v>
      </c>
      <c r="E27" s="203">
        <f>Income!E74</f>
        <v>2192.2857565535119</v>
      </c>
      <c r="F27" s="210">
        <f t="shared" si="22"/>
        <v>600.96174511333197</v>
      </c>
      <c r="G27" s="210">
        <f t="shared" si="22"/>
        <v>600.96174511333197</v>
      </c>
      <c r="H27" s="210">
        <f t="shared" si="22"/>
        <v>600.96174511333197</v>
      </c>
      <c r="I27" s="210">
        <f t="shared" si="22"/>
        <v>600.96174511333197</v>
      </c>
      <c r="J27" s="210">
        <f t="shared" si="22"/>
        <v>600.96174511333197</v>
      </c>
      <c r="K27" s="210">
        <f t="shared" si="22"/>
        <v>600.96174511333197</v>
      </c>
      <c r="L27" s="210">
        <f t="shared" si="22"/>
        <v>600.96174511333197</v>
      </c>
      <c r="M27" s="210">
        <f t="shared" si="22"/>
        <v>600.96174511333197</v>
      </c>
      <c r="N27" s="210">
        <f t="shared" si="22"/>
        <v>600.96174511333197</v>
      </c>
      <c r="O27" s="210">
        <f t="shared" si="22"/>
        <v>600.96174511333197</v>
      </c>
      <c r="P27" s="210">
        <f t="shared" si="23"/>
        <v>600.96174511333197</v>
      </c>
      <c r="Q27" s="210">
        <f t="shared" si="23"/>
        <v>600.96174511333197</v>
      </c>
      <c r="R27" s="210">
        <f t="shared" si="23"/>
        <v>600.96174511333197</v>
      </c>
      <c r="S27" s="210">
        <f t="shared" si="23"/>
        <v>600.96174511333197</v>
      </c>
      <c r="T27" s="210">
        <f t="shared" si="23"/>
        <v>600.96174511333197</v>
      </c>
      <c r="U27" s="210">
        <f t="shared" si="23"/>
        <v>600.96174511333197</v>
      </c>
      <c r="V27" s="210">
        <f t="shared" si="23"/>
        <v>600.96174511333197</v>
      </c>
      <c r="W27" s="210">
        <f t="shared" si="23"/>
        <v>600.96174511333197</v>
      </c>
      <c r="X27" s="210">
        <f t="shared" si="23"/>
        <v>600.96174511333197</v>
      </c>
      <c r="Y27" s="210">
        <f t="shared" si="23"/>
        <v>600.96174511333197</v>
      </c>
      <c r="Z27" s="210">
        <f t="shared" si="24"/>
        <v>604.34946671826106</v>
      </c>
      <c r="AA27" s="210">
        <f t="shared" si="24"/>
        <v>617.90035313797716</v>
      </c>
      <c r="AB27" s="210">
        <f t="shared" si="24"/>
        <v>631.45123955769327</v>
      </c>
      <c r="AC27" s="210">
        <f t="shared" si="24"/>
        <v>645.00212597740949</v>
      </c>
      <c r="AD27" s="210">
        <f t="shared" si="24"/>
        <v>658.5530123971256</v>
      </c>
      <c r="AE27" s="210">
        <f t="shared" si="24"/>
        <v>672.10389881684182</v>
      </c>
      <c r="AF27" s="210">
        <f t="shared" si="24"/>
        <v>685.65478523655793</v>
      </c>
      <c r="AG27" s="210">
        <f t="shared" si="24"/>
        <v>699.20567165627403</v>
      </c>
      <c r="AH27" s="210">
        <f t="shared" si="24"/>
        <v>712.75655807599026</v>
      </c>
      <c r="AI27" s="210">
        <f t="shared" si="24"/>
        <v>726.30744449570636</v>
      </c>
      <c r="AJ27" s="210">
        <f t="shared" si="25"/>
        <v>739.85833091542258</v>
      </c>
      <c r="AK27" s="210">
        <f t="shared" si="25"/>
        <v>753.40921733513869</v>
      </c>
      <c r="AL27" s="210">
        <f t="shared" si="25"/>
        <v>766.9601037548548</v>
      </c>
      <c r="AM27" s="210">
        <f t="shared" si="25"/>
        <v>780.51099017457102</v>
      </c>
      <c r="AN27" s="210">
        <f t="shared" si="25"/>
        <v>794.06187659428713</v>
      </c>
      <c r="AO27" s="210">
        <f t="shared" si="25"/>
        <v>807.61276301400335</v>
      </c>
      <c r="AP27" s="210">
        <f t="shared" si="25"/>
        <v>821.16364943371946</v>
      </c>
      <c r="AQ27" s="210">
        <f t="shared" si="25"/>
        <v>834.71453585343568</v>
      </c>
      <c r="AR27" s="210">
        <f t="shared" si="25"/>
        <v>848.26542227315178</v>
      </c>
      <c r="AS27" s="210">
        <f t="shared" si="25"/>
        <v>861.81630869286801</v>
      </c>
      <c r="AT27" s="210">
        <f t="shared" si="26"/>
        <v>875.36719511258411</v>
      </c>
      <c r="AU27" s="210">
        <f t="shared" si="26"/>
        <v>888.91808153230022</v>
      </c>
      <c r="AV27" s="210">
        <f t="shared" si="26"/>
        <v>902.46896795201633</v>
      </c>
      <c r="AW27" s="210">
        <f t="shared" si="26"/>
        <v>916.01985437173255</v>
      </c>
      <c r="AX27" s="210">
        <f t="shared" si="26"/>
        <v>929.57074079144877</v>
      </c>
      <c r="AY27" s="210">
        <f t="shared" si="26"/>
        <v>943.12162721116488</v>
      </c>
      <c r="AZ27" s="210">
        <f t="shared" si="26"/>
        <v>956.67251363088099</v>
      </c>
      <c r="BA27" s="210">
        <f t="shared" si="26"/>
        <v>970.22340005059721</v>
      </c>
      <c r="BB27" s="210">
        <f t="shared" si="26"/>
        <v>983.77428647031331</v>
      </c>
      <c r="BC27" s="210">
        <f t="shared" si="26"/>
        <v>997.32517289002953</v>
      </c>
      <c r="BD27" s="210">
        <f t="shared" si="27"/>
        <v>1010.8760593097456</v>
      </c>
      <c r="BE27" s="210">
        <f t="shared" si="27"/>
        <v>1024.4269457294617</v>
      </c>
      <c r="BF27" s="210">
        <f t="shared" si="27"/>
        <v>1037.9778321491781</v>
      </c>
      <c r="BG27" s="210">
        <f t="shared" si="27"/>
        <v>1051.528718568894</v>
      </c>
      <c r="BH27" s="210">
        <f t="shared" si="27"/>
        <v>1065.0796049886103</v>
      </c>
      <c r="BI27" s="210">
        <f t="shared" si="27"/>
        <v>1078.6304914083264</v>
      </c>
      <c r="BJ27" s="210">
        <f t="shared" si="27"/>
        <v>1092.1813778280425</v>
      </c>
      <c r="BK27" s="210">
        <f t="shared" si="27"/>
        <v>1120.2010472602888</v>
      </c>
      <c r="BL27" s="210">
        <f t="shared" si="27"/>
        <v>1153.0436443633782</v>
      </c>
      <c r="BM27" s="210">
        <f t="shared" si="27"/>
        <v>1185.8862414664677</v>
      </c>
      <c r="BN27" s="210">
        <f t="shared" si="28"/>
        <v>1218.7288385695572</v>
      </c>
      <c r="BO27" s="210">
        <f t="shared" si="28"/>
        <v>1251.5714356726467</v>
      </c>
      <c r="BP27" s="210">
        <f t="shared" si="28"/>
        <v>1284.4140327757361</v>
      </c>
      <c r="BQ27" s="210">
        <f t="shared" si="28"/>
        <v>1317.2566298788256</v>
      </c>
      <c r="BR27" s="210">
        <f t="shared" si="28"/>
        <v>1350.0992269819151</v>
      </c>
      <c r="BS27" s="210">
        <f t="shared" si="28"/>
        <v>1382.9418240850046</v>
      </c>
      <c r="BT27" s="210">
        <f t="shared" si="28"/>
        <v>1415.784421188094</v>
      </c>
      <c r="BU27" s="210">
        <f t="shared" si="28"/>
        <v>1448.6270182911835</v>
      </c>
      <c r="BV27" s="210">
        <f t="shared" si="28"/>
        <v>1481.469615394273</v>
      </c>
      <c r="BW27" s="210">
        <f t="shared" si="28"/>
        <v>1514.3122124973625</v>
      </c>
      <c r="BX27" s="210">
        <f t="shared" si="29"/>
        <v>1547.1548096004522</v>
      </c>
      <c r="BY27" s="210">
        <f t="shared" si="29"/>
        <v>1579.9974067035414</v>
      </c>
      <c r="BZ27" s="210">
        <f t="shared" si="29"/>
        <v>1612.8400038066311</v>
      </c>
      <c r="CA27" s="210">
        <f t="shared" si="29"/>
        <v>1645.6826009097203</v>
      </c>
      <c r="CB27" s="210">
        <f t="shared" si="29"/>
        <v>1678.5251980128101</v>
      </c>
      <c r="CC27" s="210">
        <f t="shared" si="29"/>
        <v>1711.3677951158993</v>
      </c>
      <c r="CD27" s="210">
        <f t="shared" si="29"/>
        <v>1744.210392218989</v>
      </c>
      <c r="CE27" s="210">
        <f t="shared" si="29"/>
        <v>1777.0529893220782</v>
      </c>
      <c r="CF27" s="210">
        <f t="shared" si="29"/>
        <v>1809.8955864251679</v>
      </c>
      <c r="CG27" s="210">
        <f t="shared" si="29"/>
        <v>1842.7381835282574</v>
      </c>
      <c r="CH27" s="210">
        <f t="shared" si="30"/>
        <v>1875.5807806313469</v>
      </c>
      <c r="CI27" s="210">
        <f t="shared" si="30"/>
        <v>1908.4233777344361</v>
      </c>
      <c r="CJ27" s="210">
        <f t="shared" si="30"/>
        <v>1931.9480119848367</v>
      </c>
      <c r="CK27" s="210">
        <f t="shared" si="30"/>
        <v>1952.3666586176739</v>
      </c>
      <c r="CL27" s="210">
        <f t="shared" si="30"/>
        <v>1972.7853052505111</v>
      </c>
      <c r="CM27" s="210">
        <f t="shared" si="30"/>
        <v>1993.2039518833485</v>
      </c>
      <c r="CN27" s="210">
        <f t="shared" si="30"/>
        <v>2013.6225985161857</v>
      </c>
      <c r="CO27" s="210">
        <f t="shared" si="30"/>
        <v>2034.0412451490231</v>
      </c>
      <c r="CP27" s="210">
        <f t="shared" si="30"/>
        <v>2054.4598917818603</v>
      </c>
      <c r="CQ27" s="210">
        <f t="shared" si="30"/>
        <v>2074.8785384146977</v>
      </c>
      <c r="CR27" s="210">
        <f t="shared" si="31"/>
        <v>2095.2971850475346</v>
      </c>
      <c r="CS27" s="210">
        <f t="shared" si="31"/>
        <v>2115.715831680372</v>
      </c>
      <c r="CT27" s="210">
        <f t="shared" si="31"/>
        <v>2136.1344783132095</v>
      </c>
      <c r="CU27" s="210">
        <f t="shared" si="31"/>
        <v>2156.5531249460464</v>
      </c>
      <c r="CV27" s="210">
        <f t="shared" si="31"/>
        <v>2176.9717715788838</v>
      </c>
      <c r="CW27" s="210">
        <f t="shared" si="31"/>
        <v>2192.2857565535119</v>
      </c>
      <c r="CX27" s="210">
        <f t="shared" si="31"/>
        <v>2192.2857565535119</v>
      </c>
      <c r="CY27" s="210">
        <f t="shared" si="31"/>
        <v>2192.2857565535119</v>
      </c>
      <c r="CZ27" s="210">
        <f t="shared" si="31"/>
        <v>2192.2857565535119</v>
      </c>
      <c r="DA27" s="210">
        <f t="shared" si="31"/>
        <v>2192.2857565535119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22"/>
        <v>0</v>
      </c>
      <c r="G28" s="210">
        <f t="shared" si="22"/>
        <v>0</v>
      </c>
      <c r="H28" s="210">
        <f t="shared" si="22"/>
        <v>0</v>
      </c>
      <c r="I28" s="210">
        <f t="shared" si="22"/>
        <v>0</v>
      </c>
      <c r="J28" s="210">
        <f t="shared" si="22"/>
        <v>0</v>
      </c>
      <c r="K28" s="210">
        <f t="shared" si="22"/>
        <v>0</v>
      </c>
      <c r="L28" s="210">
        <f t="shared" si="22"/>
        <v>0</v>
      </c>
      <c r="M28" s="210">
        <f t="shared" si="22"/>
        <v>0</v>
      </c>
      <c r="N28" s="210">
        <f t="shared" si="22"/>
        <v>0</v>
      </c>
      <c r="O28" s="210">
        <f t="shared" si="22"/>
        <v>0</v>
      </c>
      <c r="P28" s="210">
        <f t="shared" si="23"/>
        <v>0</v>
      </c>
      <c r="Q28" s="210">
        <f t="shared" si="23"/>
        <v>0</v>
      </c>
      <c r="R28" s="210">
        <f t="shared" si="23"/>
        <v>0</v>
      </c>
      <c r="S28" s="210">
        <f t="shared" si="23"/>
        <v>0</v>
      </c>
      <c r="T28" s="210">
        <f t="shared" si="23"/>
        <v>0</v>
      </c>
      <c r="U28" s="210">
        <f t="shared" si="23"/>
        <v>0</v>
      </c>
      <c r="V28" s="210">
        <f t="shared" si="23"/>
        <v>0</v>
      </c>
      <c r="W28" s="210">
        <f t="shared" si="23"/>
        <v>0</v>
      </c>
      <c r="X28" s="210">
        <f t="shared" si="23"/>
        <v>0</v>
      </c>
      <c r="Y28" s="210">
        <f t="shared" si="23"/>
        <v>0</v>
      </c>
      <c r="Z28" s="210">
        <f t="shared" si="24"/>
        <v>0</v>
      </c>
      <c r="AA28" s="210">
        <f t="shared" si="24"/>
        <v>0</v>
      </c>
      <c r="AB28" s="210">
        <f t="shared" si="24"/>
        <v>0</v>
      </c>
      <c r="AC28" s="210">
        <f t="shared" si="24"/>
        <v>0</v>
      </c>
      <c r="AD28" s="210">
        <f t="shared" si="24"/>
        <v>0</v>
      </c>
      <c r="AE28" s="210">
        <f t="shared" si="24"/>
        <v>0</v>
      </c>
      <c r="AF28" s="210">
        <f t="shared" si="24"/>
        <v>0</v>
      </c>
      <c r="AG28" s="210">
        <f t="shared" si="24"/>
        <v>0</v>
      </c>
      <c r="AH28" s="210">
        <f t="shared" si="24"/>
        <v>0</v>
      </c>
      <c r="AI28" s="210">
        <f t="shared" si="24"/>
        <v>0</v>
      </c>
      <c r="AJ28" s="210">
        <f t="shared" si="25"/>
        <v>0</v>
      </c>
      <c r="AK28" s="210">
        <f t="shared" si="25"/>
        <v>0</v>
      </c>
      <c r="AL28" s="210">
        <f t="shared" si="25"/>
        <v>0</v>
      </c>
      <c r="AM28" s="210">
        <f t="shared" si="25"/>
        <v>0</v>
      </c>
      <c r="AN28" s="210">
        <f t="shared" si="25"/>
        <v>0</v>
      </c>
      <c r="AO28" s="210">
        <f t="shared" si="25"/>
        <v>0</v>
      </c>
      <c r="AP28" s="210">
        <f t="shared" si="25"/>
        <v>0</v>
      </c>
      <c r="AQ28" s="210">
        <f t="shared" si="25"/>
        <v>0</v>
      </c>
      <c r="AR28" s="210">
        <f t="shared" si="25"/>
        <v>0</v>
      </c>
      <c r="AS28" s="210">
        <f t="shared" si="25"/>
        <v>0</v>
      </c>
      <c r="AT28" s="210">
        <f t="shared" si="26"/>
        <v>0</v>
      </c>
      <c r="AU28" s="210">
        <f t="shared" si="26"/>
        <v>0</v>
      </c>
      <c r="AV28" s="210">
        <f t="shared" si="26"/>
        <v>0</v>
      </c>
      <c r="AW28" s="210">
        <f t="shared" si="26"/>
        <v>0</v>
      </c>
      <c r="AX28" s="210">
        <f t="shared" si="26"/>
        <v>0</v>
      </c>
      <c r="AY28" s="210">
        <f t="shared" si="26"/>
        <v>0</v>
      </c>
      <c r="AZ28" s="210">
        <f t="shared" si="26"/>
        <v>0</v>
      </c>
      <c r="BA28" s="210">
        <f t="shared" si="26"/>
        <v>0</v>
      </c>
      <c r="BB28" s="210">
        <f t="shared" si="26"/>
        <v>0</v>
      </c>
      <c r="BC28" s="210">
        <f t="shared" si="26"/>
        <v>0</v>
      </c>
      <c r="BD28" s="210">
        <f t="shared" si="27"/>
        <v>0</v>
      </c>
      <c r="BE28" s="210">
        <f t="shared" si="27"/>
        <v>0</v>
      </c>
      <c r="BF28" s="210">
        <f t="shared" si="27"/>
        <v>0</v>
      </c>
      <c r="BG28" s="210">
        <f t="shared" si="27"/>
        <v>0</v>
      </c>
      <c r="BH28" s="210">
        <f t="shared" si="27"/>
        <v>0</v>
      </c>
      <c r="BI28" s="210">
        <f t="shared" si="27"/>
        <v>0</v>
      </c>
      <c r="BJ28" s="210">
        <f t="shared" si="27"/>
        <v>0</v>
      </c>
      <c r="BK28" s="210">
        <f t="shared" si="27"/>
        <v>0</v>
      </c>
      <c r="BL28" s="210">
        <f t="shared" si="27"/>
        <v>0</v>
      </c>
      <c r="BM28" s="210">
        <f t="shared" si="27"/>
        <v>0</v>
      </c>
      <c r="BN28" s="210">
        <f t="shared" si="28"/>
        <v>0</v>
      </c>
      <c r="BO28" s="210">
        <f t="shared" si="28"/>
        <v>0</v>
      </c>
      <c r="BP28" s="210">
        <f t="shared" si="28"/>
        <v>0</v>
      </c>
      <c r="BQ28" s="210">
        <f t="shared" si="28"/>
        <v>0</v>
      </c>
      <c r="BR28" s="210">
        <f t="shared" si="28"/>
        <v>0</v>
      </c>
      <c r="BS28" s="210">
        <f t="shared" si="28"/>
        <v>0</v>
      </c>
      <c r="BT28" s="210">
        <f t="shared" si="28"/>
        <v>0</v>
      </c>
      <c r="BU28" s="210">
        <f t="shared" si="28"/>
        <v>0</v>
      </c>
      <c r="BV28" s="210">
        <f t="shared" si="28"/>
        <v>0</v>
      </c>
      <c r="BW28" s="210">
        <f t="shared" si="28"/>
        <v>0</v>
      </c>
      <c r="BX28" s="210">
        <f t="shared" si="29"/>
        <v>0</v>
      </c>
      <c r="BY28" s="210">
        <f t="shared" si="29"/>
        <v>0</v>
      </c>
      <c r="BZ28" s="210">
        <f t="shared" si="29"/>
        <v>0</v>
      </c>
      <c r="CA28" s="210">
        <f t="shared" si="29"/>
        <v>0</v>
      </c>
      <c r="CB28" s="210">
        <f t="shared" si="29"/>
        <v>0</v>
      </c>
      <c r="CC28" s="210">
        <f t="shared" si="29"/>
        <v>0</v>
      </c>
      <c r="CD28" s="210">
        <f t="shared" si="29"/>
        <v>0</v>
      </c>
      <c r="CE28" s="210">
        <f t="shared" si="29"/>
        <v>0</v>
      </c>
      <c r="CF28" s="210">
        <f t="shared" si="29"/>
        <v>0</v>
      </c>
      <c r="CG28" s="210">
        <f t="shared" si="29"/>
        <v>0</v>
      </c>
      <c r="CH28" s="210">
        <f t="shared" si="30"/>
        <v>0</v>
      </c>
      <c r="CI28" s="210">
        <f t="shared" si="30"/>
        <v>0</v>
      </c>
      <c r="CJ28" s="210">
        <f t="shared" si="30"/>
        <v>0</v>
      </c>
      <c r="CK28" s="210">
        <f t="shared" si="30"/>
        <v>0</v>
      </c>
      <c r="CL28" s="210">
        <f t="shared" si="30"/>
        <v>0</v>
      </c>
      <c r="CM28" s="210">
        <f t="shared" si="30"/>
        <v>0</v>
      </c>
      <c r="CN28" s="210">
        <f t="shared" si="30"/>
        <v>0</v>
      </c>
      <c r="CO28" s="210">
        <f t="shared" si="30"/>
        <v>0</v>
      </c>
      <c r="CP28" s="210">
        <f t="shared" si="30"/>
        <v>0</v>
      </c>
      <c r="CQ28" s="210">
        <f t="shared" si="30"/>
        <v>0</v>
      </c>
      <c r="CR28" s="210">
        <f t="shared" si="31"/>
        <v>0</v>
      </c>
      <c r="CS28" s="210">
        <f t="shared" si="31"/>
        <v>0</v>
      </c>
      <c r="CT28" s="210">
        <f t="shared" si="31"/>
        <v>0</v>
      </c>
      <c r="CU28" s="210">
        <f t="shared" si="31"/>
        <v>0</v>
      </c>
      <c r="CV28" s="210">
        <f t="shared" si="31"/>
        <v>0</v>
      </c>
      <c r="CW28" s="210">
        <f t="shared" si="31"/>
        <v>0</v>
      </c>
      <c r="CX28" s="210">
        <f t="shared" si="31"/>
        <v>0</v>
      </c>
      <c r="CY28" s="210">
        <f t="shared" si="31"/>
        <v>0</v>
      </c>
      <c r="CZ28" s="210">
        <f t="shared" si="31"/>
        <v>0</v>
      </c>
      <c r="DA28" s="210">
        <f t="shared" si="31"/>
        <v>0</v>
      </c>
    </row>
    <row r="29" spans="1:105">
      <c r="A29" s="201" t="str">
        <f>Income!A76</f>
        <v>Animals sold</v>
      </c>
      <c r="B29" s="203">
        <f>Income!B76</f>
        <v>3045.4403600511423</v>
      </c>
      <c r="C29" s="203">
        <f>Income!C76</f>
        <v>10048.517627056288</v>
      </c>
      <c r="D29" s="203">
        <f>Income!D76</f>
        <v>21797.091177278024</v>
      </c>
      <c r="E29" s="203">
        <f>Income!E76</f>
        <v>31324.70731659016</v>
      </c>
      <c r="F29" s="210">
        <f t="shared" si="22"/>
        <v>3045.4403600511423</v>
      </c>
      <c r="G29" s="210">
        <f t="shared" si="22"/>
        <v>3045.4403600511423</v>
      </c>
      <c r="H29" s="210">
        <f t="shared" si="22"/>
        <v>3045.4403600511423</v>
      </c>
      <c r="I29" s="210">
        <f t="shared" si="22"/>
        <v>3045.4403600511423</v>
      </c>
      <c r="J29" s="210">
        <f t="shared" si="22"/>
        <v>3045.4403600511423</v>
      </c>
      <c r="K29" s="210">
        <f t="shared" si="22"/>
        <v>3045.4403600511423</v>
      </c>
      <c r="L29" s="210">
        <f t="shared" si="22"/>
        <v>3045.4403600511423</v>
      </c>
      <c r="M29" s="210">
        <f t="shared" si="22"/>
        <v>3045.4403600511423</v>
      </c>
      <c r="N29" s="210">
        <f t="shared" si="22"/>
        <v>3045.4403600511423</v>
      </c>
      <c r="O29" s="210">
        <f t="shared" si="22"/>
        <v>3045.4403600511423</v>
      </c>
      <c r="P29" s="210">
        <f t="shared" si="23"/>
        <v>3045.4403600511423</v>
      </c>
      <c r="Q29" s="210">
        <f t="shared" si="23"/>
        <v>3045.4403600511423</v>
      </c>
      <c r="R29" s="210">
        <f t="shared" si="23"/>
        <v>3045.4403600511423</v>
      </c>
      <c r="S29" s="210">
        <f t="shared" si="23"/>
        <v>3045.4403600511423</v>
      </c>
      <c r="T29" s="210">
        <f t="shared" si="23"/>
        <v>3045.4403600511423</v>
      </c>
      <c r="U29" s="210">
        <f t="shared" si="23"/>
        <v>3045.4403600511423</v>
      </c>
      <c r="V29" s="210">
        <f t="shared" si="23"/>
        <v>3045.4403600511423</v>
      </c>
      <c r="W29" s="210">
        <f t="shared" si="23"/>
        <v>3045.4403600511423</v>
      </c>
      <c r="X29" s="210">
        <f t="shared" si="23"/>
        <v>3045.4403600511423</v>
      </c>
      <c r="Y29" s="210">
        <f t="shared" si="23"/>
        <v>3045.4403600511423</v>
      </c>
      <c r="Z29" s="210">
        <f t="shared" si="24"/>
        <v>3093.4066427018624</v>
      </c>
      <c r="AA29" s="210">
        <f t="shared" si="24"/>
        <v>3285.271773304743</v>
      </c>
      <c r="AB29" s="210">
        <f t="shared" si="24"/>
        <v>3477.1369039076239</v>
      </c>
      <c r="AC29" s="210">
        <f t="shared" si="24"/>
        <v>3669.0020345105045</v>
      </c>
      <c r="AD29" s="210">
        <f t="shared" si="24"/>
        <v>3860.8671651133855</v>
      </c>
      <c r="AE29" s="210">
        <f t="shared" si="24"/>
        <v>4052.732295716266</v>
      </c>
      <c r="AF29" s="210">
        <f t="shared" si="24"/>
        <v>4244.5974263191465</v>
      </c>
      <c r="AG29" s="210">
        <f t="shared" si="24"/>
        <v>4436.462556922027</v>
      </c>
      <c r="AH29" s="210">
        <f t="shared" si="24"/>
        <v>4628.3276875249085</v>
      </c>
      <c r="AI29" s="210">
        <f t="shared" si="24"/>
        <v>4820.192818127789</v>
      </c>
      <c r="AJ29" s="210">
        <f t="shared" si="25"/>
        <v>5012.0579487306695</v>
      </c>
      <c r="AK29" s="210">
        <f t="shared" si="25"/>
        <v>5203.92307933355</v>
      </c>
      <c r="AL29" s="210">
        <f t="shared" si="25"/>
        <v>5395.7882099364306</v>
      </c>
      <c r="AM29" s="210">
        <f t="shared" si="25"/>
        <v>5587.6533405393111</v>
      </c>
      <c r="AN29" s="210">
        <f t="shared" si="25"/>
        <v>5779.5184711421925</v>
      </c>
      <c r="AO29" s="210">
        <f t="shared" si="25"/>
        <v>5971.3836017450731</v>
      </c>
      <c r="AP29" s="210">
        <f t="shared" si="25"/>
        <v>6163.2487323479545</v>
      </c>
      <c r="AQ29" s="210">
        <f t="shared" si="25"/>
        <v>6355.1138629508341</v>
      </c>
      <c r="AR29" s="210">
        <f t="shared" si="25"/>
        <v>6546.9789935537156</v>
      </c>
      <c r="AS29" s="210">
        <f t="shared" si="25"/>
        <v>6738.8441241565961</v>
      </c>
      <c r="AT29" s="210">
        <f t="shared" si="26"/>
        <v>6930.7092547594766</v>
      </c>
      <c r="AU29" s="210">
        <f t="shared" si="26"/>
        <v>7122.5743853623571</v>
      </c>
      <c r="AV29" s="210">
        <f t="shared" si="26"/>
        <v>7314.4395159652386</v>
      </c>
      <c r="AW29" s="210">
        <f t="shared" si="26"/>
        <v>7506.3046465681191</v>
      </c>
      <c r="AX29" s="210">
        <f t="shared" si="26"/>
        <v>7698.1697771709996</v>
      </c>
      <c r="AY29" s="210">
        <f t="shared" si="26"/>
        <v>7890.0349077738801</v>
      </c>
      <c r="AZ29" s="210">
        <f t="shared" si="26"/>
        <v>8081.9000383767607</v>
      </c>
      <c r="BA29" s="210">
        <f t="shared" si="26"/>
        <v>8273.7651689796403</v>
      </c>
      <c r="BB29" s="210">
        <f t="shared" si="26"/>
        <v>8465.6302995825208</v>
      </c>
      <c r="BC29" s="210">
        <f t="shared" si="26"/>
        <v>8657.4954301854013</v>
      </c>
      <c r="BD29" s="210">
        <f t="shared" si="27"/>
        <v>8849.3605607882837</v>
      </c>
      <c r="BE29" s="210">
        <f t="shared" si="27"/>
        <v>9041.2256913911642</v>
      </c>
      <c r="BF29" s="210">
        <f t="shared" si="27"/>
        <v>9233.0908219940447</v>
      </c>
      <c r="BG29" s="210">
        <f t="shared" si="27"/>
        <v>9424.9559525969271</v>
      </c>
      <c r="BH29" s="210">
        <f t="shared" si="27"/>
        <v>9616.8210831998076</v>
      </c>
      <c r="BI29" s="210">
        <f t="shared" si="27"/>
        <v>9808.6862138026881</v>
      </c>
      <c r="BJ29" s="210">
        <f t="shared" si="27"/>
        <v>10000.551344405569</v>
      </c>
      <c r="BK29" s="210">
        <f t="shared" si="27"/>
        <v>10400.974833562939</v>
      </c>
      <c r="BL29" s="210">
        <f t="shared" si="27"/>
        <v>10870.91777557181</v>
      </c>
      <c r="BM29" s="210">
        <f t="shared" si="27"/>
        <v>11340.860717580679</v>
      </c>
      <c r="BN29" s="210">
        <f t="shared" si="28"/>
        <v>11810.803659589548</v>
      </c>
      <c r="BO29" s="210">
        <f t="shared" si="28"/>
        <v>12280.746601598417</v>
      </c>
      <c r="BP29" s="210">
        <f t="shared" si="28"/>
        <v>12750.689543607286</v>
      </c>
      <c r="BQ29" s="210">
        <f t="shared" si="28"/>
        <v>13220.632485616157</v>
      </c>
      <c r="BR29" s="210">
        <f t="shared" si="28"/>
        <v>13690.575427625026</v>
      </c>
      <c r="BS29" s="210">
        <f t="shared" si="28"/>
        <v>14160.518369633895</v>
      </c>
      <c r="BT29" s="210">
        <f t="shared" si="28"/>
        <v>14630.461311642764</v>
      </c>
      <c r="BU29" s="210">
        <f t="shared" si="28"/>
        <v>15100.404253651635</v>
      </c>
      <c r="BV29" s="210">
        <f t="shared" si="28"/>
        <v>15570.347195660503</v>
      </c>
      <c r="BW29" s="210">
        <f t="shared" si="28"/>
        <v>16040.290137669374</v>
      </c>
      <c r="BX29" s="210">
        <f t="shared" si="29"/>
        <v>16510.233079678244</v>
      </c>
      <c r="BY29" s="210">
        <f t="shared" si="29"/>
        <v>16980.176021687112</v>
      </c>
      <c r="BZ29" s="210">
        <f t="shared" si="29"/>
        <v>17450.118963695983</v>
      </c>
      <c r="CA29" s="210">
        <f t="shared" si="29"/>
        <v>17920.06190570485</v>
      </c>
      <c r="CB29" s="210">
        <f t="shared" si="29"/>
        <v>18390.004847713721</v>
      </c>
      <c r="CC29" s="210">
        <f t="shared" si="29"/>
        <v>18859.947789722588</v>
      </c>
      <c r="CD29" s="210">
        <f t="shared" si="29"/>
        <v>19329.890731731459</v>
      </c>
      <c r="CE29" s="210">
        <f t="shared" si="29"/>
        <v>19799.83367374033</v>
      </c>
      <c r="CF29" s="210">
        <f t="shared" si="29"/>
        <v>20269.776615749201</v>
      </c>
      <c r="CG29" s="210">
        <f t="shared" si="29"/>
        <v>20739.719557758068</v>
      </c>
      <c r="CH29" s="210">
        <f t="shared" si="30"/>
        <v>21209.662499766935</v>
      </c>
      <c r="CI29" s="210">
        <f t="shared" si="30"/>
        <v>21679.605441775806</v>
      </c>
      <c r="CJ29" s="210">
        <f t="shared" si="30"/>
        <v>22326.403185017585</v>
      </c>
      <c r="CK29" s="210">
        <f t="shared" si="30"/>
        <v>23032.152528670336</v>
      </c>
      <c r="CL29" s="210">
        <f t="shared" si="30"/>
        <v>23737.901872323087</v>
      </c>
      <c r="CM29" s="210">
        <f t="shared" si="30"/>
        <v>24443.651215975839</v>
      </c>
      <c r="CN29" s="210">
        <f t="shared" si="30"/>
        <v>25149.40055962859</v>
      </c>
      <c r="CO29" s="210">
        <f t="shared" si="30"/>
        <v>25855.149903281341</v>
      </c>
      <c r="CP29" s="210">
        <f t="shared" si="30"/>
        <v>26560.899246934092</v>
      </c>
      <c r="CQ29" s="210">
        <f t="shared" si="30"/>
        <v>27266.648590586843</v>
      </c>
      <c r="CR29" s="210">
        <f t="shared" si="31"/>
        <v>27972.397934239594</v>
      </c>
      <c r="CS29" s="210">
        <f t="shared" si="31"/>
        <v>28678.147277892345</v>
      </c>
      <c r="CT29" s="210">
        <f t="shared" si="31"/>
        <v>29383.896621545096</v>
      </c>
      <c r="CU29" s="210">
        <f t="shared" si="31"/>
        <v>30089.645965197844</v>
      </c>
      <c r="CV29" s="210">
        <f t="shared" si="31"/>
        <v>30795.395308850595</v>
      </c>
      <c r="CW29" s="210">
        <f t="shared" si="31"/>
        <v>31324.70731659016</v>
      </c>
      <c r="CX29" s="210">
        <f t="shared" si="31"/>
        <v>31324.70731659016</v>
      </c>
      <c r="CY29" s="210">
        <f t="shared" si="31"/>
        <v>31324.70731659016</v>
      </c>
      <c r="CZ29" s="210">
        <f t="shared" si="31"/>
        <v>31324.70731659016</v>
      </c>
      <c r="DA29" s="210">
        <f t="shared" si="31"/>
        <v>31324.70731659016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121.2080495528232</v>
      </c>
      <c r="D30" s="203">
        <f>Income!D77</f>
        <v>85.117058498518091</v>
      </c>
      <c r="E30" s="203">
        <f>Income!E77</f>
        <v>0</v>
      </c>
      <c r="F30" s="210">
        <f t="shared" si="22"/>
        <v>0</v>
      </c>
      <c r="G30" s="210">
        <f t="shared" si="22"/>
        <v>0</v>
      </c>
      <c r="H30" s="210">
        <f t="shared" si="22"/>
        <v>0</v>
      </c>
      <c r="I30" s="210">
        <f t="shared" si="22"/>
        <v>0</v>
      </c>
      <c r="J30" s="210">
        <f t="shared" si="22"/>
        <v>0</v>
      </c>
      <c r="K30" s="210">
        <f t="shared" si="22"/>
        <v>0</v>
      </c>
      <c r="L30" s="210">
        <f t="shared" si="22"/>
        <v>0</v>
      </c>
      <c r="M30" s="210">
        <f t="shared" si="22"/>
        <v>0</v>
      </c>
      <c r="N30" s="210">
        <f t="shared" si="22"/>
        <v>0</v>
      </c>
      <c r="O30" s="210">
        <f t="shared" si="22"/>
        <v>0</v>
      </c>
      <c r="P30" s="210">
        <f t="shared" si="23"/>
        <v>0</v>
      </c>
      <c r="Q30" s="210">
        <f t="shared" si="23"/>
        <v>0</v>
      </c>
      <c r="R30" s="210">
        <f t="shared" si="23"/>
        <v>0</v>
      </c>
      <c r="S30" s="210">
        <f t="shared" si="23"/>
        <v>0</v>
      </c>
      <c r="T30" s="210">
        <f t="shared" si="23"/>
        <v>0</v>
      </c>
      <c r="U30" s="210">
        <f t="shared" si="23"/>
        <v>0</v>
      </c>
      <c r="V30" s="210">
        <f t="shared" si="23"/>
        <v>0</v>
      </c>
      <c r="W30" s="210">
        <f t="shared" si="23"/>
        <v>0</v>
      </c>
      <c r="X30" s="210">
        <f t="shared" si="23"/>
        <v>0</v>
      </c>
      <c r="Y30" s="210">
        <f t="shared" si="23"/>
        <v>0</v>
      </c>
      <c r="Z30" s="210">
        <f t="shared" si="24"/>
        <v>0.83019212022481648</v>
      </c>
      <c r="AA30" s="210">
        <f t="shared" si="24"/>
        <v>4.1509606011240816</v>
      </c>
      <c r="AB30" s="210">
        <f t="shared" si="24"/>
        <v>7.4717290820233471</v>
      </c>
      <c r="AC30" s="210">
        <f t="shared" si="24"/>
        <v>10.792497562922614</v>
      </c>
      <c r="AD30" s="210">
        <f t="shared" si="24"/>
        <v>14.113266043821879</v>
      </c>
      <c r="AE30" s="210">
        <f t="shared" si="24"/>
        <v>17.434034524721145</v>
      </c>
      <c r="AF30" s="210">
        <f t="shared" si="24"/>
        <v>20.75480300562041</v>
      </c>
      <c r="AG30" s="210">
        <f t="shared" si="24"/>
        <v>24.075571486519678</v>
      </c>
      <c r="AH30" s="210">
        <f t="shared" si="24"/>
        <v>27.396339967418939</v>
      </c>
      <c r="AI30" s="210">
        <f t="shared" si="24"/>
        <v>30.717108448318207</v>
      </c>
      <c r="AJ30" s="210">
        <f t="shared" si="25"/>
        <v>34.037876929217475</v>
      </c>
      <c r="AK30" s="210">
        <f t="shared" si="25"/>
        <v>37.358645410116743</v>
      </c>
      <c r="AL30" s="210">
        <f t="shared" si="25"/>
        <v>40.679413891016004</v>
      </c>
      <c r="AM30" s="210">
        <f t="shared" si="25"/>
        <v>44.000182371915265</v>
      </c>
      <c r="AN30" s="210">
        <f t="shared" si="25"/>
        <v>47.320950852814534</v>
      </c>
      <c r="AO30" s="210">
        <f t="shared" si="25"/>
        <v>50.641719333713802</v>
      </c>
      <c r="AP30" s="210">
        <f t="shared" si="25"/>
        <v>53.96248781461307</v>
      </c>
      <c r="AQ30" s="210">
        <f t="shared" si="25"/>
        <v>57.283256295512331</v>
      </c>
      <c r="AR30" s="210">
        <f t="shared" si="25"/>
        <v>60.604024776411606</v>
      </c>
      <c r="AS30" s="210">
        <f t="shared" si="25"/>
        <v>63.924793257310867</v>
      </c>
      <c r="AT30" s="210">
        <f t="shared" si="26"/>
        <v>67.245561738210128</v>
      </c>
      <c r="AU30" s="210">
        <f t="shared" si="26"/>
        <v>70.566330219109403</v>
      </c>
      <c r="AV30" s="210">
        <f t="shared" si="26"/>
        <v>73.887098700008664</v>
      </c>
      <c r="AW30" s="210">
        <f t="shared" si="26"/>
        <v>77.207867180907925</v>
      </c>
      <c r="AX30" s="210">
        <f t="shared" si="26"/>
        <v>80.528635661807186</v>
      </c>
      <c r="AY30" s="210">
        <f t="shared" si="26"/>
        <v>83.849404142706462</v>
      </c>
      <c r="AZ30" s="210">
        <f t="shared" si="26"/>
        <v>87.170172623605723</v>
      </c>
      <c r="BA30" s="210">
        <f t="shared" si="26"/>
        <v>90.490941104504984</v>
      </c>
      <c r="BB30" s="210">
        <f t="shared" si="26"/>
        <v>93.811709585404259</v>
      </c>
      <c r="BC30" s="210">
        <f t="shared" si="26"/>
        <v>97.13247806630352</v>
      </c>
      <c r="BD30" s="210">
        <f t="shared" si="27"/>
        <v>100.4532465472028</v>
      </c>
      <c r="BE30" s="210">
        <f t="shared" si="27"/>
        <v>103.77401502810206</v>
      </c>
      <c r="BF30" s="210">
        <f t="shared" si="27"/>
        <v>107.09478350900132</v>
      </c>
      <c r="BG30" s="210">
        <f t="shared" si="27"/>
        <v>110.41555198990059</v>
      </c>
      <c r="BH30" s="210">
        <f t="shared" si="27"/>
        <v>113.73632047079985</v>
      </c>
      <c r="BI30" s="210">
        <f t="shared" si="27"/>
        <v>117.05708895169911</v>
      </c>
      <c r="BJ30" s="210">
        <f t="shared" si="27"/>
        <v>120.37785743259838</v>
      </c>
      <c r="BK30" s="210">
        <f t="shared" si="27"/>
        <v>120.12531982119404</v>
      </c>
      <c r="BL30" s="210">
        <f t="shared" si="27"/>
        <v>118.68168017902184</v>
      </c>
      <c r="BM30" s="210">
        <f t="shared" si="27"/>
        <v>117.23804053684964</v>
      </c>
      <c r="BN30" s="210">
        <f t="shared" si="28"/>
        <v>115.79440089467744</v>
      </c>
      <c r="BO30" s="210">
        <f t="shared" si="28"/>
        <v>114.35076125250522</v>
      </c>
      <c r="BP30" s="210">
        <f t="shared" si="28"/>
        <v>112.90712161033302</v>
      </c>
      <c r="BQ30" s="210">
        <f t="shared" si="28"/>
        <v>111.46348196816082</v>
      </c>
      <c r="BR30" s="210">
        <f t="shared" si="28"/>
        <v>110.01984232598862</v>
      </c>
      <c r="BS30" s="210">
        <f t="shared" si="28"/>
        <v>108.5762026838164</v>
      </c>
      <c r="BT30" s="210">
        <f t="shared" si="28"/>
        <v>107.1325630416442</v>
      </c>
      <c r="BU30" s="210">
        <f t="shared" si="28"/>
        <v>105.688923399472</v>
      </c>
      <c r="BV30" s="210">
        <f t="shared" si="28"/>
        <v>104.2452837572998</v>
      </c>
      <c r="BW30" s="210">
        <f t="shared" si="28"/>
        <v>102.8016441151276</v>
      </c>
      <c r="BX30" s="210">
        <f t="shared" si="29"/>
        <v>101.35800447295539</v>
      </c>
      <c r="BY30" s="210">
        <f t="shared" si="29"/>
        <v>99.914364830783185</v>
      </c>
      <c r="BZ30" s="210">
        <f t="shared" si="29"/>
        <v>98.470725188610984</v>
      </c>
      <c r="CA30" s="210">
        <f t="shared" si="29"/>
        <v>97.027085546438769</v>
      </c>
      <c r="CB30" s="210">
        <f t="shared" si="29"/>
        <v>95.583445904266569</v>
      </c>
      <c r="CC30" s="210">
        <f t="shared" si="29"/>
        <v>94.139806262094368</v>
      </c>
      <c r="CD30" s="210">
        <f t="shared" si="29"/>
        <v>92.696166619922167</v>
      </c>
      <c r="CE30" s="210">
        <f t="shared" si="29"/>
        <v>91.252526977749966</v>
      </c>
      <c r="CF30" s="210">
        <f t="shared" si="29"/>
        <v>89.808887335577751</v>
      </c>
      <c r="CG30" s="210">
        <f t="shared" si="29"/>
        <v>88.36524769340555</v>
      </c>
      <c r="CH30" s="210">
        <f t="shared" si="30"/>
        <v>86.921608051233349</v>
      </c>
      <c r="CI30" s="210">
        <f t="shared" si="30"/>
        <v>85.477968409061134</v>
      </c>
      <c r="CJ30" s="210">
        <f t="shared" si="30"/>
        <v>80.388333026378191</v>
      </c>
      <c r="CK30" s="210">
        <f t="shared" si="30"/>
        <v>74.083365730191673</v>
      </c>
      <c r="CL30" s="210">
        <f t="shared" si="30"/>
        <v>67.77839843400514</v>
      </c>
      <c r="CM30" s="210">
        <f t="shared" si="30"/>
        <v>61.473431137818622</v>
      </c>
      <c r="CN30" s="210">
        <f t="shared" si="30"/>
        <v>55.168463841632089</v>
      </c>
      <c r="CO30" s="210">
        <f t="shared" si="30"/>
        <v>48.863496545445571</v>
      </c>
      <c r="CP30" s="210">
        <f t="shared" si="30"/>
        <v>42.558529249259045</v>
      </c>
      <c r="CQ30" s="210">
        <f t="shared" si="30"/>
        <v>36.25356195307252</v>
      </c>
      <c r="CR30" s="210">
        <f t="shared" si="31"/>
        <v>29.948594656885994</v>
      </c>
      <c r="CS30" s="210">
        <f t="shared" si="31"/>
        <v>23.643627360699469</v>
      </c>
      <c r="CT30" s="210">
        <f t="shared" si="31"/>
        <v>17.33866006451295</v>
      </c>
      <c r="CU30" s="210">
        <f t="shared" si="31"/>
        <v>11.033692768326418</v>
      </c>
      <c r="CV30" s="210">
        <f t="shared" si="31"/>
        <v>4.7287254721398853</v>
      </c>
      <c r="CW30" s="210">
        <f t="shared" si="31"/>
        <v>0</v>
      </c>
      <c r="CX30" s="210">
        <f t="shared" si="31"/>
        <v>0</v>
      </c>
      <c r="CY30" s="210">
        <f t="shared" si="31"/>
        <v>0</v>
      </c>
      <c r="CZ30" s="210">
        <f t="shared" si="31"/>
        <v>0</v>
      </c>
      <c r="DA30" s="210">
        <f t="shared" si="31"/>
        <v>0</v>
      </c>
    </row>
    <row r="31" spans="1:105">
      <c r="A31" s="201" t="str">
        <f>Income!A78</f>
        <v>Labour - casual</v>
      </c>
      <c r="B31" s="203">
        <f>Income!B78</f>
        <v>5317.1555759881148</v>
      </c>
      <c r="C31" s="203">
        <f>Income!C78</f>
        <v>2477.3683198261147</v>
      </c>
      <c r="D31" s="203">
        <f>Income!D78</f>
        <v>59625.591349457311</v>
      </c>
      <c r="E31" s="203">
        <f>Income!E78</f>
        <v>0</v>
      </c>
      <c r="F31" s="210">
        <f t="shared" si="22"/>
        <v>5317.1555759881148</v>
      </c>
      <c r="G31" s="210">
        <f t="shared" si="22"/>
        <v>5317.1555759881148</v>
      </c>
      <c r="H31" s="210">
        <f t="shared" si="22"/>
        <v>5317.1555759881148</v>
      </c>
      <c r="I31" s="210">
        <f t="shared" si="22"/>
        <v>5317.1555759881148</v>
      </c>
      <c r="J31" s="210">
        <f t="shared" si="22"/>
        <v>5317.1555759881148</v>
      </c>
      <c r="K31" s="210">
        <f t="shared" si="22"/>
        <v>5317.1555759881148</v>
      </c>
      <c r="L31" s="210">
        <f t="shared" si="22"/>
        <v>5317.1555759881148</v>
      </c>
      <c r="M31" s="210">
        <f t="shared" si="22"/>
        <v>5317.1555759881148</v>
      </c>
      <c r="N31" s="210">
        <f t="shared" si="22"/>
        <v>5317.1555759881148</v>
      </c>
      <c r="O31" s="210">
        <f t="shared" si="22"/>
        <v>5317.1555759881148</v>
      </c>
      <c r="P31" s="210">
        <f t="shared" si="23"/>
        <v>5317.1555759881148</v>
      </c>
      <c r="Q31" s="210">
        <f t="shared" si="23"/>
        <v>5317.1555759881148</v>
      </c>
      <c r="R31" s="210">
        <f t="shared" si="23"/>
        <v>5317.1555759881148</v>
      </c>
      <c r="S31" s="210">
        <f t="shared" si="23"/>
        <v>5317.1555759881148</v>
      </c>
      <c r="T31" s="210">
        <f t="shared" si="23"/>
        <v>5317.1555759881148</v>
      </c>
      <c r="U31" s="210">
        <f t="shared" si="23"/>
        <v>5317.1555759881148</v>
      </c>
      <c r="V31" s="210">
        <f t="shared" si="23"/>
        <v>5317.1555759881148</v>
      </c>
      <c r="W31" s="210">
        <f t="shared" si="23"/>
        <v>5317.1555759881148</v>
      </c>
      <c r="X31" s="210">
        <f t="shared" si="23"/>
        <v>5317.1555759881148</v>
      </c>
      <c r="Y31" s="210">
        <f t="shared" si="23"/>
        <v>5317.1555759881148</v>
      </c>
      <c r="Z31" s="210">
        <f t="shared" si="24"/>
        <v>5297.7049783431694</v>
      </c>
      <c r="AA31" s="210">
        <f t="shared" si="24"/>
        <v>5219.9025877633885</v>
      </c>
      <c r="AB31" s="210">
        <f t="shared" si="24"/>
        <v>5142.1001971836076</v>
      </c>
      <c r="AC31" s="210">
        <f t="shared" si="24"/>
        <v>5064.2978066038268</v>
      </c>
      <c r="AD31" s="210">
        <f t="shared" si="24"/>
        <v>4986.4954160240459</v>
      </c>
      <c r="AE31" s="210">
        <f t="shared" si="24"/>
        <v>4908.6930254442659</v>
      </c>
      <c r="AF31" s="210">
        <f t="shared" si="24"/>
        <v>4830.890634864485</v>
      </c>
      <c r="AG31" s="210">
        <f t="shared" si="24"/>
        <v>4753.0882442847042</v>
      </c>
      <c r="AH31" s="210">
        <f t="shared" si="24"/>
        <v>4675.2858537049233</v>
      </c>
      <c r="AI31" s="210">
        <f t="shared" si="24"/>
        <v>4597.4834631251424</v>
      </c>
      <c r="AJ31" s="210">
        <f t="shared" si="25"/>
        <v>4519.6810725453615</v>
      </c>
      <c r="AK31" s="210">
        <f t="shared" si="25"/>
        <v>4441.8786819655807</v>
      </c>
      <c r="AL31" s="210">
        <f t="shared" si="25"/>
        <v>4364.0762913857998</v>
      </c>
      <c r="AM31" s="210">
        <f t="shared" si="25"/>
        <v>4286.2739008060189</v>
      </c>
      <c r="AN31" s="210">
        <f t="shared" si="25"/>
        <v>4208.471510226238</v>
      </c>
      <c r="AO31" s="210">
        <f t="shared" si="25"/>
        <v>4130.6691196464571</v>
      </c>
      <c r="AP31" s="210">
        <f t="shared" si="25"/>
        <v>4052.8667290666763</v>
      </c>
      <c r="AQ31" s="210">
        <f t="shared" si="25"/>
        <v>3975.0643384868954</v>
      </c>
      <c r="AR31" s="210">
        <f t="shared" si="25"/>
        <v>3897.2619479071145</v>
      </c>
      <c r="AS31" s="210">
        <f t="shared" si="25"/>
        <v>3819.4595573273336</v>
      </c>
      <c r="AT31" s="210">
        <f t="shared" si="26"/>
        <v>3741.6571667475528</v>
      </c>
      <c r="AU31" s="210">
        <f t="shared" si="26"/>
        <v>3663.8547761677723</v>
      </c>
      <c r="AV31" s="210">
        <f t="shared" si="26"/>
        <v>3586.0523855879915</v>
      </c>
      <c r="AW31" s="210">
        <f t="shared" si="26"/>
        <v>3508.2499950082106</v>
      </c>
      <c r="AX31" s="210">
        <f t="shared" si="26"/>
        <v>3430.4476044284297</v>
      </c>
      <c r="AY31" s="210">
        <f t="shared" si="26"/>
        <v>3352.6452138486488</v>
      </c>
      <c r="AZ31" s="210">
        <f t="shared" si="26"/>
        <v>3274.8428232688684</v>
      </c>
      <c r="BA31" s="210">
        <f t="shared" si="26"/>
        <v>3197.0404326890875</v>
      </c>
      <c r="BB31" s="210">
        <f t="shared" si="26"/>
        <v>3119.2380421093067</v>
      </c>
      <c r="BC31" s="210">
        <f t="shared" si="26"/>
        <v>3041.4356515295258</v>
      </c>
      <c r="BD31" s="210">
        <f t="shared" si="27"/>
        <v>2963.6332609497449</v>
      </c>
      <c r="BE31" s="210">
        <f t="shared" si="27"/>
        <v>2885.830870369964</v>
      </c>
      <c r="BF31" s="210">
        <f t="shared" si="27"/>
        <v>2808.0284797901832</v>
      </c>
      <c r="BG31" s="210">
        <f t="shared" si="27"/>
        <v>2730.2260892104023</v>
      </c>
      <c r="BH31" s="210">
        <f t="shared" si="27"/>
        <v>2652.4236986306214</v>
      </c>
      <c r="BI31" s="210">
        <f t="shared" si="27"/>
        <v>2574.6213080508405</v>
      </c>
      <c r="BJ31" s="210">
        <f t="shared" si="27"/>
        <v>2496.8189174710596</v>
      </c>
      <c r="BK31" s="210">
        <f t="shared" si="27"/>
        <v>4191.8150107150504</v>
      </c>
      <c r="BL31" s="210">
        <f t="shared" si="27"/>
        <v>6477.7439319002988</v>
      </c>
      <c r="BM31" s="210">
        <f t="shared" si="27"/>
        <v>8763.6728530855471</v>
      </c>
      <c r="BN31" s="210">
        <f t="shared" si="28"/>
        <v>11049.601774270795</v>
      </c>
      <c r="BO31" s="210">
        <f t="shared" si="28"/>
        <v>13335.530695456044</v>
      </c>
      <c r="BP31" s="210">
        <f t="shared" si="28"/>
        <v>15621.45961664129</v>
      </c>
      <c r="BQ31" s="210">
        <f t="shared" si="28"/>
        <v>17907.388537826537</v>
      </c>
      <c r="BR31" s="210">
        <f t="shared" si="28"/>
        <v>20193.317459011785</v>
      </c>
      <c r="BS31" s="210">
        <f t="shared" si="28"/>
        <v>22479.246380197033</v>
      </c>
      <c r="BT31" s="210">
        <f t="shared" si="28"/>
        <v>24765.175301382282</v>
      </c>
      <c r="BU31" s="210">
        <f t="shared" si="28"/>
        <v>27051.10422256753</v>
      </c>
      <c r="BV31" s="210">
        <f t="shared" si="28"/>
        <v>29337.033143752778</v>
      </c>
      <c r="BW31" s="210">
        <f t="shared" si="28"/>
        <v>31622.962064938023</v>
      </c>
      <c r="BX31" s="210">
        <f t="shared" si="29"/>
        <v>33908.890986123275</v>
      </c>
      <c r="BY31" s="210">
        <f t="shared" si="29"/>
        <v>36194.81990730852</v>
      </c>
      <c r="BZ31" s="210">
        <f t="shared" si="29"/>
        <v>38480.748828493764</v>
      </c>
      <c r="CA31" s="210">
        <f t="shared" si="29"/>
        <v>40766.677749679016</v>
      </c>
      <c r="CB31" s="210">
        <f t="shared" si="29"/>
        <v>43052.606670864261</v>
      </c>
      <c r="CC31" s="210">
        <f t="shared" si="29"/>
        <v>45338.535592049513</v>
      </c>
      <c r="CD31" s="210">
        <f t="shared" si="29"/>
        <v>47624.464513234765</v>
      </c>
      <c r="CE31" s="210">
        <f t="shared" si="29"/>
        <v>49910.39343442001</v>
      </c>
      <c r="CF31" s="210">
        <f t="shared" si="29"/>
        <v>52196.322355605254</v>
      </c>
      <c r="CG31" s="210">
        <f t="shared" si="29"/>
        <v>54482.251276790506</v>
      </c>
      <c r="CH31" s="210">
        <f t="shared" si="30"/>
        <v>56768.180197975751</v>
      </c>
      <c r="CI31" s="210">
        <f t="shared" si="30"/>
        <v>59054.109119161003</v>
      </c>
      <c r="CJ31" s="210">
        <f t="shared" si="30"/>
        <v>56313.05849670968</v>
      </c>
      <c r="CK31" s="210">
        <f t="shared" si="30"/>
        <v>51896.348026379514</v>
      </c>
      <c r="CL31" s="210">
        <f t="shared" si="30"/>
        <v>47479.63755604934</v>
      </c>
      <c r="CM31" s="210">
        <f t="shared" si="30"/>
        <v>43062.927085719173</v>
      </c>
      <c r="CN31" s="210">
        <f t="shared" si="30"/>
        <v>38646.216615388999</v>
      </c>
      <c r="CO31" s="210">
        <f t="shared" si="30"/>
        <v>34229.506145058825</v>
      </c>
      <c r="CP31" s="210">
        <f t="shared" si="30"/>
        <v>29812.795674728655</v>
      </c>
      <c r="CQ31" s="210">
        <f t="shared" si="30"/>
        <v>25396.085204398485</v>
      </c>
      <c r="CR31" s="210">
        <f t="shared" si="31"/>
        <v>20979.374734068311</v>
      </c>
      <c r="CS31" s="210">
        <f t="shared" si="31"/>
        <v>16562.664263738145</v>
      </c>
      <c r="CT31" s="210">
        <f t="shared" si="31"/>
        <v>12145.953793407971</v>
      </c>
      <c r="CU31" s="210">
        <f t="shared" si="31"/>
        <v>7729.243323077797</v>
      </c>
      <c r="CV31" s="210">
        <f t="shared" si="31"/>
        <v>3312.5328527476304</v>
      </c>
      <c r="CW31" s="210">
        <f t="shared" si="31"/>
        <v>0</v>
      </c>
      <c r="CX31" s="210">
        <f t="shared" si="31"/>
        <v>0</v>
      </c>
      <c r="CY31" s="210">
        <f t="shared" si="31"/>
        <v>0</v>
      </c>
      <c r="CZ31" s="210">
        <f t="shared" si="31"/>
        <v>0</v>
      </c>
      <c r="DA31" s="210">
        <f t="shared" si="31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28209.654775238527</v>
      </c>
      <c r="E32" s="203">
        <f>Income!E79</f>
        <v>154408.65828783836</v>
      </c>
      <c r="F32" s="210">
        <f t="shared" si="22"/>
        <v>0</v>
      </c>
      <c r="G32" s="210">
        <f t="shared" si="22"/>
        <v>0</v>
      </c>
      <c r="H32" s="210">
        <f t="shared" si="22"/>
        <v>0</v>
      </c>
      <c r="I32" s="210">
        <f t="shared" si="22"/>
        <v>0</v>
      </c>
      <c r="J32" s="210">
        <f t="shared" si="22"/>
        <v>0</v>
      </c>
      <c r="K32" s="210">
        <f t="shared" si="22"/>
        <v>0</v>
      </c>
      <c r="L32" s="210">
        <f t="shared" si="22"/>
        <v>0</v>
      </c>
      <c r="M32" s="210">
        <f t="shared" si="22"/>
        <v>0</v>
      </c>
      <c r="N32" s="210">
        <f t="shared" si="22"/>
        <v>0</v>
      </c>
      <c r="O32" s="210">
        <f t="shared" si="22"/>
        <v>0</v>
      </c>
      <c r="P32" s="210">
        <f t="shared" si="23"/>
        <v>0</v>
      </c>
      <c r="Q32" s="210">
        <f t="shared" si="23"/>
        <v>0</v>
      </c>
      <c r="R32" s="210">
        <f t="shared" si="23"/>
        <v>0</v>
      </c>
      <c r="S32" s="210">
        <f t="shared" si="23"/>
        <v>0</v>
      </c>
      <c r="T32" s="210">
        <f t="shared" si="23"/>
        <v>0</v>
      </c>
      <c r="U32" s="210">
        <f t="shared" si="23"/>
        <v>0</v>
      </c>
      <c r="V32" s="210">
        <f t="shared" si="23"/>
        <v>0</v>
      </c>
      <c r="W32" s="210">
        <f t="shared" si="23"/>
        <v>0</v>
      </c>
      <c r="X32" s="210">
        <f t="shared" si="23"/>
        <v>0</v>
      </c>
      <c r="Y32" s="210">
        <f t="shared" si="23"/>
        <v>0</v>
      </c>
      <c r="Z32" s="210">
        <f t="shared" si="24"/>
        <v>0</v>
      </c>
      <c r="AA32" s="210">
        <f t="shared" si="24"/>
        <v>0</v>
      </c>
      <c r="AB32" s="210">
        <f t="shared" si="24"/>
        <v>0</v>
      </c>
      <c r="AC32" s="210">
        <f t="shared" si="24"/>
        <v>0</v>
      </c>
      <c r="AD32" s="210">
        <f t="shared" si="24"/>
        <v>0</v>
      </c>
      <c r="AE32" s="210">
        <f t="shared" si="24"/>
        <v>0</v>
      </c>
      <c r="AF32" s="210">
        <f t="shared" si="24"/>
        <v>0</v>
      </c>
      <c r="AG32" s="210">
        <f t="shared" si="24"/>
        <v>0</v>
      </c>
      <c r="AH32" s="210">
        <f t="shared" si="24"/>
        <v>0</v>
      </c>
      <c r="AI32" s="210">
        <f t="shared" si="24"/>
        <v>0</v>
      </c>
      <c r="AJ32" s="210">
        <f t="shared" si="25"/>
        <v>0</v>
      </c>
      <c r="AK32" s="210">
        <f t="shared" si="25"/>
        <v>0</v>
      </c>
      <c r="AL32" s="210">
        <f t="shared" si="25"/>
        <v>0</v>
      </c>
      <c r="AM32" s="210">
        <f t="shared" si="25"/>
        <v>0</v>
      </c>
      <c r="AN32" s="210">
        <f t="shared" si="25"/>
        <v>0</v>
      </c>
      <c r="AO32" s="210">
        <f t="shared" si="25"/>
        <v>0</v>
      </c>
      <c r="AP32" s="210">
        <f t="shared" si="25"/>
        <v>0</v>
      </c>
      <c r="AQ32" s="210">
        <f t="shared" si="25"/>
        <v>0</v>
      </c>
      <c r="AR32" s="210">
        <f t="shared" si="25"/>
        <v>0</v>
      </c>
      <c r="AS32" s="210">
        <f t="shared" si="25"/>
        <v>0</v>
      </c>
      <c r="AT32" s="210">
        <f t="shared" si="26"/>
        <v>0</v>
      </c>
      <c r="AU32" s="210">
        <f t="shared" si="26"/>
        <v>0</v>
      </c>
      <c r="AV32" s="210">
        <f t="shared" si="26"/>
        <v>0</v>
      </c>
      <c r="AW32" s="210">
        <f t="shared" si="26"/>
        <v>0</v>
      </c>
      <c r="AX32" s="210">
        <f t="shared" si="26"/>
        <v>0</v>
      </c>
      <c r="AY32" s="210">
        <f t="shared" si="26"/>
        <v>0</v>
      </c>
      <c r="AZ32" s="210">
        <f t="shared" si="26"/>
        <v>0</v>
      </c>
      <c r="BA32" s="210">
        <f t="shared" si="26"/>
        <v>0</v>
      </c>
      <c r="BB32" s="210">
        <f t="shared" si="26"/>
        <v>0</v>
      </c>
      <c r="BC32" s="210">
        <f t="shared" si="26"/>
        <v>0</v>
      </c>
      <c r="BD32" s="210">
        <f t="shared" si="27"/>
        <v>0</v>
      </c>
      <c r="BE32" s="210">
        <f t="shared" si="27"/>
        <v>0</v>
      </c>
      <c r="BF32" s="210">
        <f t="shared" si="27"/>
        <v>0</v>
      </c>
      <c r="BG32" s="210">
        <f t="shared" si="27"/>
        <v>0</v>
      </c>
      <c r="BH32" s="210">
        <f t="shared" si="27"/>
        <v>0</v>
      </c>
      <c r="BI32" s="210">
        <f t="shared" si="27"/>
        <v>0</v>
      </c>
      <c r="BJ32" s="210">
        <f t="shared" si="27"/>
        <v>0</v>
      </c>
      <c r="BK32" s="210">
        <f t="shared" si="27"/>
        <v>846.28964325715583</v>
      </c>
      <c r="BL32" s="210">
        <f t="shared" si="27"/>
        <v>1974.6758342666967</v>
      </c>
      <c r="BM32" s="210">
        <f t="shared" si="27"/>
        <v>3103.0620252762378</v>
      </c>
      <c r="BN32" s="210">
        <f t="shared" si="28"/>
        <v>4231.4482162857785</v>
      </c>
      <c r="BO32" s="210">
        <f t="shared" si="28"/>
        <v>5359.8344072953205</v>
      </c>
      <c r="BP32" s="210">
        <f t="shared" si="28"/>
        <v>6488.2205983048607</v>
      </c>
      <c r="BQ32" s="210">
        <f t="shared" si="28"/>
        <v>7616.6067893144027</v>
      </c>
      <c r="BR32" s="210">
        <f t="shared" si="28"/>
        <v>8744.9929803239429</v>
      </c>
      <c r="BS32" s="210">
        <f t="shared" si="28"/>
        <v>9873.3791713334849</v>
      </c>
      <c r="BT32" s="210">
        <f t="shared" si="28"/>
        <v>11001.765362343025</v>
      </c>
      <c r="BU32" s="210">
        <f t="shared" si="28"/>
        <v>12130.151553352565</v>
      </c>
      <c r="BV32" s="210">
        <f t="shared" si="28"/>
        <v>13258.537744362107</v>
      </c>
      <c r="BW32" s="210">
        <f t="shared" si="28"/>
        <v>14386.923935371649</v>
      </c>
      <c r="BX32" s="210">
        <f t="shared" si="29"/>
        <v>15515.310126381191</v>
      </c>
      <c r="BY32" s="210">
        <f t="shared" si="29"/>
        <v>16643.696317390728</v>
      </c>
      <c r="BZ32" s="210">
        <f t="shared" si="29"/>
        <v>17772.082508400272</v>
      </c>
      <c r="CA32" s="210">
        <f t="shared" si="29"/>
        <v>18900.468699409812</v>
      </c>
      <c r="CB32" s="210">
        <f t="shared" si="29"/>
        <v>20028.854890419356</v>
      </c>
      <c r="CC32" s="210">
        <f t="shared" si="29"/>
        <v>21157.241081428896</v>
      </c>
      <c r="CD32" s="210">
        <f t="shared" si="29"/>
        <v>22285.627272438436</v>
      </c>
      <c r="CE32" s="210">
        <f t="shared" si="29"/>
        <v>23414.01346344798</v>
      </c>
      <c r="CF32" s="210">
        <f t="shared" si="29"/>
        <v>24542.399654457517</v>
      </c>
      <c r="CG32" s="210">
        <f t="shared" si="29"/>
        <v>25670.785845467057</v>
      </c>
      <c r="CH32" s="210">
        <f t="shared" si="30"/>
        <v>26799.172036476601</v>
      </c>
      <c r="CI32" s="210">
        <f t="shared" si="30"/>
        <v>27927.558227486141</v>
      </c>
      <c r="CJ32" s="210">
        <f t="shared" si="30"/>
        <v>35220.710525938521</v>
      </c>
      <c r="CK32" s="210">
        <f t="shared" si="30"/>
        <v>44568.784860205174</v>
      </c>
      <c r="CL32" s="210">
        <f t="shared" si="30"/>
        <v>53916.859194471828</v>
      </c>
      <c r="CM32" s="210">
        <f t="shared" si="30"/>
        <v>63264.933528738489</v>
      </c>
      <c r="CN32" s="210">
        <f t="shared" si="30"/>
        <v>72613.007863005143</v>
      </c>
      <c r="CO32" s="210">
        <f t="shared" si="30"/>
        <v>81961.082197271797</v>
      </c>
      <c r="CP32" s="210">
        <f t="shared" si="30"/>
        <v>91309.156531538451</v>
      </c>
      <c r="CQ32" s="210">
        <f t="shared" si="30"/>
        <v>100657.23086580509</v>
      </c>
      <c r="CR32" s="210">
        <f t="shared" si="31"/>
        <v>110005.30520007176</v>
      </c>
      <c r="CS32" s="210">
        <f t="shared" si="31"/>
        <v>119353.37953433841</v>
      </c>
      <c r="CT32" s="210">
        <f t="shared" si="31"/>
        <v>128701.45386860505</v>
      </c>
      <c r="CU32" s="210">
        <f t="shared" si="31"/>
        <v>138049.52820287173</v>
      </c>
      <c r="CV32" s="210">
        <f t="shared" si="31"/>
        <v>147397.60253713839</v>
      </c>
      <c r="CW32" s="210">
        <f t="shared" si="31"/>
        <v>154408.65828783836</v>
      </c>
      <c r="CX32" s="210">
        <f t="shared" si="31"/>
        <v>154408.65828783836</v>
      </c>
      <c r="CY32" s="210">
        <f t="shared" si="31"/>
        <v>154408.65828783836</v>
      </c>
      <c r="CZ32" s="210">
        <f t="shared" si="31"/>
        <v>154408.65828783836</v>
      </c>
      <c r="DA32" s="210">
        <f t="shared" si="31"/>
        <v>154408.65828783836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22"/>
        <v>0</v>
      </c>
      <c r="G33" s="210">
        <f t="shared" si="22"/>
        <v>0</v>
      </c>
      <c r="H33" s="210">
        <f t="shared" si="22"/>
        <v>0</v>
      </c>
      <c r="I33" s="210">
        <f t="shared" si="22"/>
        <v>0</v>
      </c>
      <c r="J33" s="210">
        <f t="shared" si="22"/>
        <v>0</v>
      </c>
      <c r="K33" s="210">
        <f t="shared" si="22"/>
        <v>0</v>
      </c>
      <c r="L33" s="210">
        <f t="shared" si="22"/>
        <v>0</v>
      </c>
      <c r="M33" s="210">
        <f t="shared" si="22"/>
        <v>0</v>
      </c>
      <c r="N33" s="210">
        <f t="shared" si="22"/>
        <v>0</v>
      </c>
      <c r="O33" s="210">
        <f t="shared" si="22"/>
        <v>0</v>
      </c>
      <c r="P33" s="210">
        <f t="shared" si="23"/>
        <v>0</v>
      </c>
      <c r="Q33" s="210">
        <f t="shared" si="23"/>
        <v>0</v>
      </c>
      <c r="R33" s="210">
        <f t="shared" si="23"/>
        <v>0</v>
      </c>
      <c r="S33" s="210">
        <f t="shared" si="23"/>
        <v>0</v>
      </c>
      <c r="T33" s="210">
        <f t="shared" si="23"/>
        <v>0</v>
      </c>
      <c r="U33" s="210">
        <f t="shared" si="23"/>
        <v>0</v>
      </c>
      <c r="V33" s="210">
        <f t="shared" si="23"/>
        <v>0</v>
      </c>
      <c r="W33" s="210">
        <f t="shared" si="23"/>
        <v>0</v>
      </c>
      <c r="X33" s="210">
        <f t="shared" si="23"/>
        <v>0</v>
      </c>
      <c r="Y33" s="210">
        <f t="shared" si="23"/>
        <v>0</v>
      </c>
      <c r="Z33" s="210">
        <f t="shared" si="24"/>
        <v>0</v>
      </c>
      <c r="AA33" s="210">
        <f t="shared" si="24"/>
        <v>0</v>
      </c>
      <c r="AB33" s="210">
        <f t="shared" si="24"/>
        <v>0</v>
      </c>
      <c r="AC33" s="210">
        <f t="shared" si="24"/>
        <v>0</v>
      </c>
      <c r="AD33" s="210">
        <f t="shared" si="24"/>
        <v>0</v>
      </c>
      <c r="AE33" s="210">
        <f t="shared" si="24"/>
        <v>0</v>
      </c>
      <c r="AF33" s="210">
        <f t="shared" si="24"/>
        <v>0</v>
      </c>
      <c r="AG33" s="210">
        <f t="shared" si="24"/>
        <v>0</v>
      </c>
      <c r="AH33" s="210">
        <f t="shared" si="24"/>
        <v>0</v>
      </c>
      <c r="AI33" s="210">
        <f t="shared" si="24"/>
        <v>0</v>
      </c>
      <c r="AJ33" s="210">
        <f t="shared" si="25"/>
        <v>0</v>
      </c>
      <c r="AK33" s="210">
        <f t="shared" si="25"/>
        <v>0</v>
      </c>
      <c r="AL33" s="210">
        <f t="shared" si="25"/>
        <v>0</v>
      </c>
      <c r="AM33" s="210">
        <f t="shared" si="25"/>
        <v>0</v>
      </c>
      <c r="AN33" s="210">
        <f t="shared" si="25"/>
        <v>0</v>
      </c>
      <c r="AO33" s="210">
        <f t="shared" si="25"/>
        <v>0</v>
      </c>
      <c r="AP33" s="210">
        <f t="shared" si="25"/>
        <v>0</v>
      </c>
      <c r="AQ33" s="210">
        <f t="shared" si="25"/>
        <v>0</v>
      </c>
      <c r="AR33" s="210">
        <f t="shared" si="25"/>
        <v>0</v>
      </c>
      <c r="AS33" s="210">
        <f t="shared" si="25"/>
        <v>0</v>
      </c>
      <c r="AT33" s="210">
        <f t="shared" si="26"/>
        <v>0</v>
      </c>
      <c r="AU33" s="210">
        <f t="shared" si="26"/>
        <v>0</v>
      </c>
      <c r="AV33" s="210">
        <f t="shared" si="26"/>
        <v>0</v>
      </c>
      <c r="AW33" s="210">
        <f t="shared" si="26"/>
        <v>0</v>
      </c>
      <c r="AX33" s="210">
        <f t="shared" si="26"/>
        <v>0</v>
      </c>
      <c r="AY33" s="210">
        <f t="shared" si="26"/>
        <v>0</v>
      </c>
      <c r="AZ33" s="210">
        <f t="shared" si="26"/>
        <v>0</v>
      </c>
      <c r="BA33" s="210">
        <f t="shared" si="26"/>
        <v>0</v>
      </c>
      <c r="BB33" s="210">
        <f t="shared" si="26"/>
        <v>0</v>
      </c>
      <c r="BC33" s="210">
        <f t="shared" si="26"/>
        <v>0</v>
      </c>
      <c r="BD33" s="210">
        <f t="shared" si="27"/>
        <v>0</v>
      </c>
      <c r="BE33" s="210">
        <f t="shared" si="27"/>
        <v>0</v>
      </c>
      <c r="BF33" s="210">
        <f t="shared" si="27"/>
        <v>0</v>
      </c>
      <c r="BG33" s="210">
        <f t="shared" si="27"/>
        <v>0</v>
      </c>
      <c r="BH33" s="210">
        <f t="shared" si="27"/>
        <v>0</v>
      </c>
      <c r="BI33" s="210">
        <f t="shared" si="27"/>
        <v>0</v>
      </c>
      <c r="BJ33" s="210">
        <f t="shared" si="27"/>
        <v>0</v>
      </c>
      <c r="BK33" s="210">
        <f t="shared" si="27"/>
        <v>0</v>
      </c>
      <c r="BL33" s="210">
        <f t="shared" si="27"/>
        <v>0</v>
      </c>
      <c r="BM33" s="210">
        <f t="shared" si="27"/>
        <v>0</v>
      </c>
      <c r="BN33" s="210">
        <f t="shared" si="28"/>
        <v>0</v>
      </c>
      <c r="BO33" s="210">
        <f t="shared" si="28"/>
        <v>0</v>
      </c>
      <c r="BP33" s="210">
        <f t="shared" si="28"/>
        <v>0</v>
      </c>
      <c r="BQ33" s="210">
        <f t="shared" si="28"/>
        <v>0</v>
      </c>
      <c r="BR33" s="210">
        <f t="shared" si="28"/>
        <v>0</v>
      </c>
      <c r="BS33" s="210">
        <f t="shared" si="28"/>
        <v>0</v>
      </c>
      <c r="BT33" s="210">
        <f t="shared" si="28"/>
        <v>0</v>
      </c>
      <c r="BU33" s="210">
        <f t="shared" si="28"/>
        <v>0</v>
      </c>
      <c r="BV33" s="210">
        <f t="shared" si="28"/>
        <v>0</v>
      </c>
      <c r="BW33" s="210">
        <f t="shared" si="28"/>
        <v>0</v>
      </c>
      <c r="BX33" s="210">
        <f t="shared" si="29"/>
        <v>0</v>
      </c>
      <c r="BY33" s="210">
        <f t="shared" si="29"/>
        <v>0</v>
      </c>
      <c r="BZ33" s="210">
        <f t="shared" si="29"/>
        <v>0</v>
      </c>
      <c r="CA33" s="210">
        <f t="shared" si="29"/>
        <v>0</v>
      </c>
      <c r="CB33" s="210">
        <f t="shared" si="29"/>
        <v>0</v>
      </c>
      <c r="CC33" s="210">
        <f t="shared" si="29"/>
        <v>0</v>
      </c>
      <c r="CD33" s="210">
        <f t="shared" si="29"/>
        <v>0</v>
      </c>
      <c r="CE33" s="210">
        <f t="shared" si="29"/>
        <v>0</v>
      </c>
      <c r="CF33" s="210">
        <f t="shared" si="29"/>
        <v>0</v>
      </c>
      <c r="CG33" s="210">
        <f t="shared" si="29"/>
        <v>0</v>
      </c>
      <c r="CH33" s="210">
        <f t="shared" si="30"/>
        <v>0</v>
      </c>
      <c r="CI33" s="210">
        <f t="shared" si="30"/>
        <v>0</v>
      </c>
      <c r="CJ33" s="210">
        <f t="shared" si="30"/>
        <v>0</v>
      </c>
      <c r="CK33" s="210">
        <f t="shared" si="30"/>
        <v>0</v>
      </c>
      <c r="CL33" s="210">
        <f t="shared" si="30"/>
        <v>0</v>
      </c>
      <c r="CM33" s="210">
        <f t="shared" si="30"/>
        <v>0</v>
      </c>
      <c r="CN33" s="210">
        <f t="shared" si="30"/>
        <v>0</v>
      </c>
      <c r="CO33" s="210">
        <f t="shared" si="30"/>
        <v>0</v>
      </c>
      <c r="CP33" s="210">
        <f t="shared" si="30"/>
        <v>0</v>
      </c>
      <c r="CQ33" s="210">
        <f t="shared" si="30"/>
        <v>0</v>
      </c>
      <c r="CR33" s="210">
        <f t="shared" si="31"/>
        <v>0</v>
      </c>
      <c r="CS33" s="210">
        <f t="shared" si="31"/>
        <v>0</v>
      </c>
      <c r="CT33" s="210">
        <f t="shared" si="31"/>
        <v>0</v>
      </c>
      <c r="CU33" s="210">
        <f t="shared" si="31"/>
        <v>0</v>
      </c>
      <c r="CV33" s="210">
        <f t="shared" si="31"/>
        <v>0</v>
      </c>
      <c r="CW33" s="210">
        <f t="shared" si="31"/>
        <v>0</v>
      </c>
      <c r="CX33" s="210">
        <f t="shared" si="31"/>
        <v>0</v>
      </c>
      <c r="CY33" s="210">
        <f t="shared" si="31"/>
        <v>0</v>
      </c>
      <c r="CZ33" s="210">
        <f t="shared" si="31"/>
        <v>0</v>
      </c>
      <c r="DA33" s="210">
        <f t="shared" si="31"/>
        <v>0</v>
      </c>
    </row>
    <row r="34" spans="1:105">
      <c r="A34" s="201" t="str">
        <f>Income!A82</f>
        <v>Small business/petty trading</v>
      </c>
      <c r="B34" s="203">
        <f>Income!B82</f>
        <v>1575.0156205517019</v>
      </c>
      <c r="C34" s="203">
        <f>Income!C82</f>
        <v>1148.448889985616</v>
      </c>
      <c r="D34" s="203">
        <f>Income!D82</f>
        <v>0</v>
      </c>
      <c r="E34" s="203">
        <f>Income!E82</f>
        <v>60961.888313094656</v>
      </c>
      <c r="F34" s="210">
        <f t="shared" si="22"/>
        <v>1575.0156205517019</v>
      </c>
      <c r="G34" s="210">
        <f t="shared" si="22"/>
        <v>1575.0156205517019</v>
      </c>
      <c r="H34" s="210">
        <f t="shared" si="22"/>
        <v>1575.0156205517019</v>
      </c>
      <c r="I34" s="210">
        <f t="shared" si="22"/>
        <v>1575.0156205517019</v>
      </c>
      <c r="J34" s="210">
        <f t="shared" si="22"/>
        <v>1575.0156205517019</v>
      </c>
      <c r="K34" s="210">
        <f t="shared" si="22"/>
        <v>1575.0156205517019</v>
      </c>
      <c r="L34" s="210">
        <f t="shared" si="22"/>
        <v>1575.0156205517019</v>
      </c>
      <c r="M34" s="210">
        <f t="shared" si="22"/>
        <v>1575.0156205517019</v>
      </c>
      <c r="N34" s="210">
        <f t="shared" si="22"/>
        <v>1575.0156205517019</v>
      </c>
      <c r="O34" s="210">
        <f t="shared" si="22"/>
        <v>1575.0156205517019</v>
      </c>
      <c r="P34" s="210">
        <f t="shared" si="23"/>
        <v>1575.0156205517019</v>
      </c>
      <c r="Q34" s="210">
        <f t="shared" si="23"/>
        <v>1575.0156205517019</v>
      </c>
      <c r="R34" s="210">
        <f t="shared" si="23"/>
        <v>1575.0156205517019</v>
      </c>
      <c r="S34" s="210">
        <f t="shared" si="23"/>
        <v>1575.0156205517019</v>
      </c>
      <c r="T34" s="210">
        <f t="shared" si="23"/>
        <v>1575.0156205517019</v>
      </c>
      <c r="U34" s="210">
        <f t="shared" si="23"/>
        <v>1575.0156205517019</v>
      </c>
      <c r="V34" s="210">
        <f t="shared" si="23"/>
        <v>1575.0156205517019</v>
      </c>
      <c r="W34" s="210">
        <f t="shared" si="23"/>
        <v>1575.0156205517019</v>
      </c>
      <c r="X34" s="210">
        <f t="shared" si="23"/>
        <v>1575.0156205517019</v>
      </c>
      <c r="Y34" s="210">
        <f t="shared" si="23"/>
        <v>1575.0156205517019</v>
      </c>
      <c r="Z34" s="210">
        <f t="shared" si="24"/>
        <v>1572.0939306163177</v>
      </c>
      <c r="AA34" s="210">
        <f t="shared" si="24"/>
        <v>1560.4071708747811</v>
      </c>
      <c r="AB34" s="210">
        <f t="shared" si="24"/>
        <v>1548.7204111332446</v>
      </c>
      <c r="AC34" s="210">
        <f t="shared" si="24"/>
        <v>1537.033651391708</v>
      </c>
      <c r="AD34" s="210">
        <f t="shared" si="24"/>
        <v>1525.3468916501713</v>
      </c>
      <c r="AE34" s="210">
        <f t="shared" si="24"/>
        <v>1513.6601319086346</v>
      </c>
      <c r="AF34" s="210">
        <f t="shared" si="24"/>
        <v>1501.9733721670982</v>
      </c>
      <c r="AG34" s="210">
        <f t="shared" si="24"/>
        <v>1490.2866124255615</v>
      </c>
      <c r="AH34" s="210">
        <f t="shared" si="24"/>
        <v>1478.5998526840249</v>
      </c>
      <c r="AI34" s="210">
        <f t="shared" si="24"/>
        <v>1466.9130929424882</v>
      </c>
      <c r="AJ34" s="210">
        <f t="shared" si="25"/>
        <v>1455.2263332009518</v>
      </c>
      <c r="AK34" s="210">
        <f t="shared" si="25"/>
        <v>1443.5395734594151</v>
      </c>
      <c r="AL34" s="210">
        <f t="shared" si="25"/>
        <v>1431.8528137178785</v>
      </c>
      <c r="AM34" s="210">
        <f t="shared" si="25"/>
        <v>1420.166053976342</v>
      </c>
      <c r="AN34" s="210">
        <f t="shared" si="25"/>
        <v>1408.4792942348054</v>
      </c>
      <c r="AO34" s="210">
        <f t="shared" si="25"/>
        <v>1396.7925344932687</v>
      </c>
      <c r="AP34" s="210">
        <f t="shared" si="25"/>
        <v>1385.105774751732</v>
      </c>
      <c r="AQ34" s="210">
        <f t="shared" si="25"/>
        <v>1373.4190150101956</v>
      </c>
      <c r="AR34" s="210">
        <f t="shared" si="25"/>
        <v>1361.7322552686589</v>
      </c>
      <c r="AS34" s="210">
        <f t="shared" si="25"/>
        <v>1350.0454955271223</v>
      </c>
      <c r="AT34" s="210">
        <f t="shared" si="26"/>
        <v>1338.3587357855858</v>
      </c>
      <c r="AU34" s="210">
        <f t="shared" si="26"/>
        <v>1326.6719760440492</v>
      </c>
      <c r="AV34" s="210">
        <f t="shared" si="26"/>
        <v>1314.9852163025125</v>
      </c>
      <c r="AW34" s="210">
        <f t="shared" si="26"/>
        <v>1303.2984565609759</v>
      </c>
      <c r="AX34" s="210">
        <f t="shared" si="26"/>
        <v>1291.6116968194394</v>
      </c>
      <c r="AY34" s="210">
        <f t="shared" si="26"/>
        <v>1279.9249370779028</v>
      </c>
      <c r="AZ34" s="210">
        <f t="shared" si="26"/>
        <v>1268.2381773363661</v>
      </c>
      <c r="BA34" s="210">
        <f t="shared" si="26"/>
        <v>1256.5514175948297</v>
      </c>
      <c r="BB34" s="210">
        <f t="shared" si="26"/>
        <v>1244.864657853293</v>
      </c>
      <c r="BC34" s="210">
        <f t="shared" si="26"/>
        <v>1233.1778981117563</v>
      </c>
      <c r="BD34" s="210">
        <f t="shared" si="27"/>
        <v>1221.4911383702197</v>
      </c>
      <c r="BE34" s="210">
        <f t="shared" si="27"/>
        <v>1209.804378628683</v>
      </c>
      <c r="BF34" s="210">
        <f t="shared" si="27"/>
        <v>1198.1176188871466</v>
      </c>
      <c r="BG34" s="210">
        <f t="shared" si="27"/>
        <v>1186.4308591456099</v>
      </c>
      <c r="BH34" s="210">
        <f t="shared" si="27"/>
        <v>1174.7440994040733</v>
      </c>
      <c r="BI34" s="210">
        <f t="shared" si="27"/>
        <v>1163.0573396625368</v>
      </c>
      <c r="BJ34" s="210">
        <f t="shared" si="27"/>
        <v>1151.3705799210002</v>
      </c>
      <c r="BK34" s="210">
        <f t="shared" si="27"/>
        <v>1113.9954232860475</v>
      </c>
      <c r="BL34" s="210">
        <f t="shared" si="27"/>
        <v>1068.0574676866229</v>
      </c>
      <c r="BM34" s="210">
        <f t="shared" si="27"/>
        <v>1022.1195120871982</v>
      </c>
      <c r="BN34" s="210">
        <f t="shared" si="28"/>
        <v>976.18155648777361</v>
      </c>
      <c r="BO34" s="210">
        <f t="shared" si="28"/>
        <v>930.24360088834896</v>
      </c>
      <c r="BP34" s="210">
        <f t="shared" si="28"/>
        <v>884.30564528892432</v>
      </c>
      <c r="BQ34" s="210">
        <f t="shared" si="28"/>
        <v>838.36768968949968</v>
      </c>
      <c r="BR34" s="210">
        <f t="shared" si="28"/>
        <v>792.42973409007504</v>
      </c>
      <c r="BS34" s="210">
        <f t="shared" si="28"/>
        <v>746.4917784906504</v>
      </c>
      <c r="BT34" s="210">
        <f t="shared" si="28"/>
        <v>700.55382289122576</v>
      </c>
      <c r="BU34" s="210">
        <f t="shared" si="28"/>
        <v>654.61586729180112</v>
      </c>
      <c r="BV34" s="210">
        <f t="shared" si="28"/>
        <v>608.67791169237648</v>
      </c>
      <c r="BW34" s="210">
        <f t="shared" si="28"/>
        <v>562.73995609295184</v>
      </c>
      <c r="BX34" s="210">
        <f t="shared" si="29"/>
        <v>516.8020004935272</v>
      </c>
      <c r="BY34" s="210">
        <f t="shared" si="29"/>
        <v>470.86404489410256</v>
      </c>
      <c r="BZ34" s="210">
        <f t="shared" si="29"/>
        <v>424.92608929467804</v>
      </c>
      <c r="CA34" s="210">
        <f t="shared" si="29"/>
        <v>378.98813369525328</v>
      </c>
      <c r="CB34" s="210">
        <f t="shared" si="29"/>
        <v>333.05017809582864</v>
      </c>
      <c r="CC34" s="210">
        <f t="shared" si="29"/>
        <v>287.112222496404</v>
      </c>
      <c r="CD34" s="210">
        <f t="shared" si="29"/>
        <v>241.17426689697947</v>
      </c>
      <c r="CE34" s="210">
        <f t="shared" si="29"/>
        <v>195.23631129755472</v>
      </c>
      <c r="CF34" s="210">
        <f t="shared" si="29"/>
        <v>149.29835569813008</v>
      </c>
      <c r="CG34" s="210">
        <f t="shared" si="29"/>
        <v>103.36040009870544</v>
      </c>
      <c r="CH34" s="210">
        <f t="shared" si="30"/>
        <v>57.4224444992808</v>
      </c>
      <c r="CI34" s="210">
        <f t="shared" si="30"/>
        <v>11.48448889985616</v>
      </c>
      <c r="CJ34" s="210">
        <f t="shared" si="30"/>
        <v>3386.7715729497031</v>
      </c>
      <c r="CK34" s="210">
        <f t="shared" si="30"/>
        <v>7902.4670035493073</v>
      </c>
      <c r="CL34" s="210">
        <f t="shared" si="30"/>
        <v>12418.16243414891</v>
      </c>
      <c r="CM34" s="210">
        <f t="shared" si="30"/>
        <v>16933.857864748516</v>
      </c>
      <c r="CN34" s="210">
        <f t="shared" si="30"/>
        <v>21449.55329534812</v>
      </c>
      <c r="CO34" s="210">
        <f t="shared" si="30"/>
        <v>25965.248725947724</v>
      </c>
      <c r="CP34" s="210">
        <f t="shared" si="30"/>
        <v>30480.944156547328</v>
      </c>
      <c r="CQ34" s="210">
        <f t="shared" si="30"/>
        <v>34996.639587146936</v>
      </c>
      <c r="CR34" s="210">
        <f t="shared" si="31"/>
        <v>39512.33501774654</v>
      </c>
      <c r="CS34" s="210">
        <f t="shared" si="31"/>
        <v>44028.030448346137</v>
      </c>
      <c r="CT34" s="210">
        <f t="shared" si="31"/>
        <v>48543.725878945741</v>
      </c>
      <c r="CU34" s="210">
        <f t="shared" si="31"/>
        <v>53059.421309545352</v>
      </c>
      <c r="CV34" s="210">
        <f t="shared" si="31"/>
        <v>57575.116740144957</v>
      </c>
      <c r="CW34" s="210">
        <f t="shared" si="31"/>
        <v>60961.888313094656</v>
      </c>
      <c r="CX34" s="210">
        <f t="shared" si="31"/>
        <v>60961.888313094656</v>
      </c>
      <c r="CY34" s="210">
        <f t="shared" si="31"/>
        <v>60961.888313094656</v>
      </c>
      <c r="CZ34" s="210">
        <f t="shared" si="31"/>
        <v>60961.888313094656</v>
      </c>
      <c r="DA34" s="210">
        <f t="shared" si="31"/>
        <v>60961.888313094656</v>
      </c>
    </row>
    <row r="35" spans="1:105">
      <c r="A35" s="201" t="str">
        <f>Income!A83</f>
        <v>Food transfer - official</v>
      </c>
      <c r="B35" s="203">
        <f>Income!B83</f>
        <v>2542.6668466728388</v>
      </c>
      <c r="C35" s="203">
        <f>Income!C83</f>
        <v>2592.6389326114268</v>
      </c>
      <c r="D35" s="203">
        <f>Income!D83</f>
        <v>2307.4028516274425</v>
      </c>
      <c r="E35" s="203">
        <f>Income!E83</f>
        <v>403.95618288041288</v>
      </c>
      <c r="F35" s="210">
        <f t="shared" si="22"/>
        <v>2542.6668466728388</v>
      </c>
      <c r="G35" s="210">
        <f t="shared" si="22"/>
        <v>2542.6668466728388</v>
      </c>
      <c r="H35" s="210">
        <f t="shared" si="22"/>
        <v>2542.6668466728388</v>
      </c>
      <c r="I35" s="210">
        <f t="shared" si="22"/>
        <v>2542.6668466728388</v>
      </c>
      <c r="J35" s="210">
        <f t="shared" si="22"/>
        <v>2542.6668466728388</v>
      </c>
      <c r="K35" s="210">
        <f t="shared" si="22"/>
        <v>2542.6668466728388</v>
      </c>
      <c r="L35" s="210">
        <f t="shared" si="22"/>
        <v>2542.6668466728388</v>
      </c>
      <c r="M35" s="210">
        <f t="shared" si="22"/>
        <v>2542.6668466728388</v>
      </c>
      <c r="N35" s="210">
        <f t="shared" si="22"/>
        <v>2542.6668466728388</v>
      </c>
      <c r="O35" s="210">
        <f t="shared" si="22"/>
        <v>2542.6668466728388</v>
      </c>
      <c r="P35" s="210">
        <f t="shared" si="23"/>
        <v>2542.6668466728388</v>
      </c>
      <c r="Q35" s="210">
        <f t="shared" si="23"/>
        <v>2542.6668466728388</v>
      </c>
      <c r="R35" s="210">
        <f t="shared" si="23"/>
        <v>2542.6668466728388</v>
      </c>
      <c r="S35" s="210">
        <f t="shared" si="23"/>
        <v>2542.6668466728388</v>
      </c>
      <c r="T35" s="210">
        <f t="shared" si="23"/>
        <v>2542.6668466728388</v>
      </c>
      <c r="U35" s="210">
        <f t="shared" si="23"/>
        <v>2542.6668466728388</v>
      </c>
      <c r="V35" s="210">
        <f t="shared" si="23"/>
        <v>2542.6668466728388</v>
      </c>
      <c r="W35" s="210">
        <f t="shared" si="23"/>
        <v>2542.6668466728388</v>
      </c>
      <c r="X35" s="210">
        <f t="shared" si="23"/>
        <v>2542.6668466728388</v>
      </c>
      <c r="Y35" s="210">
        <f t="shared" si="23"/>
        <v>2542.6668466728388</v>
      </c>
      <c r="Z35" s="210">
        <f t="shared" si="24"/>
        <v>2543.0091212340621</v>
      </c>
      <c r="AA35" s="210">
        <f t="shared" si="24"/>
        <v>2544.3782194789546</v>
      </c>
      <c r="AB35" s="210">
        <f t="shared" si="24"/>
        <v>2545.7473177238476</v>
      </c>
      <c r="AC35" s="210">
        <f t="shared" si="24"/>
        <v>2547.1164159687405</v>
      </c>
      <c r="AD35" s="210">
        <f t="shared" si="24"/>
        <v>2548.4855142136335</v>
      </c>
      <c r="AE35" s="210">
        <f t="shared" si="24"/>
        <v>2549.8546124585259</v>
      </c>
      <c r="AF35" s="210">
        <f t="shared" si="24"/>
        <v>2551.2237107034189</v>
      </c>
      <c r="AG35" s="210">
        <f t="shared" si="24"/>
        <v>2552.5928089483118</v>
      </c>
      <c r="AH35" s="210">
        <f t="shared" si="24"/>
        <v>2553.9619071932048</v>
      </c>
      <c r="AI35" s="210">
        <f t="shared" si="24"/>
        <v>2555.3310054380972</v>
      </c>
      <c r="AJ35" s="210">
        <f t="shared" si="25"/>
        <v>2556.7001036829902</v>
      </c>
      <c r="AK35" s="210">
        <f t="shared" si="25"/>
        <v>2558.0692019278831</v>
      </c>
      <c r="AL35" s="210">
        <f t="shared" si="25"/>
        <v>2559.4383001727761</v>
      </c>
      <c r="AM35" s="210">
        <f t="shared" si="25"/>
        <v>2560.8073984176685</v>
      </c>
      <c r="AN35" s="210">
        <f t="shared" si="25"/>
        <v>2562.1764966625615</v>
      </c>
      <c r="AO35" s="210">
        <f t="shared" si="25"/>
        <v>2563.5455949074544</v>
      </c>
      <c r="AP35" s="210">
        <f t="shared" si="25"/>
        <v>2564.9146931523474</v>
      </c>
      <c r="AQ35" s="210">
        <f t="shared" si="25"/>
        <v>2566.2837913972398</v>
      </c>
      <c r="AR35" s="210">
        <f t="shared" si="25"/>
        <v>2567.6528896421328</v>
      </c>
      <c r="AS35" s="210">
        <f t="shared" si="25"/>
        <v>2569.0219878870257</v>
      </c>
      <c r="AT35" s="210">
        <f t="shared" si="26"/>
        <v>2570.3910861319182</v>
      </c>
      <c r="AU35" s="210">
        <f t="shared" si="26"/>
        <v>2571.7601843768111</v>
      </c>
      <c r="AV35" s="210">
        <f t="shared" si="26"/>
        <v>2573.1292826217041</v>
      </c>
      <c r="AW35" s="210">
        <f t="shared" si="26"/>
        <v>2574.498380866597</v>
      </c>
      <c r="AX35" s="210">
        <f t="shared" si="26"/>
        <v>2575.8674791114895</v>
      </c>
      <c r="AY35" s="210">
        <f t="shared" si="26"/>
        <v>2577.2365773563824</v>
      </c>
      <c r="AZ35" s="210">
        <f t="shared" si="26"/>
        <v>2578.6056756012754</v>
      </c>
      <c r="BA35" s="210">
        <f t="shared" si="26"/>
        <v>2579.9747738461683</v>
      </c>
      <c r="BB35" s="210">
        <f t="shared" si="26"/>
        <v>2581.3438720910608</v>
      </c>
      <c r="BC35" s="210">
        <f t="shared" si="26"/>
        <v>2582.7129703359537</v>
      </c>
      <c r="BD35" s="210">
        <f t="shared" si="27"/>
        <v>2584.0820685808467</v>
      </c>
      <c r="BE35" s="210">
        <f t="shared" si="27"/>
        <v>2585.4511668257396</v>
      </c>
      <c r="BF35" s="210">
        <f t="shared" si="27"/>
        <v>2586.8202650706321</v>
      </c>
      <c r="BG35" s="210">
        <f t="shared" si="27"/>
        <v>2588.189363315525</v>
      </c>
      <c r="BH35" s="210">
        <f t="shared" si="27"/>
        <v>2589.558461560418</v>
      </c>
      <c r="BI35" s="210">
        <f t="shared" si="27"/>
        <v>2590.9275598053109</v>
      </c>
      <c r="BJ35" s="210">
        <f t="shared" si="27"/>
        <v>2592.2966580502034</v>
      </c>
      <c r="BK35" s="210">
        <f t="shared" si="27"/>
        <v>2584.0818501819072</v>
      </c>
      <c r="BL35" s="210">
        <f t="shared" si="27"/>
        <v>2572.6724069425477</v>
      </c>
      <c r="BM35" s="210">
        <f t="shared" si="27"/>
        <v>2561.2629637031887</v>
      </c>
      <c r="BN35" s="210">
        <f t="shared" si="28"/>
        <v>2549.8535204638292</v>
      </c>
      <c r="BO35" s="210">
        <f t="shared" si="28"/>
        <v>2538.4440772244698</v>
      </c>
      <c r="BP35" s="210">
        <f t="shared" si="28"/>
        <v>2527.0346339851103</v>
      </c>
      <c r="BQ35" s="210">
        <f t="shared" si="28"/>
        <v>2515.6251907457508</v>
      </c>
      <c r="BR35" s="210">
        <f t="shared" si="28"/>
        <v>2504.2157475063918</v>
      </c>
      <c r="BS35" s="210">
        <f t="shared" si="28"/>
        <v>2492.8063042670324</v>
      </c>
      <c r="BT35" s="210">
        <f t="shared" si="28"/>
        <v>2481.3968610276729</v>
      </c>
      <c r="BU35" s="210">
        <f t="shared" si="28"/>
        <v>2469.9874177883135</v>
      </c>
      <c r="BV35" s="210">
        <f t="shared" si="28"/>
        <v>2458.577974548954</v>
      </c>
      <c r="BW35" s="210">
        <f t="shared" si="28"/>
        <v>2447.168531309595</v>
      </c>
      <c r="BX35" s="210">
        <f t="shared" si="29"/>
        <v>2435.7590880702355</v>
      </c>
      <c r="BY35" s="210">
        <f t="shared" si="29"/>
        <v>2424.3496448308761</v>
      </c>
      <c r="BZ35" s="210">
        <f t="shared" si="29"/>
        <v>2412.9402015915166</v>
      </c>
      <c r="CA35" s="210">
        <f t="shared" si="29"/>
        <v>2401.5307583521571</v>
      </c>
      <c r="CB35" s="210">
        <f t="shared" si="29"/>
        <v>2390.1213151127981</v>
      </c>
      <c r="CC35" s="210">
        <f t="shared" si="29"/>
        <v>2378.7118718734387</v>
      </c>
      <c r="CD35" s="210">
        <f t="shared" si="29"/>
        <v>2367.3024286340792</v>
      </c>
      <c r="CE35" s="210">
        <f t="shared" si="29"/>
        <v>2355.8929853947197</v>
      </c>
      <c r="CF35" s="210">
        <f t="shared" si="29"/>
        <v>2344.4835421553603</v>
      </c>
      <c r="CG35" s="210">
        <f t="shared" si="29"/>
        <v>2333.0740989160013</v>
      </c>
      <c r="CH35" s="210">
        <f t="shared" si="30"/>
        <v>2321.6646556766418</v>
      </c>
      <c r="CI35" s="210">
        <f t="shared" si="30"/>
        <v>2310.2552124372824</v>
      </c>
      <c r="CJ35" s="210">
        <f t="shared" si="30"/>
        <v>2201.6558144748296</v>
      </c>
      <c r="CK35" s="210">
        <f t="shared" si="30"/>
        <v>2060.6597649380128</v>
      </c>
      <c r="CL35" s="210">
        <f t="shared" si="30"/>
        <v>1919.6637154011958</v>
      </c>
      <c r="CM35" s="210">
        <f t="shared" si="30"/>
        <v>1778.6676658643787</v>
      </c>
      <c r="CN35" s="210">
        <f t="shared" si="30"/>
        <v>1637.6716163275617</v>
      </c>
      <c r="CO35" s="210">
        <f t="shared" si="30"/>
        <v>1496.6755667907446</v>
      </c>
      <c r="CP35" s="210">
        <f t="shared" si="30"/>
        <v>1355.6795172539278</v>
      </c>
      <c r="CQ35" s="210">
        <f t="shared" si="30"/>
        <v>1214.6834677171105</v>
      </c>
      <c r="CR35" s="210">
        <f t="shared" si="31"/>
        <v>1073.6874181802937</v>
      </c>
      <c r="CS35" s="210">
        <f t="shared" si="31"/>
        <v>932.69136864347661</v>
      </c>
      <c r="CT35" s="210">
        <f t="shared" si="31"/>
        <v>791.69531910665955</v>
      </c>
      <c r="CU35" s="210">
        <f t="shared" si="31"/>
        <v>650.6992695698425</v>
      </c>
      <c r="CV35" s="210">
        <f t="shared" si="31"/>
        <v>509.70322003302567</v>
      </c>
      <c r="CW35" s="210">
        <f t="shared" si="31"/>
        <v>403.95618288041288</v>
      </c>
      <c r="CX35" s="210">
        <f t="shared" si="31"/>
        <v>403.95618288041288</v>
      </c>
      <c r="CY35" s="210">
        <f t="shared" si="31"/>
        <v>403.95618288041288</v>
      </c>
      <c r="CZ35" s="210">
        <f t="shared" si="31"/>
        <v>403.95618288041288</v>
      </c>
      <c r="DA35" s="210">
        <f t="shared" si="31"/>
        <v>403.95618288041288</v>
      </c>
    </row>
    <row r="36" spans="1:105">
      <c r="A36" s="201" t="str">
        <f>Income!A85</f>
        <v>Cash transfer - official</v>
      </c>
      <c r="B36" s="203">
        <f>Income!B85</f>
        <v>23585.858917761736</v>
      </c>
      <c r="C36" s="203">
        <f>Income!C85</f>
        <v>31271.442953672617</v>
      </c>
      <c r="D36" s="203">
        <f>Income!D85</f>
        <v>9343.217663344205</v>
      </c>
      <c r="E36" s="203">
        <f>Income!E85</f>
        <v>11264.238186571814</v>
      </c>
      <c r="F36" s="210">
        <f t="shared" si="22"/>
        <v>23585.858917761736</v>
      </c>
      <c r="G36" s="210">
        <f t="shared" si="22"/>
        <v>23585.858917761736</v>
      </c>
      <c r="H36" s="210">
        <f t="shared" si="22"/>
        <v>23585.858917761736</v>
      </c>
      <c r="I36" s="210">
        <f t="shared" si="22"/>
        <v>23585.858917761736</v>
      </c>
      <c r="J36" s="210">
        <f t="shared" si="22"/>
        <v>23585.858917761736</v>
      </c>
      <c r="K36" s="210">
        <f t="shared" si="22"/>
        <v>23585.858917761736</v>
      </c>
      <c r="L36" s="210">
        <f t="shared" si="22"/>
        <v>23585.858917761736</v>
      </c>
      <c r="M36" s="210">
        <f t="shared" si="22"/>
        <v>23585.858917761736</v>
      </c>
      <c r="N36" s="210">
        <f t="shared" si="22"/>
        <v>23585.858917761736</v>
      </c>
      <c r="O36" s="210">
        <f t="shared" si="22"/>
        <v>23585.858917761736</v>
      </c>
      <c r="P36" s="210">
        <f t="shared" si="22"/>
        <v>23585.858917761736</v>
      </c>
      <c r="Q36" s="210">
        <f t="shared" si="22"/>
        <v>23585.858917761736</v>
      </c>
      <c r="R36" s="210">
        <f t="shared" si="22"/>
        <v>23585.858917761736</v>
      </c>
      <c r="S36" s="210">
        <f t="shared" si="22"/>
        <v>23585.858917761736</v>
      </c>
      <c r="T36" s="210">
        <f t="shared" si="22"/>
        <v>23585.858917761736</v>
      </c>
      <c r="U36" s="210">
        <f t="shared" si="22"/>
        <v>23585.858917761736</v>
      </c>
      <c r="V36" s="210">
        <f t="shared" si="23"/>
        <v>23585.858917761736</v>
      </c>
      <c r="W36" s="210">
        <f t="shared" si="23"/>
        <v>23585.858917761736</v>
      </c>
      <c r="X36" s="210">
        <f t="shared" si="23"/>
        <v>23585.858917761736</v>
      </c>
      <c r="Y36" s="210">
        <f t="shared" si="23"/>
        <v>23585.858917761736</v>
      </c>
      <c r="Z36" s="210">
        <f t="shared" si="23"/>
        <v>23638.499904309072</v>
      </c>
      <c r="AA36" s="210">
        <f t="shared" si="23"/>
        <v>23849.063850498409</v>
      </c>
      <c r="AB36" s="210">
        <f t="shared" si="23"/>
        <v>24059.62779668775</v>
      </c>
      <c r="AC36" s="210">
        <f t="shared" si="23"/>
        <v>24270.191742877087</v>
      </c>
      <c r="AD36" s="210">
        <f t="shared" si="23"/>
        <v>24480.755689066427</v>
      </c>
      <c r="AE36" s="210">
        <f t="shared" si="23"/>
        <v>24691.319635255768</v>
      </c>
      <c r="AF36" s="210">
        <f t="shared" si="24"/>
        <v>24901.883581445105</v>
      </c>
      <c r="AG36" s="210">
        <f t="shared" si="24"/>
        <v>25112.447527634446</v>
      </c>
      <c r="AH36" s="210">
        <f t="shared" si="24"/>
        <v>25323.011473823783</v>
      </c>
      <c r="AI36" s="210">
        <f t="shared" si="24"/>
        <v>25533.575420013123</v>
      </c>
      <c r="AJ36" s="210">
        <f t="shared" si="24"/>
        <v>25744.139366202464</v>
      </c>
      <c r="AK36" s="210">
        <f t="shared" si="24"/>
        <v>25954.703312391801</v>
      </c>
      <c r="AL36" s="210">
        <f t="shared" si="24"/>
        <v>26165.267258581142</v>
      </c>
      <c r="AM36" s="210">
        <f t="shared" si="24"/>
        <v>26375.831204770482</v>
      </c>
      <c r="AN36" s="210">
        <f t="shared" si="24"/>
        <v>26586.395150959819</v>
      </c>
      <c r="AO36" s="210">
        <f t="shared" si="24"/>
        <v>26796.95909714916</v>
      </c>
      <c r="AP36" s="210">
        <f t="shared" si="25"/>
        <v>27007.523043338497</v>
      </c>
      <c r="AQ36" s="210">
        <f t="shared" si="25"/>
        <v>27218.086989527837</v>
      </c>
      <c r="AR36" s="210">
        <f t="shared" si="25"/>
        <v>27428.650935717178</v>
      </c>
      <c r="AS36" s="210">
        <f t="shared" si="25"/>
        <v>27639.214881906515</v>
      </c>
      <c r="AT36" s="210">
        <f t="shared" si="25"/>
        <v>27849.778828095856</v>
      </c>
      <c r="AU36" s="210">
        <f t="shared" si="25"/>
        <v>28060.342774285193</v>
      </c>
      <c r="AV36" s="210">
        <f t="shared" si="25"/>
        <v>28270.906720474533</v>
      </c>
      <c r="AW36" s="210">
        <f t="shared" si="25"/>
        <v>28481.470666663874</v>
      </c>
      <c r="AX36" s="210">
        <f t="shared" si="25"/>
        <v>28692.034612853211</v>
      </c>
      <c r="AY36" s="210">
        <f t="shared" si="25"/>
        <v>28902.598559042552</v>
      </c>
      <c r="AZ36" s="210">
        <f t="shared" si="26"/>
        <v>29113.162505231892</v>
      </c>
      <c r="BA36" s="210">
        <f t="shared" si="26"/>
        <v>29323.726451421229</v>
      </c>
      <c r="BB36" s="210">
        <f t="shared" si="26"/>
        <v>29534.290397610566</v>
      </c>
      <c r="BC36" s="210">
        <f t="shared" si="26"/>
        <v>29744.854343799907</v>
      </c>
      <c r="BD36" s="210">
        <f t="shared" si="26"/>
        <v>29955.418289989248</v>
      </c>
      <c r="BE36" s="210">
        <f t="shared" si="26"/>
        <v>30165.982236178585</v>
      </c>
      <c r="BF36" s="210">
        <f t="shared" si="26"/>
        <v>30376.546182367925</v>
      </c>
      <c r="BG36" s="210">
        <f t="shared" si="26"/>
        <v>30587.110128557266</v>
      </c>
      <c r="BH36" s="210">
        <f t="shared" si="26"/>
        <v>30797.674074746603</v>
      </c>
      <c r="BI36" s="210">
        <f t="shared" si="26"/>
        <v>31008.238020935943</v>
      </c>
      <c r="BJ36" s="210">
        <f t="shared" si="27"/>
        <v>31218.801967125284</v>
      </c>
      <c r="BK36" s="210">
        <f t="shared" si="27"/>
        <v>30613.596194962764</v>
      </c>
      <c r="BL36" s="210">
        <f t="shared" si="27"/>
        <v>29736.467183349629</v>
      </c>
      <c r="BM36" s="210">
        <f t="shared" si="27"/>
        <v>28859.33817173649</v>
      </c>
      <c r="BN36" s="210">
        <f t="shared" si="27"/>
        <v>27982.209160123355</v>
      </c>
      <c r="BO36" s="210">
        <f t="shared" si="27"/>
        <v>27105.08014851022</v>
      </c>
      <c r="BP36" s="210">
        <f t="shared" si="27"/>
        <v>26227.951136897082</v>
      </c>
      <c r="BQ36" s="210">
        <f t="shared" si="27"/>
        <v>25350.822125283947</v>
      </c>
      <c r="BR36" s="210">
        <f t="shared" si="27"/>
        <v>24473.693113670808</v>
      </c>
      <c r="BS36" s="210">
        <f t="shared" si="27"/>
        <v>23596.564102057673</v>
      </c>
      <c r="BT36" s="210">
        <f t="shared" si="28"/>
        <v>22719.435090444538</v>
      </c>
      <c r="BU36" s="210">
        <f t="shared" si="28"/>
        <v>21842.3060788314</v>
      </c>
      <c r="BV36" s="210">
        <f t="shared" si="28"/>
        <v>20965.177067218261</v>
      </c>
      <c r="BW36" s="210">
        <f t="shared" si="28"/>
        <v>20088.048055605126</v>
      </c>
      <c r="BX36" s="210">
        <f t="shared" si="28"/>
        <v>19210.919043991991</v>
      </c>
      <c r="BY36" s="210">
        <f t="shared" si="28"/>
        <v>18333.790032378856</v>
      </c>
      <c r="BZ36" s="210">
        <f t="shared" si="28"/>
        <v>17456.661020765721</v>
      </c>
      <c r="CA36" s="210">
        <f t="shared" si="28"/>
        <v>16579.532009152579</v>
      </c>
      <c r="CB36" s="210">
        <f t="shared" si="28"/>
        <v>15702.402997539446</v>
      </c>
      <c r="CC36" s="210">
        <f t="shared" si="28"/>
        <v>14825.273985926309</v>
      </c>
      <c r="CD36" s="210">
        <f t="shared" si="29"/>
        <v>13948.144974313174</v>
      </c>
      <c r="CE36" s="210">
        <f t="shared" si="29"/>
        <v>13071.015962700036</v>
      </c>
      <c r="CF36" s="210">
        <f t="shared" si="29"/>
        <v>12193.886951086901</v>
      </c>
      <c r="CG36" s="210">
        <f t="shared" si="29"/>
        <v>11316.757939473762</v>
      </c>
      <c r="CH36" s="210">
        <f t="shared" si="29"/>
        <v>10439.628927860627</v>
      </c>
      <c r="CI36" s="210">
        <f t="shared" si="29"/>
        <v>9562.4999162474924</v>
      </c>
      <c r="CJ36" s="210">
        <f t="shared" si="29"/>
        <v>9449.9410257457384</v>
      </c>
      <c r="CK36" s="210">
        <f t="shared" si="29"/>
        <v>9592.2388422811182</v>
      </c>
      <c r="CL36" s="210">
        <f t="shared" si="29"/>
        <v>9734.5366588164961</v>
      </c>
      <c r="CM36" s="210">
        <f t="shared" si="29"/>
        <v>9876.8344753518741</v>
      </c>
      <c r="CN36" s="210">
        <f t="shared" si="30"/>
        <v>10019.132291887252</v>
      </c>
      <c r="CO36" s="210">
        <f t="shared" si="30"/>
        <v>10161.430108422632</v>
      </c>
      <c r="CP36" s="210">
        <f t="shared" si="30"/>
        <v>10303.72792495801</v>
      </c>
      <c r="CQ36" s="210">
        <f t="shared" si="30"/>
        <v>10446.025741493388</v>
      </c>
      <c r="CR36" s="210">
        <f t="shared" si="30"/>
        <v>10588.323558028767</v>
      </c>
      <c r="CS36" s="210">
        <f t="shared" si="30"/>
        <v>10730.621374564145</v>
      </c>
      <c r="CT36" s="210">
        <f t="shared" si="30"/>
        <v>10872.919191099523</v>
      </c>
      <c r="CU36" s="210">
        <f t="shared" si="30"/>
        <v>11015.217007634903</v>
      </c>
      <c r="CV36" s="210">
        <f t="shared" si="30"/>
        <v>11157.514824170281</v>
      </c>
      <c r="CW36" s="210">
        <f t="shared" si="30"/>
        <v>11264.238186571814</v>
      </c>
      <c r="CX36" s="210">
        <f t="shared" si="31"/>
        <v>11264.238186571814</v>
      </c>
      <c r="CY36" s="210">
        <f t="shared" si="31"/>
        <v>11264.238186571814</v>
      </c>
      <c r="CZ36" s="210">
        <f t="shared" si="31"/>
        <v>11264.238186571814</v>
      </c>
      <c r="DA36" s="210">
        <f t="shared" si="31"/>
        <v>11264.238186571814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348.63627017420481</v>
      </c>
      <c r="D37" s="203">
        <f>Income!D86</f>
        <v>6257.8745637991742</v>
      </c>
      <c r="E37" s="203">
        <f>Income!E86</f>
        <v>22950.357953165047</v>
      </c>
      <c r="F37" s="210">
        <f t="shared" si="22"/>
        <v>0</v>
      </c>
      <c r="G37" s="210">
        <f t="shared" si="22"/>
        <v>0</v>
      </c>
      <c r="H37" s="210">
        <f t="shared" si="22"/>
        <v>0</v>
      </c>
      <c r="I37" s="210">
        <f t="shared" si="22"/>
        <v>0</v>
      </c>
      <c r="J37" s="210">
        <f t="shared" si="22"/>
        <v>0</v>
      </c>
      <c r="K37" s="210">
        <f t="shared" si="22"/>
        <v>0</v>
      </c>
      <c r="L37" s="210">
        <f t="shared" si="22"/>
        <v>0</v>
      </c>
      <c r="M37" s="210">
        <f t="shared" si="22"/>
        <v>0</v>
      </c>
      <c r="N37" s="210">
        <f t="shared" si="22"/>
        <v>0</v>
      </c>
      <c r="O37" s="210">
        <f t="shared" si="22"/>
        <v>0</v>
      </c>
      <c r="P37" s="210">
        <f t="shared" si="23"/>
        <v>0</v>
      </c>
      <c r="Q37" s="210">
        <f t="shared" si="23"/>
        <v>0</v>
      </c>
      <c r="R37" s="210">
        <f t="shared" si="23"/>
        <v>0</v>
      </c>
      <c r="S37" s="210">
        <f t="shared" si="23"/>
        <v>0</v>
      </c>
      <c r="T37" s="210">
        <f t="shared" si="23"/>
        <v>0</v>
      </c>
      <c r="U37" s="210">
        <f t="shared" si="23"/>
        <v>0</v>
      </c>
      <c r="V37" s="210">
        <f t="shared" si="23"/>
        <v>0</v>
      </c>
      <c r="W37" s="210">
        <f t="shared" si="23"/>
        <v>0</v>
      </c>
      <c r="X37" s="210">
        <f t="shared" si="23"/>
        <v>0</v>
      </c>
      <c r="Y37" s="210">
        <f t="shared" si="23"/>
        <v>0</v>
      </c>
      <c r="Z37" s="210">
        <f t="shared" si="24"/>
        <v>2.3879196587274301</v>
      </c>
      <c r="AA37" s="210">
        <f t="shared" si="24"/>
        <v>11.93959829363715</v>
      </c>
      <c r="AB37" s="210">
        <f t="shared" si="24"/>
        <v>21.491276928546871</v>
      </c>
      <c r="AC37" s="210">
        <f t="shared" si="24"/>
        <v>31.042955563456591</v>
      </c>
      <c r="AD37" s="210">
        <f t="shared" si="24"/>
        <v>40.594634198366315</v>
      </c>
      <c r="AE37" s="210">
        <f t="shared" si="24"/>
        <v>50.146312833276035</v>
      </c>
      <c r="AF37" s="210">
        <f t="shared" si="24"/>
        <v>59.697991468185762</v>
      </c>
      <c r="AG37" s="210">
        <f t="shared" si="24"/>
        <v>69.249670103095468</v>
      </c>
      <c r="AH37" s="210">
        <f t="shared" si="24"/>
        <v>78.801348738005203</v>
      </c>
      <c r="AI37" s="210">
        <f t="shared" si="24"/>
        <v>88.353027372914923</v>
      </c>
      <c r="AJ37" s="210">
        <f t="shared" si="25"/>
        <v>97.904706007824643</v>
      </c>
      <c r="AK37" s="210">
        <f t="shared" si="25"/>
        <v>107.45638464273436</v>
      </c>
      <c r="AL37" s="210">
        <f t="shared" si="25"/>
        <v>117.00806327764407</v>
      </c>
      <c r="AM37" s="210">
        <f t="shared" si="25"/>
        <v>126.55974191255382</v>
      </c>
      <c r="AN37" s="210">
        <f t="shared" si="25"/>
        <v>136.11142054746352</v>
      </c>
      <c r="AO37" s="210">
        <f t="shared" si="25"/>
        <v>145.66309918237323</v>
      </c>
      <c r="AP37" s="210">
        <f t="shared" si="25"/>
        <v>155.21477781728296</v>
      </c>
      <c r="AQ37" s="210">
        <f t="shared" si="25"/>
        <v>164.7664564521927</v>
      </c>
      <c r="AR37" s="210">
        <f t="shared" si="25"/>
        <v>174.31813508710241</v>
      </c>
      <c r="AS37" s="210">
        <f t="shared" si="25"/>
        <v>183.86981372201211</v>
      </c>
      <c r="AT37" s="210">
        <f t="shared" si="26"/>
        <v>193.42149235692185</v>
      </c>
      <c r="AU37" s="210">
        <f t="shared" si="26"/>
        <v>202.97317099183158</v>
      </c>
      <c r="AV37" s="210">
        <f t="shared" si="26"/>
        <v>212.52484962674129</v>
      </c>
      <c r="AW37" s="210">
        <f t="shared" si="26"/>
        <v>222.07652826165102</v>
      </c>
      <c r="AX37" s="210">
        <f t="shared" si="26"/>
        <v>231.62820689656073</v>
      </c>
      <c r="AY37" s="210">
        <f t="shared" si="26"/>
        <v>241.17988553147046</v>
      </c>
      <c r="AZ37" s="210">
        <f t="shared" si="26"/>
        <v>250.73156416638014</v>
      </c>
      <c r="BA37" s="210">
        <f t="shared" si="26"/>
        <v>260.28324280128987</v>
      </c>
      <c r="BB37" s="210">
        <f t="shared" si="26"/>
        <v>269.83492143619964</v>
      </c>
      <c r="BC37" s="210">
        <f t="shared" si="26"/>
        <v>279.38660007110934</v>
      </c>
      <c r="BD37" s="210">
        <f t="shared" si="27"/>
        <v>288.93827870601905</v>
      </c>
      <c r="BE37" s="210">
        <f t="shared" si="27"/>
        <v>298.48995734092881</v>
      </c>
      <c r="BF37" s="210">
        <f t="shared" si="27"/>
        <v>308.04163597583852</v>
      </c>
      <c r="BG37" s="210">
        <f t="shared" si="27"/>
        <v>317.59331461074822</v>
      </c>
      <c r="BH37" s="210">
        <f t="shared" si="27"/>
        <v>327.14499324565793</v>
      </c>
      <c r="BI37" s="210">
        <f t="shared" si="27"/>
        <v>336.69667188056764</v>
      </c>
      <c r="BJ37" s="210">
        <f t="shared" si="27"/>
        <v>346.2483505154774</v>
      </c>
      <c r="BK37" s="210">
        <f t="shared" si="27"/>
        <v>525.91341898295389</v>
      </c>
      <c r="BL37" s="210">
        <f t="shared" si="27"/>
        <v>762.28295072795265</v>
      </c>
      <c r="BM37" s="210">
        <f t="shared" si="27"/>
        <v>998.65248247295153</v>
      </c>
      <c r="BN37" s="210">
        <f t="shared" si="28"/>
        <v>1235.0220142179503</v>
      </c>
      <c r="BO37" s="210">
        <f t="shared" si="28"/>
        <v>1471.3915459629491</v>
      </c>
      <c r="BP37" s="210">
        <f t="shared" si="28"/>
        <v>1707.7610777079481</v>
      </c>
      <c r="BQ37" s="210">
        <f t="shared" si="28"/>
        <v>1944.1306094529466</v>
      </c>
      <c r="BR37" s="210">
        <f t="shared" si="28"/>
        <v>2180.5001411979456</v>
      </c>
      <c r="BS37" s="210">
        <f t="shared" si="28"/>
        <v>2416.8696729429439</v>
      </c>
      <c r="BT37" s="210">
        <f t="shared" si="28"/>
        <v>2653.2392046879431</v>
      </c>
      <c r="BU37" s="210">
        <f t="shared" si="28"/>
        <v>2889.6087364329414</v>
      </c>
      <c r="BV37" s="210">
        <f t="shared" si="28"/>
        <v>3125.9782681779407</v>
      </c>
      <c r="BW37" s="210">
        <f t="shared" si="28"/>
        <v>3362.347799922939</v>
      </c>
      <c r="BX37" s="210">
        <f t="shared" si="29"/>
        <v>3598.7173316679382</v>
      </c>
      <c r="BY37" s="210">
        <f t="shared" si="29"/>
        <v>3835.0868634129365</v>
      </c>
      <c r="BZ37" s="210">
        <f t="shared" si="29"/>
        <v>4071.4563951579357</v>
      </c>
      <c r="CA37" s="210">
        <f t="shared" si="29"/>
        <v>4307.825926902934</v>
      </c>
      <c r="CB37" s="210">
        <f t="shared" si="29"/>
        <v>4544.1954586479333</v>
      </c>
      <c r="CC37" s="210">
        <f t="shared" si="29"/>
        <v>4780.5649903929316</v>
      </c>
      <c r="CD37" s="210">
        <f t="shared" si="29"/>
        <v>5016.9345221379308</v>
      </c>
      <c r="CE37" s="210">
        <f t="shared" si="29"/>
        <v>5253.3040538829291</v>
      </c>
      <c r="CF37" s="210">
        <f t="shared" si="29"/>
        <v>5489.6735856279283</v>
      </c>
      <c r="CG37" s="210">
        <f t="shared" si="29"/>
        <v>5726.0431173729266</v>
      </c>
      <c r="CH37" s="210">
        <f t="shared" si="30"/>
        <v>5962.4126491179259</v>
      </c>
      <c r="CI37" s="210">
        <f t="shared" si="30"/>
        <v>6198.7821808629251</v>
      </c>
      <c r="CJ37" s="210">
        <f t="shared" si="30"/>
        <v>7185.234752097278</v>
      </c>
      <c r="CK37" s="210">
        <f t="shared" si="30"/>
        <v>8421.7150031614165</v>
      </c>
      <c r="CL37" s="210">
        <f t="shared" si="30"/>
        <v>9658.1952542255567</v>
      </c>
      <c r="CM37" s="210">
        <f t="shared" si="30"/>
        <v>10894.675505289695</v>
      </c>
      <c r="CN37" s="210">
        <f t="shared" si="30"/>
        <v>12131.155756353834</v>
      </c>
      <c r="CO37" s="210">
        <f t="shared" si="30"/>
        <v>13367.636007417972</v>
      </c>
      <c r="CP37" s="210">
        <f t="shared" si="30"/>
        <v>14604.11625848211</v>
      </c>
      <c r="CQ37" s="210">
        <f t="shared" si="30"/>
        <v>15840.596509546249</v>
      </c>
      <c r="CR37" s="210">
        <f t="shared" si="31"/>
        <v>17077.076760610387</v>
      </c>
      <c r="CS37" s="210">
        <f t="shared" si="31"/>
        <v>18313.557011674526</v>
      </c>
      <c r="CT37" s="210">
        <f t="shared" si="31"/>
        <v>19550.037262738664</v>
      </c>
      <c r="CU37" s="210">
        <f t="shared" si="31"/>
        <v>20786.517513802806</v>
      </c>
      <c r="CV37" s="210">
        <f t="shared" si="31"/>
        <v>22022.997764866945</v>
      </c>
      <c r="CW37" s="210">
        <f t="shared" si="31"/>
        <v>22950.357953165047</v>
      </c>
      <c r="CX37" s="210">
        <f t="shared" si="31"/>
        <v>22950.357953165047</v>
      </c>
      <c r="CY37" s="210">
        <f t="shared" si="31"/>
        <v>22950.357953165047</v>
      </c>
      <c r="CZ37" s="210">
        <f t="shared" si="31"/>
        <v>22950.357953165047</v>
      </c>
      <c r="DA37" s="210">
        <f t="shared" si="31"/>
        <v>22950.357953165047</v>
      </c>
    </row>
    <row r="38" spans="1:105">
      <c r="A38" s="201" t="str">
        <f>Income!A88</f>
        <v>TOTAL</v>
      </c>
      <c r="B38" s="203">
        <f>Income!B88</f>
        <v>43351.162705051131</v>
      </c>
      <c r="C38" s="203">
        <f>Income!C88</f>
        <v>63955.803032966454</v>
      </c>
      <c r="D38" s="203">
        <f>Income!D88</f>
        <v>144466.25089200071</v>
      </c>
      <c r="E38" s="203">
        <f>Income!E88</f>
        <v>307447.94455908786</v>
      </c>
      <c r="F38" s="204">
        <f t="shared" ref="F38:AK38" si="32">SUM(F25:F37)</f>
        <v>38330.800414542588</v>
      </c>
      <c r="G38" s="204">
        <f t="shared" si="32"/>
        <v>38330.800414542588</v>
      </c>
      <c r="H38" s="204">
        <f t="shared" si="32"/>
        <v>38330.800414542588</v>
      </c>
      <c r="I38" s="204">
        <f t="shared" si="32"/>
        <v>38330.800414542588</v>
      </c>
      <c r="J38" s="204">
        <f t="shared" si="32"/>
        <v>38330.800414542588</v>
      </c>
      <c r="K38" s="204">
        <f t="shared" si="32"/>
        <v>38330.800414542588</v>
      </c>
      <c r="L38" s="204">
        <f t="shared" si="32"/>
        <v>38330.800414542588</v>
      </c>
      <c r="M38" s="204">
        <f t="shared" si="32"/>
        <v>38330.800414542588</v>
      </c>
      <c r="N38" s="204">
        <f t="shared" si="32"/>
        <v>38330.800414542588</v>
      </c>
      <c r="O38" s="204">
        <f t="shared" si="32"/>
        <v>38330.800414542588</v>
      </c>
      <c r="P38" s="204">
        <f t="shared" si="32"/>
        <v>38330.800414542588</v>
      </c>
      <c r="Q38" s="204">
        <f t="shared" si="32"/>
        <v>38330.800414542588</v>
      </c>
      <c r="R38" s="204">
        <f t="shared" si="32"/>
        <v>38330.800414542588</v>
      </c>
      <c r="S38" s="204">
        <f t="shared" si="32"/>
        <v>38330.800414542588</v>
      </c>
      <c r="T38" s="204">
        <f t="shared" si="32"/>
        <v>38330.800414542588</v>
      </c>
      <c r="U38" s="204">
        <f t="shared" si="32"/>
        <v>38330.800414542588</v>
      </c>
      <c r="V38" s="204">
        <f t="shared" si="32"/>
        <v>38330.800414542588</v>
      </c>
      <c r="W38" s="204">
        <f t="shared" si="32"/>
        <v>38330.800414542588</v>
      </c>
      <c r="X38" s="204">
        <f t="shared" si="32"/>
        <v>38330.800414542588</v>
      </c>
      <c r="Y38" s="204">
        <f t="shared" si="32"/>
        <v>38330.800414542588</v>
      </c>
      <c r="Z38" s="204">
        <f t="shared" si="32"/>
        <v>38437.719031922257</v>
      </c>
      <c r="AA38" s="204">
        <f t="shared" si="32"/>
        <v>38865.393501440929</v>
      </c>
      <c r="AB38" s="204">
        <f t="shared" si="32"/>
        <v>39293.067970959593</v>
      </c>
      <c r="AC38" s="204">
        <f t="shared" si="32"/>
        <v>39720.742440478258</v>
      </c>
      <c r="AD38" s="204">
        <f t="shared" si="32"/>
        <v>40148.416909996929</v>
      </c>
      <c r="AE38" s="204">
        <f t="shared" si="32"/>
        <v>40576.091379515608</v>
      </c>
      <c r="AF38" s="204">
        <f t="shared" si="32"/>
        <v>41003.765849034273</v>
      </c>
      <c r="AG38" s="204">
        <f t="shared" si="32"/>
        <v>41431.440318552945</v>
      </c>
      <c r="AH38" s="204">
        <f t="shared" si="32"/>
        <v>41859.114788071616</v>
      </c>
      <c r="AI38" s="204">
        <f t="shared" si="32"/>
        <v>42286.789257590281</v>
      </c>
      <c r="AJ38" s="204">
        <f t="shared" si="32"/>
        <v>42714.463727108952</v>
      </c>
      <c r="AK38" s="204">
        <f t="shared" si="32"/>
        <v>43142.138196627624</v>
      </c>
      <c r="AL38" s="204">
        <f t="shared" ref="AL38:BQ38" si="33">SUM(AL25:AL37)</f>
        <v>43569.812666146296</v>
      </c>
      <c r="AM38" s="204">
        <f t="shared" si="33"/>
        <v>43997.487135664967</v>
      </c>
      <c r="AN38" s="204">
        <f t="shared" si="33"/>
        <v>44425.161605183639</v>
      </c>
      <c r="AO38" s="204">
        <f t="shared" si="33"/>
        <v>44852.836074702311</v>
      </c>
      <c r="AP38" s="204">
        <f t="shared" si="33"/>
        <v>45280.510544220975</v>
      </c>
      <c r="AQ38" s="204">
        <f t="shared" si="33"/>
        <v>45708.18501373964</v>
      </c>
      <c r="AR38" s="204">
        <f t="shared" si="33"/>
        <v>46135.859483258319</v>
      </c>
      <c r="AS38" s="204">
        <f t="shared" si="33"/>
        <v>46563.533952776983</v>
      </c>
      <c r="AT38" s="204">
        <f t="shared" si="33"/>
        <v>46991.208422295655</v>
      </c>
      <c r="AU38" s="204">
        <f t="shared" si="33"/>
        <v>47418.882891814319</v>
      </c>
      <c r="AV38" s="204">
        <f t="shared" si="33"/>
        <v>47846.557361332991</v>
      </c>
      <c r="AW38" s="204">
        <f t="shared" si="33"/>
        <v>48274.23183085167</v>
      </c>
      <c r="AX38" s="204">
        <f t="shared" si="33"/>
        <v>48701.906300370327</v>
      </c>
      <c r="AY38" s="204">
        <f t="shared" si="33"/>
        <v>49129.580769889006</v>
      </c>
      <c r="AZ38" s="204">
        <f t="shared" si="33"/>
        <v>49557.255239407677</v>
      </c>
      <c r="BA38" s="204">
        <f t="shared" si="33"/>
        <v>49984.929708926349</v>
      </c>
      <c r="BB38" s="204">
        <f t="shared" si="33"/>
        <v>50412.604178445014</v>
      </c>
      <c r="BC38" s="204">
        <f t="shared" si="33"/>
        <v>50840.278647963678</v>
      </c>
      <c r="BD38" s="204">
        <f t="shared" si="33"/>
        <v>51267.95311748235</v>
      </c>
      <c r="BE38" s="204">
        <f t="shared" si="33"/>
        <v>51695.627587001021</v>
      </c>
      <c r="BF38" s="204">
        <f t="shared" si="33"/>
        <v>52123.302056519693</v>
      </c>
      <c r="BG38" s="204">
        <f t="shared" si="33"/>
        <v>52550.976526038365</v>
      </c>
      <c r="BH38" s="204">
        <f t="shared" si="33"/>
        <v>52978.650995557036</v>
      </c>
      <c r="BI38" s="204">
        <f t="shared" si="33"/>
        <v>53406.325465075708</v>
      </c>
      <c r="BJ38" s="204">
        <f t="shared" si="33"/>
        <v>53833.999934594372</v>
      </c>
      <c r="BK38" s="204">
        <f t="shared" si="33"/>
        <v>56621.521923501808</v>
      </c>
      <c r="BL38" s="204">
        <f t="shared" si="33"/>
        <v>60195.659752205509</v>
      </c>
      <c r="BM38" s="204">
        <f t="shared" si="33"/>
        <v>63769.797580909195</v>
      </c>
      <c r="BN38" s="204">
        <f t="shared" si="33"/>
        <v>67343.935409612895</v>
      </c>
      <c r="BO38" s="204">
        <f t="shared" si="33"/>
        <v>70918.073238316603</v>
      </c>
      <c r="BP38" s="204">
        <f t="shared" si="33"/>
        <v>74492.211067020282</v>
      </c>
      <c r="BQ38" s="204">
        <f t="shared" si="33"/>
        <v>78066.348895723975</v>
      </c>
      <c r="BR38" s="204">
        <f t="shared" ref="BR38:CW38" si="34">SUM(BR25:BR37)</f>
        <v>81640.486724427668</v>
      </c>
      <c r="BS38" s="204">
        <f t="shared" si="34"/>
        <v>85214.624553131362</v>
      </c>
      <c r="BT38" s="204">
        <f t="shared" si="34"/>
        <v>88788.762381835055</v>
      </c>
      <c r="BU38" s="204">
        <f t="shared" si="34"/>
        <v>92362.900210538763</v>
      </c>
      <c r="BV38" s="204">
        <f t="shared" si="34"/>
        <v>95937.038039242441</v>
      </c>
      <c r="BW38" s="204">
        <f t="shared" si="34"/>
        <v>99511.175867946135</v>
      </c>
      <c r="BX38" s="204">
        <f t="shared" si="34"/>
        <v>103085.31369664983</v>
      </c>
      <c r="BY38" s="204">
        <f t="shared" si="34"/>
        <v>106659.45152535351</v>
      </c>
      <c r="BZ38" s="204">
        <f t="shared" si="34"/>
        <v>110233.58935405721</v>
      </c>
      <c r="CA38" s="204">
        <f t="shared" si="34"/>
        <v>113807.72718276092</v>
      </c>
      <c r="CB38" s="204">
        <f t="shared" si="34"/>
        <v>117381.86501146463</v>
      </c>
      <c r="CC38" s="204">
        <f t="shared" si="34"/>
        <v>120956.00284016829</v>
      </c>
      <c r="CD38" s="204">
        <f t="shared" si="34"/>
        <v>124530.140668872</v>
      </c>
      <c r="CE38" s="204">
        <f t="shared" si="34"/>
        <v>128104.27849757568</v>
      </c>
      <c r="CF38" s="204">
        <f t="shared" si="34"/>
        <v>131678.4163262794</v>
      </c>
      <c r="CG38" s="204">
        <f t="shared" si="34"/>
        <v>135252.55415498311</v>
      </c>
      <c r="CH38" s="204">
        <f t="shared" si="34"/>
        <v>138826.69198368679</v>
      </c>
      <c r="CI38" s="204">
        <f t="shared" si="34"/>
        <v>142400.8298123905</v>
      </c>
      <c r="CJ38" s="204">
        <f t="shared" si="34"/>
        <v>152414.00761898427</v>
      </c>
      <c r="CK38" s="204">
        <f t="shared" si="34"/>
        <v>164573.53208487472</v>
      </c>
      <c r="CL38" s="204">
        <f t="shared" si="34"/>
        <v>176733.05655076524</v>
      </c>
      <c r="CM38" s="204">
        <f t="shared" si="34"/>
        <v>188892.58101665572</v>
      </c>
      <c r="CN38" s="204">
        <f t="shared" si="34"/>
        <v>201052.10548254621</v>
      </c>
      <c r="CO38" s="204">
        <f t="shared" si="34"/>
        <v>213211.62994843669</v>
      </c>
      <c r="CP38" s="204">
        <f t="shared" si="34"/>
        <v>225371.15441432715</v>
      </c>
      <c r="CQ38" s="204">
        <f t="shared" si="34"/>
        <v>237530.6788802176</v>
      </c>
      <c r="CR38" s="204">
        <f t="shared" si="34"/>
        <v>249690.20334610812</v>
      </c>
      <c r="CS38" s="204">
        <f t="shared" si="34"/>
        <v>261849.72781199863</v>
      </c>
      <c r="CT38" s="204">
        <f t="shared" si="34"/>
        <v>274009.25227788906</v>
      </c>
      <c r="CU38" s="204">
        <f t="shared" si="34"/>
        <v>286168.77674377954</v>
      </c>
      <c r="CV38" s="204">
        <f t="shared" si="34"/>
        <v>298328.30120967003</v>
      </c>
      <c r="CW38" s="204">
        <f t="shared" si="34"/>
        <v>307447.94455908786</v>
      </c>
      <c r="CX38" s="204">
        <f>SUM(CX25:CX37)</f>
        <v>307447.94455908786</v>
      </c>
      <c r="CY38" s="204">
        <f>SUM(CY25:CY37)</f>
        <v>307447.94455908786</v>
      </c>
      <c r="CZ38" s="204">
        <f>SUM(CZ25:CZ37)</f>
        <v>307447.94455908786</v>
      </c>
      <c r="DA38" s="204">
        <f>SUM(DA25:DA37)</f>
        <v>307447.94455908786</v>
      </c>
    </row>
    <row r="39" spans="1:105">
      <c r="A39" s="201" t="str">
        <f>Income!A89</f>
        <v>Food Poverty line</v>
      </c>
      <c r="B39" s="203">
        <f>Income!B89</f>
        <v>31035.992491963734</v>
      </c>
      <c r="C39" s="203">
        <f>Income!C89</f>
        <v>31035.992491963734</v>
      </c>
      <c r="D39" s="203">
        <f>Income!D89</f>
        <v>31035.99249196376</v>
      </c>
      <c r="E39" s="203">
        <f>Income!E89</f>
        <v>31035.227765379786</v>
      </c>
      <c r="F39" s="204">
        <f t="shared" ref="F39:O40" si="35">IF(F$2&lt;=($B$2+$C$2+$D$2),IF(F$2&lt;=($B$2+$C$2),IF(F$2&lt;=$B$2,$B39,$C39),$D39),$E39)</f>
        <v>31035.992491963734</v>
      </c>
      <c r="G39" s="204">
        <f t="shared" si="35"/>
        <v>31035.992491963734</v>
      </c>
      <c r="H39" s="204">
        <f t="shared" si="35"/>
        <v>31035.992491963734</v>
      </c>
      <c r="I39" s="204">
        <f t="shared" si="35"/>
        <v>31035.992491963734</v>
      </c>
      <c r="J39" s="204">
        <f t="shared" si="35"/>
        <v>31035.992491963734</v>
      </c>
      <c r="K39" s="204">
        <f t="shared" si="35"/>
        <v>31035.992491963734</v>
      </c>
      <c r="L39" s="204">
        <f t="shared" si="35"/>
        <v>31035.992491963734</v>
      </c>
      <c r="M39" s="204">
        <f t="shared" si="35"/>
        <v>31035.992491963734</v>
      </c>
      <c r="N39" s="204">
        <f t="shared" si="35"/>
        <v>31035.992491963734</v>
      </c>
      <c r="O39" s="204">
        <f t="shared" si="35"/>
        <v>31035.992491963734</v>
      </c>
      <c r="P39" s="204">
        <f t="shared" ref="P39:Y40" si="36">IF(P$2&lt;=($B$2+$C$2+$D$2),IF(P$2&lt;=($B$2+$C$2),IF(P$2&lt;=$B$2,$B39,$C39),$D39),$E39)</f>
        <v>31035.992491963734</v>
      </c>
      <c r="Q39" s="204">
        <f t="shared" si="36"/>
        <v>31035.992491963734</v>
      </c>
      <c r="R39" s="204">
        <f t="shared" si="36"/>
        <v>31035.992491963734</v>
      </c>
      <c r="S39" s="204">
        <f t="shared" si="36"/>
        <v>31035.992491963734</v>
      </c>
      <c r="T39" s="204">
        <f t="shared" si="36"/>
        <v>31035.992491963734</v>
      </c>
      <c r="U39" s="204">
        <f t="shared" si="36"/>
        <v>31035.992491963734</v>
      </c>
      <c r="V39" s="204">
        <f t="shared" si="36"/>
        <v>31035.992491963734</v>
      </c>
      <c r="W39" s="204">
        <f t="shared" si="36"/>
        <v>31035.992491963734</v>
      </c>
      <c r="X39" s="204">
        <f t="shared" si="36"/>
        <v>31035.992491963734</v>
      </c>
      <c r="Y39" s="204">
        <f t="shared" si="36"/>
        <v>31035.992491963734</v>
      </c>
      <c r="Z39" s="204">
        <f t="shared" ref="Z39:AI40" si="37">IF(Z$2&lt;=($B$2+$C$2+$D$2),IF(Z$2&lt;=($B$2+$C$2),IF(Z$2&lt;=$B$2,$B39,$C39),$D39),$E39)</f>
        <v>31035.992491963734</v>
      </c>
      <c r="AA39" s="204">
        <f t="shared" si="37"/>
        <v>31035.992491963734</v>
      </c>
      <c r="AB39" s="204">
        <f t="shared" si="37"/>
        <v>31035.992491963734</v>
      </c>
      <c r="AC39" s="204">
        <f t="shared" si="37"/>
        <v>31035.992491963734</v>
      </c>
      <c r="AD39" s="204">
        <f t="shared" si="37"/>
        <v>31035.992491963734</v>
      </c>
      <c r="AE39" s="204">
        <f t="shared" si="37"/>
        <v>31035.992491963734</v>
      </c>
      <c r="AF39" s="204">
        <f t="shared" si="37"/>
        <v>31035.992491963734</v>
      </c>
      <c r="AG39" s="204">
        <f t="shared" si="37"/>
        <v>31035.992491963734</v>
      </c>
      <c r="AH39" s="204">
        <f t="shared" si="37"/>
        <v>31035.992491963734</v>
      </c>
      <c r="AI39" s="204">
        <f t="shared" si="37"/>
        <v>31035.992491963734</v>
      </c>
      <c r="AJ39" s="204">
        <f t="shared" ref="AJ39:AS40" si="38">IF(AJ$2&lt;=($B$2+$C$2+$D$2),IF(AJ$2&lt;=($B$2+$C$2),IF(AJ$2&lt;=$B$2,$B39,$C39),$D39),$E39)</f>
        <v>31035.992491963734</v>
      </c>
      <c r="AK39" s="204">
        <f t="shared" si="38"/>
        <v>31035.992491963734</v>
      </c>
      <c r="AL39" s="204">
        <f t="shared" si="38"/>
        <v>31035.992491963734</v>
      </c>
      <c r="AM39" s="204">
        <f t="shared" si="38"/>
        <v>31035.992491963734</v>
      </c>
      <c r="AN39" s="204">
        <f t="shared" si="38"/>
        <v>31035.992491963734</v>
      </c>
      <c r="AO39" s="204">
        <f t="shared" si="38"/>
        <v>31035.992491963734</v>
      </c>
      <c r="AP39" s="204">
        <f t="shared" si="38"/>
        <v>31035.992491963734</v>
      </c>
      <c r="AQ39" s="204">
        <f t="shared" si="38"/>
        <v>31035.992491963734</v>
      </c>
      <c r="AR39" s="204">
        <f t="shared" si="38"/>
        <v>31035.992491963734</v>
      </c>
      <c r="AS39" s="204">
        <f t="shared" si="38"/>
        <v>31035.992491963734</v>
      </c>
      <c r="AT39" s="204">
        <f t="shared" ref="AT39:BC40" si="39">IF(AT$2&lt;=($B$2+$C$2+$D$2),IF(AT$2&lt;=($B$2+$C$2),IF(AT$2&lt;=$B$2,$B39,$C39),$D39),$E39)</f>
        <v>31035.992491963734</v>
      </c>
      <c r="AU39" s="204">
        <f t="shared" si="39"/>
        <v>31035.992491963734</v>
      </c>
      <c r="AV39" s="204">
        <f t="shared" si="39"/>
        <v>31035.992491963734</v>
      </c>
      <c r="AW39" s="204">
        <f t="shared" si="39"/>
        <v>31035.992491963734</v>
      </c>
      <c r="AX39" s="204">
        <f t="shared" si="39"/>
        <v>31035.992491963734</v>
      </c>
      <c r="AY39" s="204">
        <f t="shared" si="39"/>
        <v>31035.992491963734</v>
      </c>
      <c r="AZ39" s="204">
        <f t="shared" si="39"/>
        <v>31035.992491963734</v>
      </c>
      <c r="BA39" s="204">
        <f t="shared" si="39"/>
        <v>31035.992491963734</v>
      </c>
      <c r="BB39" s="204">
        <f t="shared" si="39"/>
        <v>31035.992491963734</v>
      </c>
      <c r="BC39" s="204">
        <f t="shared" si="39"/>
        <v>31035.992491963734</v>
      </c>
      <c r="BD39" s="204">
        <f t="shared" ref="BD39:BM40" si="40">IF(BD$2&lt;=($B$2+$C$2+$D$2),IF(BD$2&lt;=($B$2+$C$2),IF(BD$2&lt;=$B$2,$B39,$C39),$D39),$E39)</f>
        <v>31035.992491963734</v>
      </c>
      <c r="BE39" s="204">
        <f t="shared" si="40"/>
        <v>31035.992491963734</v>
      </c>
      <c r="BF39" s="204">
        <f t="shared" si="40"/>
        <v>31035.992491963734</v>
      </c>
      <c r="BG39" s="204">
        <f t="shared" si="40"/>
        <v>31035.992491963734</v>
      </c>
      <c r="BH39" s="204">
        <f t="shared" si="40"/>
        <v>31035.992491963734</v>
      </c>
      <c r="BI39" s="204">
        <f t="shared" si="40"/>
        <v>31035.992491963734</v>
      </c>
      <c r="BJ39" s="204">
        <f t="shared" si="40"/>
        <v>31035.992491963734</v>
      </c>
      <c r="BK39" s="204">
        <f t="shared" si="40"/>
        <v>31035.992491963734</v>
      </c>
      <c r="BL39" s="204">
        <f t="shared" si="40"/>
        <v>31035.992491963734</v>
      </c>
      <c r="BM39" s="204">
        <f t="shared" si="40"/>
        <v>31035.992491963734</v>
      </c>
      <c r="BN39" s="204">
        <f t="shared" ref="BN39:BW40" si="41">IF(BN$2&lt;=($B$2+$C$2+$D$2),IF(BN$2&lt;=($B$2+$C$2),IF(BN$2&lt;=$B$2,$B39,$C39),$D39),$E39)</f>
        <v>31035.992491963734</v>
      </c>
      <c r="BO39" s="204">
        <f t="shared" si="41"/>
        <v>31035.992491963734</v>
      </c>
      <c r="BP39" s="204">
        <f t="shared" si="41"/>
        <v>31035.992491963734</v>
      </c>
      <c r="BQ39" s="204">
        <f t="shared" si="41"/>
        <v>31035.992491963734</v>
      </c>
      <c r="BR39" s="204">
        <f t="shared" si="41"/>
        <v>31035.992491963734</v>
      </c>
      <c r="BS39" s="204">
        <f t="shared" si="41"/>
        <v>31035.992491963734</v>
      </c>
      <c r="BT39" s="204">
        <f t="shared" si="41"/>
        <v>31035.992491963734</v>
      </c>
      <c r="BU39" s="204">
        <f t="shared" si="41"/>
        <v>31035.992491963734</v>
      </c>
      <c r="BV39" s="204">
        <f t="shared" si="41"/>
        <v>31035.992491963734</v>
      </c>
      <c r="BW39" s="204">
        <f t="shared" si="41"/>
        <v>31035.992491963734</v>
      </c>
      <c r="BX39" s="204">
        <f t="shared" ref="BX39:CG40" si="42">IF(BX$2&lt;=($B$2+$C$2+$D$2),IF(BX$2&lt;=($B$2+$C$2),IF(BX$2&lt;=$B$2,$B39,$C39),$D39),$E39)</f>
        <v>31035.992491963734</v>
      </c>
      <c r="BY39" s="204">
        <f t="shared" si="42"/>
        <v>31035.992491963734</v>
      </c>
      <c r="BZ39" s="204">
        <f t="shared" si="42"/>
        <v>31035.992491963734</v>
      </c>
      <c r="CA39" s="204">
        <f t="shared" si="42"/>
        <v>31035.99249196376</v>
      </c>
      <c r="CB39" s="204">
        <f t="shared" si="42"/>
        <v>31035.99249196376</v>
      </c>
      <c r="CC39" s="204">
        <f t="shared" si="42"/>
        <v>31035.99249196376</v>
      </c>
      <c r="CD39" s="204">
        <f t="shared" si="42"/>
        <v>31035.99249196376</v>
      </c>
      <c r="CE39" s="204">
        <f t="shared" si="42"/>
        <v>31035.99249196376</v>
      </c>
      <c r="CF39" s="204">
        <f t="shared" si="42"/>
        <v>31035.99249196376</v>
      </c>
      <c r="CG39" s="204">
        <f t="shared" si="42"/>
        <v>31035.99249196376</v>
      </c>
      <c r="CH39" s="204">
        <f t="shared" ref="CH39:CQ40" si="43">IF(CH$2&lt;=($B$2+$C$2+$D$2),IF(CH$2&lt;=($B$2+$C$2),IF(CH$2&lt;=$B$2,$B39,$C39),$D39),$E39)</f>
        <v>31035.99249196376</v>
      </c>
      <c r="CI39" s="204">
        <f t="shared" si="43"/>
        <v>31035.99249196376</v>
      </c>
      <c r="CJ39" s="204">
        <f t="shared" si="43"/>
        <v>31035.99249196376</v>
      </c>
      <c r="CK39" s="204">
        <f t="shared" si="43"/>
        <v>31035.99249196376</v>
      </c>
      <c r="CL39" s="204">
        <f t="shared" si="43"/>
        <v>31035.99249196376</v>
      </c>
      <c r="CM39" s="204">
        <f t="shared" si="43"/>
        <v>31035.99249196376</v>
      </c>
      <c r="CN39" s="204">
        <f t="shared" si="43"/>
        <v>31035.99249196376</v>
      </c>
      <c r="CO39" s="204">
        <f t="shared" si="43"/>
        <v>31035.99249196376</v>
      </c>
      <c r="CP39" s="204">
        <f t="shared" si="43"/>
        <v>31035.99249196376</v>
      </c>
      <c r="CQ39" s="204">
        <f t="shared" si="43"/>
        <v>31035.227765379786</v>
      </c>
      <c r="CR39" s="204">
        <f t="shared" ref="CR39:DA40" si="44">IF(CR$2&lt;=($B$2+$C$2+$D$2),IF(CR$2&lt;=($B$2+$C$2),IF(CR$2&lt;=$B$2,$B39,$C39),$D39),$E39)</f>
        <v>31035.227765379786</v>
      </c>
      <c r="CS39" s="204">
        <f t="shared" si="44"/>
        <v>31035.227765379786</v>
      </c>
      <c r="CT39" s="204">
        <f t="shared" si="44"/>
        <v>31035.227765379786</v>
      </c>
      <c r="CU39" s="204">
        <f t="shared" si="44"/>
        <v>31035.227765379786</v>
      </c>
      <c r="CV39" s="204">
        <f t="shared" si="44"/>
        <v>31035.227765379786</v>
      </c>
      <c r="CW39" s="204">
        <f t="shared" si="44"/>
        <v>31035.227765379786</v>
      </c>
      <c r="CX39" s="204">
        <f t="shared" si="44"/>
        <v>31035.227765379786</v>
      </c>
      <c r="CY39" s="204">
        <f t="shared" si="44"/>
        <v>31035.227765379786</v>
      </c>
      <c r="CZ39" s="204">
        <f t="shared" si="44"/>
        <v>31035.227765379786</v>
      </c>
      <c r="DA39" s="204">
        <f t="shared" si="44"/>
        <v>31035.227765379786</v>
      </c>
    </row>
    <row r="40" spans="1:105">
      <c r="A40" s="201" t="str">
        <f>Income!A90</f>
        <v>Lower Bound Poverty line</v>
      </c>
      <c r="B40" s="203">
        <f>Income!B90</f>
        <v>47999.934714185954</v>
      </c>
      <c r="C40" s="203">
        <f>Income!C90</f>
        <v>47999.934714185954</v>
      </c>
      <c r="D40" s="203">
        <f>Income!D90</f>
        <v>47999.934714185954</v>
      </c>
      <c r="E40" s="203">
        <f>Income!E90</f>
        <v>47999.169987601977</v>
      </c>
      <c r="F40" s="204">
        <f t="shared" si="35"/>
        <v>47999.934714185954</v>
      </c>
      <c r="G40" s="204">
        <f t="shared" si="35"/>
        <v>47999.934714185954</v>
      </c>
      <c r="H40" s="204">
        <f t="shared" si="35"/>
        <v>47999.934714185954</v>
      </c>
      <c r="I40" s="204">
        <f t="shared" si="35"/>
        <v>47999.934714185954</v>
      </c>
      <c r="J40" s="204">
        <f t="shared" si="35"/>
        <v>47999.934714185954</v>
      </c>
      <c r="K40" s="204">
        <f t="shared" si="35"/>
        <v>47999.934714185954</v>
      </c>
      <c r="L40" s="204">
        <f t="shared" si="35"/>
        <v>47999.934714185954</v>
      </c>
      <c r="M40" s="204">
        <f t="shared" si="35"/>
        <v>47999.934714185954</v>
      </c>
      <c r="N40" s="204">
        <f t="shared" si="35"/>
        <v>47999.934714185954</v>
      </c>
      <c r="O40" s="204">
        <f t="shared" si="35"/>
        <v>47999.934714185954</v>
      </c>
      <c r="P40" s="204">
        <f t="shared" si="36"/>
        <v>47999.934714185954</v>
      </c>
      <c r="Q40" s="204">
        <f t="shared" si="36"/>
        <v>47999.934714185954</v>
      </c>
      <c r="R40" s="204">
        <f t="shared" si="36"/>
        <v>47999.934714185954</v>
      </c>
      <c r="S40" s="204">
        <f t="shared" si="36"/>
        <v>47999.934714185954</v>
      </c>
      <c r="T40" s="204">
        <f t="shared" si="36"/>
        <v>47999.934714185954</v>
      </c>
      <c r="U40" s="204">
        <f t="shared" si="36"/>
        <v>47999.934714185954</v>
      </c>
      <c r="V40" s="204">
        <f t="shared" si="36"/>
        <v>47999.934714185954</v>
      </c>
      <c r="W40" s="204">
        <f t="shared" si="36"/>
        <v>47999.934714185954</v>
      </c>
      <c r="X40" s="204">
        <f t="shared" si="36"/>
        <v>47999.934714185954</v>
      </c>
      <c r="Y40" s="204">
        <f t="shared" si="36"/>
        <v>47999.934714185954</v>
      </c>
      <c r="Z40" s="204">
        <f t="shared" si="37"/>
        <v>47999.934714185954</v>
      </c>
      <c r="AA40" s="204">
        <f t="shared" si="37"/>
        <v>47999.934714185954</v>
      </c>
      <c r="AB40" s="204">
        <f t="shared" si="37"/>
        <v>47999.934714185954</v>
      </c>
      <c r="AC40" s="204">
        <f t="shared" si="37"/>
        <v>47999.934714185954</v>
      </c>
      <c r="AD40" s="204">
        <f t="shared" si="37"/>
        <v>47999.934714185954</v>
      </c>
      <c r="AE40" s="204">
        <f t="shared" si="37"/>
        <v>47999.934714185954</v>
      </c>
      <c r="AF40" s="204">
        <f t="shared" si="37"/>
        <v>47999.934714185954</v>
      </c>
      <c r="AG40" s="204">
        <f t="shared" si="37"/>
        <v>47999.934714185954</v>
      </c>
      <c r="AH40" s="204">
        <f t="shared" si="37"/>
        <v>47999.934714185954</v>
      </c>
      <c r="AI40" s="204">
        <f t="shared" si="37"/>
        <v>47999.934714185954</v>
      </c>
      <c r="AJ40" s="204">
        <f t="shared" si="38"/>
        <v>47999.934714185954</v>
      </c>
      <c r="AK40" s="204">
        <f t="shared" si="38"/>
        <v>47999.934714185954</v>
      </c>
      <c r="AL40" s="204">
        <f t="shared" si="38"/>
        <v>47999.934714185954</v>
      </c>
      <c r="AM40" s="204">
        <f t="shared" si="38"/>
        <v>47999.934714185954</v>
      </c>
      <c r="AN40" s="204">
        <f t="shared" si="38"/>
        <v>47999.934714185954</v>
      </c>
      <c r="AO40" s="204">
        <f t="shared" si="38"/>
        <v>47999.934714185954</v>
      </c>
      <c r="AP40" s="204">
        <f t="shared" si="38"/>
        <v>47999.934714185954</v>
      </c>
      <c r="AQ40" s="204">
        <f t="shared" si="38"/>
        <v>47999.934714185954</v>
      </c>
      <c r="AR40" s="204">
        <f t="shared" si="38"/>
        <v>47999.934714185954</v>
      </c>
      <c r="AS40" s="204">
        <f t="shared" si="38"/>
        <v>47999.934714185954</v>
      </c>
      <c r="AT40" s="204">
        <f t="shared" si="39"/>
        <v>47999.934714185954</v>
      </c>
      <c r="AU40" s="204">
        <f t="shared" si="39"/>
        <v>47999.934714185954</v>
      </c>
      <c r="AV40" s="204">
        <f t="shared" si="39"/>
        <v>47999.934714185954</v>
      </c>
      <c r="AW40" s="204">
        <f t="shared" si="39"/>
        <v>47999.934714185954</v>
      </c>
      <c r="AX40" s="204">
        <f t="shared" si="39"/>
        <v>47999.934714185954</v>
      </c>
      <c r="AY40" s="204">
        <f t="shared" si="39"/>
        <v>47999.934714185954</v>
      </c>
      <c r="AZ40" s="204">
        <f t="shared" si="39"/>
        <v>47999.934714185954</v>
      </c>
      <c r="BA40" s="204">
        <f t="shared" si="39"/>
        <v>47999.934714185954</v>
      </c>
      <c r="BB40" s="204">
        <f t="shared" si="39"/>
        <v>47999.934714185954</v>
      </c>
      <c r="BC40" s="204">
        <f t="shared" si="39"/>
        <v>47999.934714185954</v>
      </c>
      <c r="BD40" s="204">
        <f t="shared" si="40"/>
        <v>47999.934714185954</v>
      </c>
      <c r="BE40" s="204">
        <f t="shared" si="40"/>
        <v>47999.934714185954</v>
      </c>
      <c r="BF40" s="204">
        <f t="shared" si="40"/>
        <v>47999.934714185954</v>
      </c>
      <c r="BG40" s="204">
        <f t="shared" si="40"/>
        <v>47999.934714185954</v>
      </c>
      <c r="BH40" s="204">
        <f t="shared" si="40"/>
        <v>47999.934714185954</v>
      </c>
      <c r="BI40" s="204">
        <f t="shared" si="40"/>
        <v>47999.934714185954</v>
      </c>
      <c r="BJ40" s="204">
        <f t="shared" si="40"/>
        <v>47999.934714185954</v>
      </c>
      <c r="BK40" s="204">
        <f t="shared" si="40"/>
        <v>47999.934714185954</v>
      </c>
      <c r="BL40" s="204">
        <f t="shared" si="40"/>
        <v>47999.934714185954</v>
      </c>
      <c r="BM40" s="204">
        <f t="shared" si="40"/>
        <v>47999.934714185954</v>
      </c>
      <c r="BN40" s="204">
        <f t="shared" si="41"/>
        <v>47999.934714185954</v>
      </c>
      <c r="BO40" s="204">
        <f t="shared" si="41"/>
        <v>47999.934714185954</v>
      </c>
      <c r="BP40" s="204">
        <f t="shared" si="41"/>
        <v>47999.934714185954</v>
      </c>
      <c r="BQ40" s="204">
        <f t="shared" si="41"/>
        <v>47999.934714185954</v>
      </c>
      <c r="BR40" s="204">
        <f t="shared" si="41"/>
        <v>47999.934714185954</v>
      </c>
      <c r="BS40" s="204">
        <f t="shared" si="41"/>
        <v>47999.934714185954</v>
      </c>
      <c r="BT40" s="204">
        <f t="shared" si="41"/>
        <v>47999.934714185954</v>
      </c>
      <c r="BU40" s="204">
        <f t="shared" si="41"/>
        <v>47999.934714185954</v>
      </c>
      <c r="BV40" s="204">
        <f t="shared" si="41"/>
        <v>47999.934714185954</v>
      </c>
      <c r="BW40" s="204">
        <f t="shared" si="41"/>
        <v>47999.934714185954</v>
      </c>
      <c r="BX40" s="204">
        <f t="shared" si="42"/>
        <v>47999.934714185954</v>
      </c>
      <c r="BY40" s="204">
        <f t="shared" si="42"/>
        <v>47999.934714185954</v>
      </c>
      <c r="BZ40" s="204">
        <f t="shared" si="42"/>
        <v>47999.934714185954</v>
      </c>
      <c r="CA40" s="204">
        <f t="shared" si="42"/>
        <v>47999.934714185954</v>
      </c>
      <c r="CB40" s="204">
        <f t="shared" si="42"/>
        <v>47999.934714185954</v>
      </c>
      <c r="CC40" s="204">
        <f t="shared" si="42"/>
        <v>47999.934714185954</v>
      </c>
      <c r="CD40" s="204">
        <f t="shared" si="42"/>
        <v>47999.934714185954</v>
      </c>
      <c r="CE40" s="204">
        <f t="shared" si="42"/>
        <v>47999.934714185954</v>
      </c>
      <c r="CF40" s="204">
        <f t="shared" si="42"/>
        <v>47999.934714185954</v>
      </c>
      <c r="CG40" s="204">
        <f t="shared" si="42"/>
        <v>47999.934714185954</v>
      </c>
      <c r="CH40" s="204">
        <f t="shared" si="43"/>
        <v>47999.934714185954</v>
      </c>
      <c r="CI40" s="204">
        <f t="shared" si="43"/>
        <v>47999.934714185954</v>
      </c>
      <c r="CJ40" s="204">
        <f t="shared" si="43"/>
        <v>47999.934714185954</v>
      </c>
      <c r="CK40" s="204">
        <f t="shared" si="43"/>
        <v>47999.934714185954</v>
      </c>
      <c r="CL40" s="204">
        <f t="shared" si="43"/>
        <v>47999.934714185954</v>
      </c>
      <c r="CM40" s="204">
        <f t="shared" si="43"/>
        <v>47999.934714185954</v>
      </c>
      <c r="CN40" s="204">
        <f t="shared" si="43"/>
        <v>47999.934714185954</v>
      </c>
      <c r="CO40" s="204">
        <f t="shared" si="43"/>
        <v>47999.934714185954</v>
      </c>
      <c r="CP40" s="204">
        <f t="shared" si="43"/>
        <v>47999.934714185954</v>
      </c>
      <c r="CQ40" s="204">
        <f t="shared" si="43"/>
        <v>47999.169987601977</v>
      </c>
      <c r="CR40" s="204">
        <f t="shared" si="44"/>
        <v>47999.169987601977</v>
      </c>
      <c r="CS40" s="204">
        <f t="shared" si="44"/>
        <v>47999.169987601977</v>
      </c>
      <c r="CT40" s="204">
        <f t="shared" si="44"/>
        <v>47999.169987601977</v>
      </c>
      <c r="CU40" s="204">
        <f t="shared" si="44"/>
        <v>47999.169987601977</v>
      </c>
      <c r="CV40" s="204">
        <f t="shared" si="44"/>
        <v>47999.169987601977</v>
      </c>
      <c r="CW40" s="204">
        <f t="shared" si="44"/>
        <v>47999.169987601977</v>
      </c>
      <c r="CX40" s="204">
        <f t="shared" si="44"/>
        <v>47999.169987601977</v>
      </c>
      <c r="CY40" s="204">
        <f t="shared" si="44"/>
        <v>47999.169987601977</v>
      </c>
      <c r="CZ40" s="204">
        <f t="shared" si="44"/>
        <v>47999.169987601977</v>
      </c>
      <c r="DA40" s="204">
        <f t="shared" si="44"/>
        <v>47999.169987601977</v>
      </c>
    </row>
    <row r="42" spans="1:105">
      <c r="A42" s="201" t="str">
        <f>Income!A72</f>
        <v>Own crops Consumed</v>
      </c>
      <c r="F42" s="210">
        <f t="shared" ref="F42:AK42" si="45">IF(F$22&lt;=$E$24,IF(F$22&lt;=$D$24,IF(F$22&lt;=$C$24,IF(F$22&lt;=$B$24,$B108,($C25-$B25)/($C$24-$B$24)),($D25-$C25)/($D$24-$C$24)),($E25-$D25)/($E$24-$D$24)),$F108)</f>
        <v>0</v>
      </c>
      <c r="G42" s="210">
        <f t="shared" si="45"/>
        <v>0</v>
      </c>
      <c r="H42" s="210">
        <f t="shared" si="45"/>
        <v>0</v>
      </c>
      <c r="I42" s="210">
        <f t="shared" si="45"/>
        <v>0</v>
      </c>
      <c r="J42" s="210">
        <f t="shared" si="45"/>
        <v>0</v>
      </c>
      <c r="K42" s="210">
        <f t="shared" si="45"/>
        <v>0</v>
      </c>
      <c r="L42" s="210">
        <f t="shared" si="45"/>
        <v>0</v>
      </c>
      <c r="M42" s="210">
        <f t="shared" si="45"/>
        <v>0</v>
      </c>
      <c r="N42" s="210">
        <f t="shared" si="45"/>
        <v>0</v>
      </c>
      <c r="O42" s="210">
        <f t="shared" si="45"/>
        <v>0</v>
      </c>
      <c r="P42" s="210">
        <f t="shared" si="45"/>
        <v>0</v>
      </c>
      <c r="Q42" s="210">
        <f t="shared" si="45"/>
        <v>0</v>
      </c>
      <c r="R42" s="210">
        <f t="shared" si="45"/>
        <v>0</v>
      </c>
      <c r="S42" s="210">
        <f t="shared" si="45"/>
        <v>0</v>
      </c>
      <c r="T42" s="210">
        <f t="shared" si="45"/>
        <v>0</v>
      </c>
      <c r="U42" s="210">
        <f t="shared" si="45"/>
        <v>0</v>
      </c>
      <c r="V42" s="210">
        <f t="shared" si="45"/>
        <v>0</v>
      </c>
      <c r="W42" s="210">
        <f t="shared" si="45"/>
        <v>0</v>
      </c>
      <c r="X42" s="210">
        <f t="shared" si="45"/>
        <v>0</v>
      </c>
      <c r="Y42" s="210">
        <f t="shared" si="45"/>
        <v>0</v>
      </c>
      <c r="Z42" s="210">
        <f t="shared" si="45"/>
        <v>45.83618133029097</v>
      </c>
      <c r="AA42" s="210">
        <f t="shared" si="45"/>
        <v>45.83618133029097</v>
      </c>
      <c r="AB42" s="210">
        <f t="shared" si="45"/>
        <v>45.83618133029097</v>
      </c>
      <c r="AC42" s="210">
        <f t="shared" si="45"/>
        <v>45.83618133029097</v>
      </c>
      <c r="AD42" s="210">
        <f t="shared" si="45"/>
        <v>45.83618133029097</v>
      </c>
      <c r="AE42" s="210">
        <f t="shared" si="45"/>
        <v>45.83618133029097</v>
      </c>
      <c r="AF42" s="210">
        <f t="shared" si="45"/>
        <v>45.83618133029097</v>
      </c>
      <c r="AG42" s="210">
        <f t="shared" si="45"/>
        <v>45.83618133029097</v>
      </c>
      <c r="AH42" s="210">
        <f t="shared" si="45"/>
        <v>45.83618133029097</v>
      </c>
      <c r="AI42" s="210">
        <f t="shared" si="45"/>
        <v>45.83618133029097</v>
      </c>
      <c r="AJ42" s="210">
        <f t="shared" si="45"/>
        <v>45.83618133029097</v>
      </c>
      <c r="AK42" s="210">
        <f t="shared" si="45"/>
        <v>45.83618133029097</v>
      </c>
      <c r="AL42" s="210">
        <f t="shared" ref="AL42:BQ42" si="46">IF(AL$22&lt;=$E$24,IF(AL$22&lt;=$D$24,IF(AL$22&lt;=$C$24,IF(AL$22&lt;=$B$24,$B108,($C25-$B25)/($C$24-$B$24)),($D25-$C25)/($D$24-$C$24)),($E25-$D25)/($E$24-$D$24)),$F108)</f>
        <v>45.83618133029097</v>
      </c>
      <c r="AM42" s="210">
        <f t="shared" si="46"/>
        <v>45.83618133029097</v>
      </c>
      <c r="AN42" s="210">
        <f t="shared" si="46"/>
        <v>45.83618133029097</v>
      </c>
      <c r="AO42" s="210">
        <f t="shared" si="46"/>
        <v>45.83618133029097</v>
      </c>
      <c r="AP42" s="210">
        <f t="shared" si="46"/>
        <v>45.83618133029097</v>
      </c>
      <c r="AQ42" s="210">
        <f t="shared" si="46"/>
        <v>45.83618133029097</v>
      </c>
      <c r="AR42" s="210">
        <f t="shared" si="46"/>
        <v>45.83618133029097</v>
      </c>
      <c r="AS42" s="210">
        <f t="shared" si="46"/>
        <v>45.83618133029097</v>
      </c>
      <c r="AT42" s="210">
        <f t="shared" si="46"/>
        <v>45.83618133029097</v>
      </c>
      <c r="AU42" s="210">
        <f t="shared" si="46"/>
        <v>45.83618133029097</v>
      </c>
      <c r="AV42" s="210">
        <f t="shared" si="46"/>
        <v>45.83618133029097</v>
      </c>
      <c r="AW42" s="210">
        <f t="shared" si="46"/>
        <v>45.83618133029097</v>
      </c>
      <c r="AX42" s="210">
        <f t="shared" si="46"/>
        <v>45.83618133029097</v>
      </c>
      <c r="AY42" s="210">
        <f t="shared" si="46"/>
        <v>45.83618133029097</v>
      </c>
      <c r="AZ42" s="210">
        <f t="shared" si="46"/>
        <v>45.83618133029097</v>
      </c>
      <c r="BA42" s="210">
        <f t="shared" si="46"/>
        <v>45.83618133029097</v>
      </c>
      <c r="BB42" s="210">
        <f t="shared" si="46"/>
        <v>45.83618133029097</v>
      </c>
      <c r="BC42" s="210">
        <f t="shared" si="46"/>
        <v>45.83618133029097</v>
      </c>
      <c r="BD42" s="210">
        <f t="shared" si="46"/>
        <v>45.83618133029097</v>
      </c>
      <c r="BE42" s="210">
        <f t="shared" si="46"/>
        <v>45.83618133029097</v>
      </c>
      <c r="BF42" s="210">
        <f t="shared" si="46"/>
        <v>45.83618133029097</v>
      </c>
      <c r="BG42" s="210">
        <f t="shared" si="46"/>
        <v>45.83618133029097</v>
      </c>
      <c r="BH42" s="210">
        <f t="shared" si="46"/>
        <v>45.83618133029097</v>
      </c>
      <c r="BI42" s="210">
        <f t="shared" si="46"/>
        <v>45.83618133029097</v>
      </c>
      <c r="BJ42" s="210">
        <f t="shared" si="46"/>
        <v>45.83618133029097</v>
      </c>
      <c r="BK42" s="210">
        <f t="shared" si="46"/>
        <v>-16.805851213711957</v>
      </c>
      <c r="BL42" s="210">
        <f t="shared" si="46"/>
        <v>-16.805851213711957</v>
      </c>
      <c r="BM42" s="210">
        <f t="shared" si="46"/>
        <v>-16.805851213711957</v>
      </c>
      <c r="BN42" s="210">
        <f t="shared" si="46"/>
        <v>-16.805851213711957</v>
      </c>
      <c r="BO42" s="210">
        <f t="shared" si="46"/>
        <v>-16.805851213711957</v>
      </c>
      <c r="BP42" s="210">
        <f t="shared" si="46"/>
        <v>-16.805851213711957</v>
      </c>
      <c r="BQ42" s="210">
        <f t="shared" si="46"/>
        <v>-16.805851213711957</v>
      </c>
      <c r="BR42" s="210">
        <f t="shared" ref="BR42:DA42" si="47">IF(BR$22&lt;=$E$24,IF(BR$22&lt;=$D$24,IF(BR$22&lt;=$C$24,IF(BR$22&lt;=$B$24,$B108,($C25-$B25)/($C$24-$B$24)),($D25-$C25)/($D$24-$C$24)),($E25-$D25)/($E$24-$D$24)),$F108)</f>
        <v>-16.805851213711957</v>
      </c>
      <c r="BS42" s="210">
        <f t="shared" si="47"/>
        <v>-16.805851213711957</v>
      </c>
      <c r="BT42" s="210">
        <f t="shared" si="47"/>
        <v>-16.805851213711957</v>
      </c>
      <c r="BU42" s="210">
        <f t="shared" si="47"/>
        <v>-16.805851213711957</v>
      </c>
      <c r="BV42" s="210">
        <f t="shared" si="47"/>
        <v>-16.805851213711957</v>
      </c>
      <c r="BW42" s="210">
        <f t="shared" si="47"/>
        <v>-16.805851213711957</v>
      </c>
      <c r="BX42" s="210">
        <f t="shared" si="47"/>
        <v>-16.805851213711957</v>
      </c>
      <c r="BY42" s="210">
        <f t="shared" si="47"/>
        <v>-16.805851213711957</v>
      </c>
      <c r="BZ42" s="210">
        <f t="shared" si="47"/>
        <v>-16.805851213711957</v>
      </c>
      <c r="CA42" s="210">
        <f t="shared" si="47"/>
        <v>-16.805851213711957</v>
      </c>
      <c r="CB42" s="210">
        <f t="shared" si="47"/>
        <v>-16.805851213711957</v>
      </c>
      <c r="CC42" s="210">
        <f t="shared" si="47"/>
        <v>-16.805851213711957</v>
      </c>
      <c r="CD42" s="210">
        <f t="shared" si="47"/>
        <v>-16.805851213711957</v>
      </c>
      <c r="CE42" s="210">
        <f t="shared" si="47"/>
        <v>-16.805851213711957</v>
      </c>
      <c r="CF42" s="210">
        <f t="shared" si="47"/>
        <v>-16.805851213711957</v>
      </c>
      <c r="CG42" s="210">
        <f t="shared" si="47"/>
        <v>-16.805851213711957</v>
      </c>
      <c r="CH42" s="210">
        <f t="shared" si="47"/>
        <v>-16.805851213711957</v>
      </c>
      <c r="CI42" s="210">
        <f t="shared" si="47"/>
        <v>-16.805851213711957</v>
      </c>
      <c r="CJ42" s="210">
        <f t="shared" si="47"/>
        <v>-78.91272006325724</v>
      </c>
      <c r="CK42" s="210">
        <f t="shared" si="47"/>
        <v>-78.91272006325724</v>
      </c>
      <c r="CL42" s="210">
        <f t="shared" si="47"/>
        <v>-78.91272006325724</v>
      </c>
      <c r="CM42" s="210">
        <f t="shared" si="47"/>
        <v>-78.91272006325724</v>
      </c>
      <c r="CN42" s="210">
        <f t="shared" si="47"/>
        <v>-78.91272006325724</v>
      </c>
      <c r="CO42" s="210">
        <f t="shared" si="47"/>
        <v>-78.91272006325724</v>
      </c>
      <c r="CP42" s="210">
        <f t="shared" si="47"/>
        <v>-78.91272006325724</v>
      </c>
      <c r="CQ42" s="210">
        <f t="shared" si="47"/>
        <v>-78.91272006325724</v>
      </c>
      <c r="CR42" s="210">
        <f t="shared" si="47"/>
        <v>-78.91272006325724</v>
      </c>
      <c r="CS42" s="210">
        <f t="shared" si="47"/>
        <v>-78.91272006325724</v>
      </c>
      <c r="CT42" s="210">
        <f t="shared" si="47"/>
        <v>-78.91272006325724</v>
      </c>
      <c r="CU42" s="210">
        <f t="shared" si="47"/>
        <v>-78.91272006325724</v>
      </c>
      <c r="CV42" s="210">
        <f t="shared" si="47"/>
        <v>-78.91272006325724</v>
      </c>
      <c r="CW42" s="210">
        <f t="shared" si="47"/>
        <v>106.36000000000007</v>
      </c>
      <c r="CX42" s="210">
        <f t="shared" si="47"/>
        <v>106.36000000000007</v>
      </c>
      <c r="CY42" s="210">
        <f t="shared" si="47"/>
        <v>106.36000000000007</v>
      </c>
      <c r="CZ42" s="210">
        <f t="shared" si="47"/>
        <v>106.36000000000007</v>
      </c>
      <c r="DA42" s="210">
        <f t="shared" si="47"/>
        <v>106.36000000000007</v>
      </c>
    </row>
    <row r="43" spans="1:105">
      <c r="A43" s="201" t="str">
        <f>Income!A73</f>
        <v>Own crops sold</v>
      </c>
      <c r="F43" s="210">
        <f t="shared" ref="F43:AK43" si="48">IF(F$22&lt;=$E$24,IF(F$22&lt;=$D$24,IF(F$22&lt;=$C$24,IF(F$22&lt;=$B$24,$B109,($C26-$B26)/($C$24-$B$24)),($D26-$C26)/($D$24-$C$24)),($E26-$D26)/($E$24-$D$24)),$F109)</f>
        <v>340.26</v>
      </c>
      <c r="G43" s="210">
        <f t="shared" si="48"/>
        <v>340.26</v>
      </c>
      <c r="H43" s="210">
        <f t="shared" si="48"/>
        <v>340.26</v>
      </c>
      <c r="I43" s="210">
        <f t="shared" si="48"/>
        <v>340.26</v>
      </c>
      <c r="J43" s="210">
        <f t="shared" si="48"/>
        <v>340.26</v>
      </c>
      <c r="K43" s="210">
        <f t="shared" si="48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48"/>
        <v>340.26</v>
      </c>
      <c r="N43" s="210">
        <f t="shared" si="48"/>
        <v>340.26</v>
      </c>
      <c r="O43" s="210">
        <f t="shared" si="48"/>
        <v>340.26</v>
      </c>
      <c r="P43" s="210">
        <f t="shared" si="48"/>
        <v>340.26</v>
      </c>
      <c r="Q43" s="210">
        <f t="shared" si="48"/>
        <v>340.26</v>
      </c>
      <c r="R43" s="210">
        <f t="shared" si="48"/>
        <v>340.26</v>
      </c>
      <c r="S43" s="210">
        <f t="shared" si="48"/>
        <v>340.26</v>
      </c>
      <c r="T43" s="210">
        <f t="shared" si="48"/>
        <v>340.26</v>
      </c>
      <c r="U43" s="210">
        <f t="shared" si="48"/>
        <v>340.26</v>
      </c>
      <c r="V43" s="210">
        <f t="shared" si="48"/>
        <v>340.26</v>
      </c>
      <c r="W43" s="210">
        <f t="shared" si="48"/>
        <v>340.26</v>
      </c>
      <c r="X43" s="210">
        <f t="shared" si="48"/>
        <v>340.26</v>
      </c>
      <c r="Y43" s="210">
        <f t="shared" si="48"/>
        <v>340.26</v>
      </c>
      <c r="Z43" s="210">
        <f t="shared" si="48"/>
        <v>41.105929937058541</v>
      </c>
      <c r="AA43" s="210">
        <f t="shared" si="48"/>
        <v>41.105929937058541</v>
      </c>
      <c r="AB43" s="210">
        <f t="shared" si="48"/>
        <v>41.105929937058541</v>
      </c>
      <c r="AC43" s="210">
        <f t="shared" si="48"/>
        <v>41.105929937058541</v>
      </c>
      <c r="AD43" s="210">
        <f t="shared" si="48"/>
        <v>41.105929937058541</v>
      </c>
      <c r="AE43" s="210">
        <f t="shared" si="48"/>
        <v>41.105929937058541</v>
      </c>
      <c r="AF43" s="210">
        <f t="shared" si="48"/>
        <v>41.105929937058541</v>
      </c>
      <c r="AG43" s="210">
        <f t="shared" si="48"/>
        <v>41.105929937058541</v>
      </c>
      <c r="AH43" s="210">
        <f t="shared" si="48"/>
        <v>41.105929937058541</v>
      </c>
      <c r="AI43" s="210">
        <f t="shared" si="48"/>
        <v>41.105929937058541</v>
      </c>
      <c r="AJ43" s="210">
        <f t="shared" si="48"/>
        <v>41.105929937058541</v>
      </c>
      <c r="AK43" s="210">
        <f t="shared" si="48"/>
        <v>41.105929937058541</v>
      </c>
      <c r="AL43" s="210">
        <f t="shared" ref="AL43:BQ43" si="49">IF(AL$22&lt;=$E$24,IF(AL$22&lt;=$D$24,IF(AL$22&lt;=$C$24,IF(AL$22&lt;=$B$24,$B109,($C26-$B26)/($C$24-$B$24)),($D26-$C26)/($D$24-$C$24)),($E26-$D26)/($E$24-$D$24)),$F109)</f>
        <v>41.105929937058541</v>
      </c>
      <c r="AM43" s="210">
        <f t="shared" si="49"/>
        <v>41.105929937058541</v>
      </c>
      <c r="AN43" s="210">
        <f t="shared" si="49"/>
        <v>41.105929937058541</v>
      </c>
      <c r="AO43" s="210">
        <f t="shared" si="49"/>
        <v>41.105929937058541</v>
      </c>
      <c r="AP43" s="210">
        <f t="shared" si="49"/>
        <v>41.105929937058541</v>
      </c>
      <c r="AQ43" s="210">
        <f t="shared" si="49"/>
        <v>41.105929937058541</v>
      </c>
      <c r="AR43" s="210">
        <f t="shared" si="49"/>
        <v>41.105929937058541</v>
      </c>
      <c r="AS43" s="210">
        <f t="shared" si="49"/>
        <v>41.105929937058541</v>
      </c>
      <c r="AT43" s="210">
        <f t="shared" si="49"/>
        <v>41.105929937058541</v>
      </c>
      <c r="AU43" s="210">
        <f t="shared" si="49"/>
        <v>41.105929937058541</v>
      </c>
      <c r="AV43" s="210">
        <f t="shared" si="49"/>
        <v>41.105929937058541</v>
      </c>
      <c r="AW43" s="210">
        <f t="shared" si="49"/>
        <v>41.105929937058541</v>
      </c>
      <c r="AX43" s="210">
        <f t="shared" si="49"/>
        <v>41.105929937058541</v>
      </c>
      <c r="AY43" s="210">
        <f t="shared" si="49"/>
        <v>41.105929937058541</v>
      </c>
      <c r="AZ43" s="210">
        <f t="shared" si="49"/>
        <v>41.105929937058541</v>
      </c>
      <c r="BA43" s="210">
        <f t="shared" si="49"/>
        <v>41.105929937058541</v>
      </c>
      <c r="BB43" s="210">
        <f t="shared" si="49"/>
        <v>41.105929937058541</v>
      </c>
      <c r="BC43" s="210">
        <f t="shared" si="49"/>
        <v>41.105929937058541</v>
      </c>
      <c r="BD43" s="210">
        <f t="shared" si="49"/>
        <v>41.105929937058541</v>
      </c>
      <c r="BE43" s="210">
        <f t="shared" si="49"/>
        <v>41.105929937058541</v>
      </c>
      <c r="BF43" s="210">
        <f t="shared" si="49"/>
        <v>41.105929937058541</v>
      </c>
      <c r="BG43" s="210">
        <f t="shared" si="49"/>
        <v>41.105929937058541</v>
      </c>
      <c r="BH43" s="210">
        <f t="shared" si="49"/>
        <v>41.105929937058541</v>
      </c>
      <c r="BI43" s="210">
        <f t="shared" si="49"/>
        <v>41.105929937058541</v>
      </c>
      <c r="BJ43" s="210">
        <f t="shared" si="49"/>
        <v>41.105929937058541</v>
      </c>
      <c r="BK43" s="210">
        <f t="shared" si="49"/>
        <v>373.39354695975197</v>
      </c>
      <c r="BL43" s="210">
        <f t="shared" si="49"/>
        <v>373.39354695975197</v>
      </c>
      <c r="BM43" s="210">
        <f t="shared" si="49"/>
        <v>373.39354695975197</v>
      </c>
      <c r="BN43" s="210">
        <f t="shared" si="49"/>
        <v>373.39354695975197</v>
      </c>
      <c r="BO43" s="210">
        <f t="shared" si="49"/>
        <v>373.39354695975197</v>
      </c>
      <c r="BP43" s="210">
        <f t="shared" si="49"/>
        <v>373.39354695975197</v>
      </c>
      <c r="BQ43" s="210">
        <f t="shared" si="49"/>
        <v>373.39354695975197</v>
      </c>
      <c r="BR43" s="210">
        <f t="shared" ref="BR43:DA43" si="50">IF(BR$22&lt;=$E$24,IF(BR$22&lt;=$D$24,IF(BR$22&lt;=$C$24,IF(BR$22&lt;=$B$24,$B109,($C26-$B26)/($C$24-$B$24)),($D26-$C26)/($D$24-$C$24)),($E26-$D26)/($E$24-$D$24)),$F109)</f>
        <v>373.39354695975197</v>
      </c>
      <c r="BS43" s="210">
        <f t="shared" si="50"/>
        <v>373.39354695975197</v>
      </c>
      <c r="BT43" s="210">
        <f t="shared" si="50"/>
        <v>373.39354695975197</v>
      </c>
      <c r="BU43" s="210">
        <f t="shared" si="50"/>
        <v>373.39354695975197</v>
      </c>
      <c r="BV43" s="210">
        <f t="shared" si="50"/>
        <v>373.39354695975197</v>
      </c>
      <c r="BW43" s="210">
        <f t="shared" si="50"/>
        <v>373.39354695975197</v>
      </c>
      <c r="BX43" s="210">
        <f t="shared" si="50"/>
        <v>373.39354695975197</v>
      </c>
      <c r="BY43" s="210">
        <f t="shared" si="50"/>
        <v>373.39354695975197</v>
      </c>
      <c r="BZ43" s="210">
        <f t="shared" si="50"/>
        <v>373.39354695975197</v>
      </c>
      <c r="CA43" s="210">
        <f t="shared" si="50"/>
        <v>373.39354695975197</v>
      </c>
      <c r="CB43" s="210">
        <f t="shared" si="50"/>
        <v>373.39354695975197</v>
      </c>
      <c r="CC43" s="210">
        <f t="shared" si="50"/>
        <v>373.39354695975197</v>
      </c>
      <c r="CD43" s="210">
        <f t="shared" si="50"/>
        <v>373.39354695975197</v>
      </c>
      <c r="CE43" s="210">
        <f t="shared" si="50"/>
        <v>373.39354695975197</v>
      </c>
      <c r="CF43" s="210">
        <f t="shared" si="50"/>
        <v>373.39354695975197</v>
      </c>
      <c r="CG43" s="210">
        <f t="shared" si="50"/>
        <v>373.39354695975197</v>
      </c>
      <c r="CH43" s="210">
        <f t="shared" si="50"/>
        <v>373.39354695975197</v>
      </c>
      <c r="CI43" s="210">
        <f t="shared" si="50"/>
        <v>373.39354695975197</v>
      </c>
      <c r="CJ43" s="210">
        <f t="shared" si="50"/>
        <v>833.73285036555046</v>
      </c>
      <c r="CK43" s="210">
        <f t="shared" si="50"/>
        <v>833.73285036555046</v>
      </c>
      <c r="CL43" s="210">
        <f t="shared" si="50"/>
        <v>833.73285036555046</v>
      </c>
      <c r="CM43" s="210">
        <f t="shared" si="50"/>
        <v>833.73285036555046</v>
      </c>
      <c r="CN43" s="210">
        <f t="shared" si="50"/>
        <v>833.73285036555046</v>
      </c>
      <c r="CO43" s="210">
        <f t="shared" si="50"/>
        <v>833.73285036555046</v>
      </c>
      <c r="CP43" s="210">
        <f t="shared" si="50"/>
        <v>833.73285036555046</v>
      </c>
      <c r="CQ43" s="210">
        <f t="shared" si="50"/>
        <v>833.73285036555046</v>
      </c>
      <c r="CR43" s="210">
        <f t="shared" si="50"/>
        <v>833.73285036555046</v>
      </c>
      <c r="CS43" s="210">
        <f t="shared" si="50"/>
        <v>833.73285036555046</v>
      </c>
      <c r="CT43" s="210">
        <f t="shared" si="50"/>
        <v>833.73285036555046</v>
      </c>
      <c r="CU43" s="210">
        <f t="shared" si="50"/>
        <v>833.73285036555046</v>
      </c>
      <c r="CV43" s="210">
        <f t="shared" si="50"/>
        <v>833.73285036555046</v>
      </c>
      <c r="CW43" s="210">
        <f t="shared" si="50"/>
        <v>724.86000000000013</v>
      </c>
      <c r="CX43" s="210">
        <f t="shared" si="50"/>
        <v>724.86000000000013</v>
      </c>
      <c r="CY43" s="210">
        <f t="shared" si="50"/>
        <v>724.86000000000013</v>
      </c>
      <c r="CZ43" s="210">
        <f t="shared" si="50"/>
        <v>724.86000000000013</v>
      </c>
      <c r="DA43" s="210">
        <f t="shared" si="50"/>
        <v>724.86000000000013</v>
      </c>
    </row>
    <row r="44" spans="1:105">
      <c r="A44" s="201" t="str">
        <f>Income!A74</f>
        <v>Animal products consumed</v>
      </c>
      <c r="F44" s="210">
        <f t="shared" ref="F44:AK44" si="51">IF(F$22&lt;=$E$24,IF(F$22&lt;=$D$24,IF(F$22&lt;=$C$24,IF(F$22&lt;=$B$24,$B110,($C27-$B27)/($C$24-$B$24)),($D27-$C27)/($D$24-$C$24)),($E27-$D27)/($E$24-$D$24)),$F110)</f>
        <v>0</v>
      </c>
      <c r="G44" s="210">
        <f t="shared" si="51"/>
        <v>0</v>
      </c>
      <c r="H44" s="210">
        <f t="shared" si="51"/>
        <v>0</v>
      </c>
      <c r="I44" s="210">
        <f t="shared" si="51"/>
        <v>0</v>
      </c>
      <c r="J44" s="210">
        <f t="shared" si="51"/>
        <v>0</v>
      </c>
      <c r="K44" s="210">
        <f t="shared" si="51"/>
        <v>0</v>
      </c>
      <c r="L44" s="210">
        <f t="shared" si="51"/>
        <v>0</v>
      </c>
      <c r="M44" s="210">
        <f t="shared" si="51"/>
        <v>0</v>
      </c>
      <c r="N44" s="210">
        <f t="shared" si="51"/>
        <v>0</v>
      </c>
      <c r="O44" s="210">
        <f t="shared" si="51"/>
        <v>0</v>
      </c>
      <c r="P44" s="210">
        <f t="shared" si="51"/>
        <v>0</v>
      </c>
      <c r="Q44" s="210">
        <f t="shared" si="51"/>
        <v>0</v>
      </c>
      <c r="R44" s="210">
        <f t="shared" si="51"/>
        <v>0</v>
      </c>
      <c r="S44" s="210">
        <f t="shared" si="51"/>
        <v>0</v>
      </c>
      <c r="T44" s="210">
        <f t="shared" si="51"/>
        <v>0</v>
      </c>
      <c r="U44" s="210">
        <f t="shared" si="51"/>
        <v>0</v>
      </c>
      <c r="V44" s="210">
        <f t="shared" si="51"/>
        <v>0</v>
      </c>
      <c r="W44" s="210">
        <f t="shared" si="51"/>
        <v>0</v>
      </c>
      <c r="X44" s="210">
        <f t="shared" si="51"/>
        <v>0</v>
      </c>
      <c r="Y44" s="210">
        <f t="shared" si="51"/>
        <v>0</v>
      </c>
      <c r="Z44" s="210">
        <f t="shared" si="51"/>
        <v>13.550886419716154</v>
      </c>
      <c r="AA44" s="210">
        <f t="shared" si="51"/>
        <v>13.550886419716154</v>
      </c>
      <c r="AB44" s="210">
        <f t="shared" si="51"/>
        <v>13.550886419716154</v>
      </c>
      <c r="AC44" s="210">
        <f t="shared" si="51"/>
        <v>13.550886419716154</v>
      </c>
      <c r="AD44" s="210">
        <f t="shared" si="51"/>
        <v>13.550886419716154</v>
      </c>
      <c r="AE44" s="210">
        <f t="shared" si="51"/>
        <v>13.550886419716154</v>
      </c>
      <c r="AF44" s="210">
        <f t="shared" si="51"/>
        <v>13.550886419716154</v>
      </c>
      <c r="AG44" s="210">
        <f t="shared" si="51"/>
        <v>13.550886419716154</v>
      </c>
      <c r="AH44" s="210">
        <f t="shared" si="51"/>
        <v>13.550886419716154</v>
      </c>
      <c r="AI44" s="210">
        <f t="shared" si="51"/>
        <v>13.550886419716154</v>
      </c>
      <c r="AJ44" s="210">
        <f t="shared" si="51"/>
        <v>13.550886419716154</v>
      </c>
      <c r="AK44" s="210">
        <f t="shared" si="51"/>
        <v>13.550886419716154</v>
      </c>
      <c r="AL44" s="210">
        <f t="shared" ref="AL44:BQ44" si="52">IF(AL$22&lt;=$E$24,IF(AL$22&lt;=$D$24,IF(AL$22&lt;=$C$24,IF(AL$22&lt;=$B$24,$B110,($C27-$B27)/($C$24-$B$24)),($D27-$C27)/($D$24-$C$24)),($E27-$D27)/($E$24-$D$24)),$F110)</f>
        <v>13.550886419716154</v>
      </c>
      <c r="AM44" s="210">
        <f t="shared" si="52"/>
        <v>13.550886419716154</v>
      </c>
      <c r="AN44" s="210">
        <f t="shared" si="52"/>
        <v>13.550886419716154</v>
      </c>
      <c r="AO44" s="210">
        <f t="shared" si="52"/>
        <v>13.550886419716154</v>
      </c>
      <c r="AP44" s="210">
        <f t="shared" si="52"/>
        <v>13.550886419716154</v>
      </c>
      <c r="AQ44" s="210">
        <f t="shared" si="52"/>
        <v>13.550886419716154</v>
      </c>
      <c r="AR44" s="210">
        <f t="shared" si="52"/>
        <v>13.550886419716154</v>
      </c>
      <c r="AS44" s="210">
        <f t="shared" si="52"/>
        <v>13.550886419716154</v>
      </c>
      <c r="AT44" s="210">
        <f t="shared" si="52"/>
        <v>13.550886419716154</v>
      </c>
      <c r="AU44" s="210">
        <f t="shared" si="52"/>
        <v>13.550886419716154</v>
      </c>
      <c r="AV44" s="210">
        <f t="shared" si="52"/>
        <v>13.550886419716154</v>
      </c>
      <c r="AW44" s="210">
        <f t="shared" si="52"/>
        <v>13.550886419716154</v>
      </c>
      <c r="AX44" s="210">
        <f t="shared" si="52"/>
        <v>13.550886419716154</v>
      </c>
      <c r="AY44" s="210">
        <f t="shared" si="52"/>
        <v>13.550886419716154</v>
      </c>
      <c r="AZ44" s="210">
        <f t="shared" si="52"/>
        <v>13.550886419716154</v>
      </c>
      <c r="BA44" s="210">
        <f t="shared" si="52"/>
        <v>13.550886419716154</v>
      </c>
      <c r="BB44" s="210">
        <f t="shared" si="52"/>
        <v>13.550886419716154</v>
      </c>
      <c r="BC44" s="210">
        <f t="shared" si="52"/>
        <v>13.550886419716154</v>
      </c>
      <c r="BD44" s="210">
        <f t="shared" si="52"/>
        <v>13.550886419716154</v>
      </c>
      <c r="BE44" s="210">
        <f t="shared" si="52"/>
        <v>13.550886419716154</v>
      </c>
      <c r="BF44" s="210">
        <f t="shared" si="52"/>
        <v>13.550886419716154</v>
      </c>
      <c r="BG44" s="210">
        <f t="shared" si="52"/>
        <v>13.550886419716154</v>
      </c>
      <c r="BH44" s="210">
        <f t="shared" si="52"/>
        <v>13.550886419716154</v>
      </c>
      <c r="BI44" s="210">
        <f t="shared" si="52"/>
        <v>13.550886419716154</v>
      </c>
      <c r="BJ44" s="210">
        <f t="shared" si="52"/>
        <v>13.550886419716154</v>
      </c>
      <c r="BK44" s="210">
        <f t="shared" si="52"/>
        <v>32.842597103089481</v>
      </c>
      <c r="BL44" s="210">
        <f t="shared" si="52"/>
        <v>32.842597103089481</v>
      </c>
      <c r="BM44" s="210">
        <f t="shared" si="52"/>
        <v>32.842597103089481</v>
      </c>
      <c r="BN44" s="210">
        <f t="shared" si="52"/>
        <v>32.842597103089481</v>
      </c>
      <c r="BO44" s="210">
        <f t="shared" si="52"/>
        <v>32.842597103089481</v>
      </c>
      <c r="BP44" s="210">
        <f t="shared" si="52"/>
        <v>32.842597103089481</v>
      </c>
      <c r="BQ44" s="210">
        <f t="shared" si="52"/>
        <v>32.842597103089481</v>
      </c>
      <c r="BR44" s="210">
        <f t="shared" ref="BR44:DA44" si="53">IF(BR$22&lt;=$E$24,IF(BR$22&lt;=$D$24,IF(BR$22&lt;=$C$24,IF(BR$22&lt;=$B$24,$B110,($C27-$B27)/($C$24-$B$24)),($D27-$C27)/($D$24-$C$24)),($E27-$D27)/($E$24-$D$24)),$F110)</f>
        <v>32.842597103089481</v>
      </c>
      <c r="BS44" s="210">
        <f t="shared" si="53"/>
        <v>32.842597103089481</v>
      </c>
      <c r="BT44" s="210">
        <f t="shared" si="53"/>
        <v>32.842597103089481</v>
      </c>
      <c r="BU44" s="210">
        <f t="shared" si="53"/>
        <v>32.842597103089481</v>
      </c>
      <c r="BV44" s="210">
        <f t="shared" si="53"/>
        <v>32.842597103089481</v>
      </c>
      <c r="BW44" s="210">
        <f t="shared" si="53"/>
        <v>32.842597103089481</v>
      </c>
      <c r="BX44" s="210">
        <f t="shared" si="53"/>
        <v>32.842597103089481</v>
      </c>
      <c r="BY44" s="210">
        <f t="shared" si="53"/>
        <v>32.842597103089481</v>
      </c>
      <c r="BZ44" s="210">
        <f t="shared" si="53"/>
        <v>32.842597103089481</v>
      </c>
      <c r="CA44" s="210">
        <f t="shared" si="53"/>
        <v>32.842597103089481</v>
      </c>
      <c r="CB44" s="210">
        <f t="shared" si="53"/>
        <v>32.842597103089481</v>
      </c>
      <c r="CC44" s="210">
        <f t="shared" si="53"/>
        <v>32.842597103089481</v>
      </c>
      <c r="CD44" s="210">
        <f t="shared" si="53"/>
        <v>32.842597103089481</v>
      </c>
      <c r="CE44" s="210">
        <f t="shared" si="53"/>
        <v>32.842597103089481</v>
      </c>
      <c r="CF44" s="210">
        <f t="shared" si="53"/>
        <v>32.842597103089481</v>
      </c>
      <c r="CG44" s="210">
        <f t="shared" si="53"/>
        <v>32.842597103089481</v>
      </c>
      <c r="CH44" s="210">
        <f t="shared" si="53"/>
        <v>32.842597103089481</v>
      </c>
      <c r="CI44" s="210">
        <f t="shared" si="53"/>
        <v>32.842597103089481</v>
      </c>
      <c r="CJ44" s="210">
        <f t="shared" si="53"/>
        <v>20.418646632837273</v>
      </c>
      <c r="CK44" s="210">
        <f t="shared" si="53"/>
        <v>20.418646632837273</v>
      </c>
      <c r="CL44" s="210">
        <f t="shared" si="53"/>
        <v>20.418646632837273</v>
      </c>
      <c r="CM44" s="210">
        <f t="shared" si="53"/>
        <v>20.418646632837273</v>
      </c>
      <c r="CN44" s="210">
        <f t="shared" si="53"/>
        <v>20.418646632837273</v>
      </c>
      <c r="CO44" s="210">
        <f t="shared" si="53"/>
        <v>20.418646632837273</v>
      </c>
      <c r="CP44" s="210">
        <f t="shared" si="53"/>
        <v>20.418646632837273</v>
      </c>
      <c r="CQ44" s="210">
        <f t="shared" si="53"/>
        <v>20.418646632837273</v>
      </c>
      <c r="CR44" s="210">
        <f t="shared" si="53"/>
        <v>20.418646632837273</v>
      </c>
      <c r="CS44" s="210">
        <f t="shared" si="53"/>
        <v>20.418646632837273</v>
      </c>
      <c r="CT44" s="210">
        <f t="shared" si="53"/>
        <v>20.418646632837273</v>
      </c>
      <c r="CU44" s="210">
        <f t="shared" si="53"/>
        <v>20.418646632837273</v>
      </c>
      <c r="CV44" s="210">
        <f t="shared" si="53"/>
        <v>20.418646632837273</v>
      </c>
      <c r="CW44" s="210">
        <f t="shared" si="53"/>
        <v>8.4310000000000009</v>
      </c>
      <c r="CX44" s="210">
        <f t="shared" si="53"/>
        <v>8.4310000000000009</v>
      </c>
      <c r="CY44" s="210">
        <f t="shared" si="53"/>
        <v>8.4310000000000009</v>
      </c>
      <c r="CZ44" s="210">
        <f t="shared" si="53"/>
        <v>8.4310000000000009</v>
      </c>
      <c r="DA44" s="210">
        <f t="shared" si="53"/>
        <v>8.4310000000000009</v>
      </c>
    </row>
    <row r="45" spans="1:105">
      <c r="A45" s="201" t="str">
        <f>Income!A75</f>
        <v>Animal products sold</v>
      </c>
      <c r="F45" s="210">
        <f t="shared" ref="F45:AK45" si="54">IF(F$22&lt;=$E$24,IF(F$22&lt;=$D$24,IF(F$22&lt;=$C$24,IF(F$22&lt;=$B$24,$B111,($C28-$B28)/($C$24-$B$24)),($D28-$C28)/($D$24-$C$24)),($E28-$D28)/($E$24-$D$24)),$F111)</f>
        <v>0</v>
      </c>
      <c r="G45" s="210">
        <f t="shared" si="54"/>
        <v>0</v>
      </c>
      <c r="H45" s="210">
        <f t="shared" si="54"/>
        <v>0</v>
      </c>
      <c r="I45" s="210">
        <f t="shared" si="54"/>
        <v>0</v>
      </c>
      <c r="J45" s="210">
        <f t="shared" si="54"/>
        <v>0</v>
      </c>
      <c r="K45" s="210">
        <f t="shared" si="54"/>
        <v>0</v>
      </c>
      <c r="L45" s="210">
        <f t="shared" si="54"/>
        <v>0</v>
      </c>
      <c r="M45" s="210">
        <f t="shared" si="54"/>
        <v>0</v>
      </c>
      <c r="N45" s="210">
        <f t="shared" si="54"/>
        <v>0</v>
      </c>
      <c r="O45" s="210">
        <f t="shared" si="54"/>
        <v>0</v>
      </c>
      <c r="P45" s="210">
        <f t="shared" si="54"/>
        <v>0</v>
      </c>
      <c r="Q45" s="210">
        <f t="shared" si="54"/>
        <v>0</v>
      </c>
      <c r="R45" s="210">
        <f t="shared" si="54"/>
        <v>0</v>
      </c>
      <c r="S45" s="210">
        <f t="shared" si="54"/>
        <v>0</v>
      </c>
      <c r="T45" s="210">
        <f t="shared" si="54"/>
        <v>0</v>
      </c>
      <c r="U45" s="210">
        <f t="shared" si="54"/>
        <v>0</v>
      </c>
      <c r="V45" s="210">
        <f t="shared" si="54"/>
        <v>0</v>
      </c>
      <c r="W45" s="210">
        <f t="shared" si="54"/>
        <v>0</v>
      </c>
      <c r="X45" s="210">
        <f t="shared" si="54"/>
        <v>0</v>
      </c>
      <c r="Y45" s="210">
        <f t="shared" si="54"/>
        <v>0</v>
      </c>
      <c r="Z45" s="210">
        <f t="shared" si="54"/>
        <v>0</v>
      </c>
      <c r="AA45" s="210">
        <f t="shared" si="54"/>
        <v>0</v>
      </c>
      <c r="AB45" s="210">
        <f t="shared" si="54"/>
        <v>0</v>
      </c>
      <c r="AC45" s="210">
        <f t="shared" si="54"/>
        <v>0</v>
      </c>
      <c r="AD45" s="210">
        <f t="shared" si="54"/>
        <v>0</v>
      </c>
      <c r="AE45" s="210">
        <f t="shared" si="54"/>
        <v>0</v>
      </c>
      <c r="AF45" s="210">
        <f t="shared" si="54"/>
        <v>0</v>
      </c>
      <c r="AG45" s="210">
        <f t="shared" si="54"/>
        <v>0</v>
      </c>
      <c r="AH45" s="210">
        <f t="shared" si="54"/>
        <v>0</v>
      </c>
      <c r="AI45" s="210">
        <f t="shared" si="54"/>
        <v>0</v>
      </c>
      <c r="AJ45" s="210">
        <f t="shared" si="54"/>
        <v>0</v>
      </c>
      <c r="AK45" s="210">
        <f t="shared" si="54"/>
        <v>0</v>
      </c>
      <c r="AL45" s="210">
        <f t="shared" ref="AL45:BQ45" si="55">IF(AL$22&lt;=$E$24,IF(AL$22&lt;=$D$24,IF(AL$22&lt;=$C$24,IF(AL$22&lt;=$B$24,$B111,($C28-$B28)/($C$24-$B$24)),($D28-$C28)/($D$24-$C$24)),($E28-$D28)/($E$24-$D$24)),$F111)</f>
        <v>0</v>
      </c>
      <c r="AM45" s="210">
        <f t="shared" si="55"/>
        <v>0</v>
      </c>
      <c r="AN45" s="210">
        <f t="shared" si="55"/>
        <v>0</v>
      </c>
      <c r="AO45" s="210">
        <f t="shared" si="55"/>
        <v>0</v>
      </c>
      <c r="AP45" s="210">
        <f t="shared" si="55"/>
        <v>0</v>
      </c>
      <c r="AQ45" s="210">
        <f t="shared" si="55"/>
        <v>0</v>
      </c>
      <c r="AR45" s="210">
        <f t="shared" si="55"/>
        <v>0</v>
      </c>
      <c r="AS45" s="210">
        <f t="shared" si="55"/>
        <v>0</v>
      </c>
      <c r="AT45" s="210">
        <f t="shared" si="55"/>
        <v>0</v>
      </c>
      <c r="AU45" s="210">
        <f t="shared" si="55"/>
        <v>0</v>
      </c>
      <c r="AV45" s="210">
        <f t="shared" si="55"/>
        <v>0</v>
      </c>
      <c r="AW45" s="210">
        <f t="shared" si="55"/>
        <v>0</v>
      </c>
      <c r="AX45" s="210">
        <f t="shared" si="55"/>
        <v>0</v>
      </c>
      <c r="AY45" s="210">
        <f t="shared" si="55"/>
        <v>0</v>
      </c>
      <c r="AZ45" s="210">
        <f t="shared" si="55"/>
        <v>0</v>
      </c>
      <c r="BA45" s="210">
        <f t="shared" si="55"/>
        <v>0</v>
      </c>
      <c r="BB45" s="210">
        <f t="shared" si="55"/>
        <v>0</v>
      </c>
      <c r="BC45" s="210">
        <f t="shared" si="55"/>
        <v>0</v>
      </c>
      <c r="BD45" s="210">
        <f t="shared" si="55"/>
        <v>0</v>
      </c>
      <c r="BE45" s="210">
        <f t="shared" si="55"/>
        <v>0</v>
      </c>
      <c r="BF45" s="210">
        <f t="shared" si="55"/>
        <v>0</v>
      </c>
      <c r="BG45" s="210">
        <f t="shared" si="55"/>
        <v>0</v>
      </c>
      <c r="BH45" s="210">
        <f t="shared" si="55"/>
        <v>0</v>
      </c>
      <c r="BI45" s="210">
        <f t="shared" si="55"/>
        <v>0</v>
      </c>
      <c r="BJ45" s="210">
        <f t="shared" si="55"/>
        <v>0</v>
      </c>
      <c r="BK45" s="210">
        <f t="shared" si="55"/>
        <v>0</v>
      </c>
      <c r="BL45" s="210">
        <f t="shared" si="55"/>
        <v>0</v>
      </c>
      <c r="BM45" s="210">
        <f t="shared" si="55"/>
        <v>0</v>
      </c>
      <c r="BN45" s="210">
        <f t="shared" si="55"/>
        <v>0</v>
      </c>
      <c r="BO45" s="210">
        <f t="shared" si="55"/>
        <v>0</v>
      </c>
      <c r="BP45" s="210">
        <f t="shared" si="55"/>
        <v>0</v>
      </c>
      <c r="BQ45" s="210">
        <f t="shared" si="55"/>
        <v>0</v>
      </c>
      <c r="BR45" s="210">
        <f t="shared" ref="BR45:DA45" si="56">IF(BR$22&lt;=$E$24,IF(BR$22&lt;=$D$24,IF(BR$22&lt;=$C$24,IF(BR$22&lt;=$B$24,$B111,($C28-$B28)/($C$24-$B$24)),($D28-$C28)/($D$24-$C$24)),($E28-$D28)/($E$24-$D$24)),$F111)</f>
        <v>0</v>
      </c>
      <c r="BS45" s="210">
        <f t="shared" si="56"/>
        <v>0</v>
      </c>
      <c r="BT45" s="210">
        <f t="shared" si="56"/>
        <v>0</v>
      </c>
      <c r="BU45" s="210">
        <f t="shared" si="56"/>
        <v>0</v>
      </c>
      <c r="BV45" s="210">
        <f t="shared" si="56"/>
        <v>0</v>
      </c>
      <c r="BW45" s="210">
        <f t="shared" si="56"/>
        <v>0</v>
      </c>
      <c r="BX45" s="210">
        <f t="shared" si="56"/>
        <v>0</v>
      </c>
      <c r="BY45" s="210">
        <f t="shared" si="56"/>
        <v>0</v>
      </c>
      <c r="BZ45" s="210">
        <f t="shared" si="56"/>
        <v>0</v>
      </c>
      <c r="CA45" s="210">
        <f t="shared" si="56"/>
        <v>0</v>
      </c>
      <c r="CB45" s="210">
        <f t="shared" si="56"/>
        <v>0</v>
      </c>
      <c r="CC45" s="210">
        <f t="shared" si="56"/>
        <v>0</v>
      </c>
      <c r="CD45" s="210">
        <f t="shared" si="56"/>
        <v>0</v>
      </c>
      <c r="CE45" s="210">
        <f t="shared" si="56"/>
        <v>0</v>
      </c>
      <c r="CF45" s="210">
        <f t="shared" si="56"/>
        <v>0</v>
      </c>
      <c r="CG45" s="210">
        <f t="shared" si="56"/>
        <v>0</v>
      </c>
      <c r="CH45" s="210">
        <f t="shared" si="56"/>
        <v>0</v>
      </c>
      <c r="CI45" s="210">
        <f t="shared" si="56"/>
        <v>0</v>
      </c>
      <c r="CJ45" s="210">
        <f t="shared" si="56"/>
        <v>0</v>
      </c>
      <c r="CK45" s="210">
        <f t="shared" si="56"/>
        <v>0</v>
      </c>
      <c r="CL45" s="210">
        <f t="shared" si="56"/>
        <v>0</v>
      </c>
      <c r="CM45" s="210">
        <f t="shared" si="56"/>
        <v>0</v>
      </c>
      <c r="CN45" s="210">
        <f t="shared" si="56"/>
        <v>0</v>
      </c>
      <c r="CO45" s="210">
        <f t="shared" si="56"/>
        <v>0</v>
      </c>
      <c r="CP45" s="210">
        <f t="shared" si="56"/>
        <v>0</v>
      </c>
      <c r="CQ45" s="210">
        <f t="shared" si="56"/>
        <v>0</v>
      </c>
      <c r="CR45" s="210">
        <f t="shared" si="56"/>
        <v>0</v>
      </c>
      <c r="CS45" s="210">
        <f t="shared" si="56"/>
        <v>0</v>
      </c>
      <c r="CT45" s="210">
        <f t="shared" si="56"/>
        <v>0</v>
      </c>
      <c r="CU45" s="210">
        <f t="shared" si="56"/>
        <v>0</v>
      </c>
      <c r="CV45" s="210">
        <f t="shared" si="56"/>
        <v>0</v>
      </c>
      <c r="CW45" s="210">
        <f t="shared" si="56"/>
        <v>0</v>
      </c>
      <c r="CX45" s="210">
        <f t="shared" si="56"/>
        <v>0</v>
      </c>
      <c r="CY45" s="210">
        <f t="shared" si="56"/>
        <v>0</v>
      </c>
      <c r="CZ45" s="210">
        <f t="shared" si="56"/>
        <v>0</v>
      </c>
      <c r="DA45" s="210">
        <f t="shared" si="56"/>
        <v>0</v>
      </c>
    </row>
    <row r="46" spans="1:105">
      <c r="A46" s="201" t="str">
        <f>Income!A76</f>
        <v>Animals sold</v>
      </c>
      <c r="F46" s="210">
        <f t="shared" ref="F46:AK46" si="57">IF(F$22&lt;=$E$24,IF(F$22&lt;=$D$24,IF(F$22&lt;=$C$24,IF(F$22&lt;=$B$24,$B112,($C29-$B29)/($C$24-$B$24)),($D29-$C29)/($D$24-$C$24)),($E29-$D29)/($E$24-$D$24)),$F112)</f>
        <v>0</v>
      </c>
      <c r="G46" s="210">
        <f t="shared" si="57"/>
        <v>0</v>
      </c>
      <c r="H46" s="210">
        <f t="shared" si="57"/>
        <v>0</v>
      </c>
      <c r="I46" s="210">
        <f t="shared" si="57"/>
        <v>0</v>
      </c>
      <c r="J46" s="210">
        <f t="shared" si="57"/>
        <v>0</v>
      </c>
      <c r="K46" s="210">
        <f t="shared" si="57"/>
        <v>0</v>
      </c>
      <c r="L46" s="210">
        <f t="shared" si="57"/>
        <v>0</v>
      </c>
      <c r="M46" s="210">
        <f t="shared" si="57"/>
        <v>0</v>
      </c>
      <c r="N46" s="210">
        <f t="shared" si="57"/>
        <v>0</v>
      </c>
      <c r="O46" s="210">
        <f t="shared" si="57"/>
        <v>0</v>
      </c>
      <c r="P46" s="210">
        <f t="shared" si="57"/>
        <v>0</v>
      </c>
      <c r="Q46" s="210">
        <f t="shared" si="57"/>
        <v>0</v>
      </c>
      <c r="R46" s="210">
        <f t="shared" si="57"/>
        <v>0</v>
      </c>
      <c r="S46" s="210">
        <f t="shared" si="57"/>
        <v>0</v>
      </c>
      <c r="T46" s="210">
        <f t="shared" si="57"/>
        <v>0</v>
      </c>
      <c r="U46" s="210">
        <f t="shared" si="57"/>
        <v>0</v>
      </c>
      <c r="V46" s="210">
        <f t="shared" si="57"/>
        <v>0</v>
      </c>
      <c r="W46" s="210">
        <f t="shared" si="57"/>
        <v>0</v>
      </c>
      <c r="X46" s="210">
        <f t="shared" si="57"/>
        <v>0</v>
      </c>
      <c r="Y46" s="210">
        <f t="shared" si="57"/>
        <v>0</v>
      </c>
      <c r="Z46" s="210">
        <f t="shared" si="57"/>
        <v>191.8651306028807</v>
      </c>
      <c r="AA46" s="210">
        <f t="shared" si="57"/>
        <v>191.8651306028807</v>
      </c>
      <c r="AB46" s="210">
        <f t="shared" si="57"/>
        <v>191.8651306028807</v>
      </c>
      <c r="AC46" s="210">
        <f t="shared" si="57"/>
        <v>191.8651306028807</v>
      </c>
      <c r="AD46" s="210">
        <f t="shared" si="57"/>
        <v>191.8651306028807</v>
      </c>
      <c r="AE46" s="210">
        <f t="shared" si="57"/>
        <v>191.8651306028807</v>
      </c>
      <c r="AF46" s="210">
        <f t="shared" si="57"/>
        <v>191.8651306028807</v>
      </c>
      <c r="AG46" s="210">
        <f t="shared" si="57"/>
        <v>191.8651306028807</v>
      </c>
      <c r="AH46" s="210">
        <f t="shared" si="57"/>
        <v>191.8651306028807</v>
      </c>
      <c r="AI46" s="210">
        <f t="shared" si="57"/>
        <v>191.8651306028807</v>
      </c>
      <c r="AJ46" s="210">
        <f t="shared" si="57"/>
        <v>191.8651306028807</v>
      </c>
      <c r="AK46" s="210">
        <f t="shared" si="57"/>
        <v>191.8651306028807</v>
      </c>
      <c r="AL46" s="210">
        <f t="shared" ref="AL46:BQ46" si="58">IF(AL$22&lt;=$E$24,IF(AL$22&lt;=$D$24,IF(AL$22&lt;=$C$24,IF(AL$22&lt;=$B$24,$B112,($C29-$B29)/($C$24-$B$24)),($D29-$C29)/($D$24-$C$24)),($E29-$D29)/($E$24-$D$24)),$F112)</f>
        <v>191.8651306028807</v>
      </c>
      <c r="AM46" s="210">
        <f t="shared" si="58"/>
        <v>191.8651306028807</v>
      </c>
      <c r="AN46" s="210">
        <f t="shared" si="58"/>
        <v>191.8651306028807</v>
      </c>
      <c r="AO46" s="210">
        <f t="shared" si="58"/>
        <v>191.8651306028807</v>
      </c>
      <c r="AP46" s="210">
        <f t="shared" si="58"/>
        <v>191.8651306028807</v>
      </c>
      <c r="AQ46" s="210">
        <f t="shared" si="58"/>
        <v>191.8651306028807</v>
      </c>
      <c r="AR46" s="210">
        <f t="shared" si="58"/>
        <v>191.8651306028807</v>
      </c>
      <c r="AS46" s="210">
        <f t="shared" si="58"/>
        <v>191.8651306028807</v>
      </c>
      <c r="AT46" s="210">
        <f t="shared" si="58"/>
        <v>191.8651306028807</v>
      </c>
      <c r="AU46" s="210">
        <f t="shared" si="58"/>
        <v>191.8651306028807</v>
      </c>
      <c r="AV46" s="210">
        <f t="shared" si="58"/>
        <v>191.8651306028807</v>
      </c>
      <c r="AW46" s="210">
        <f t="shared" si="58"/>
        <v>191.8651306028807</v>
      </c>
      <c r="AX46" s="210">
        <f t="shared" si="58"/>
        <v>191.8651306028807</v>
      </c>
      <c r="AY46" s="210">
        <f t="shared" si="58"/>
        <v>191.8651306028807</v>
      </c>
      <c r="AZ46" s="210">
        <f t="shared" si="58"/>
        <v>191.8651306028807</v>
      </c>
      <c r="BA46" s="210">
        <f t="shared" si="58"/>
        <v>191.8651306028807</v>
      </c>
      <c r="BB46" s="210">
        <f t="shared" si="58"/>
        <v>191.8651306028807</v>
      </c>
      <c r="BC46" s="210">
        <f t="shared" si="58"/>
        <v>191.8651306028807</v>
      </c>
      <c r="BD46" s="210">
        <f t="shared" si="58"/>
        <v>191.8651306028807</v>
      </c>
      <c r="BE46" s="210">
        <f t="shared" si="58"/>
        <v>191.8651306028807</v>
      </c>
      <c r="BF46" s="210">
        <f t="shared" si="58"/>
        <v>191.8651306028807</v>
      </c>
      <c r="BG46" s="210">
        <f t="shared" si="58"/>
        <v>191.8651306028807</v>
      </c>
      <c r="BH46" s="210">
        <f t="shared" si="58"/>
        <v>191.8651306028807</v>
      </c>
      <c r="BI46" s="210">
        <f t="shared" si="58"/>
        <v>191.8651306028807</v>
      </c>
      <c r="BJ46" s="210">
        <f t="shared" si="58"/>
        <v>191.8651306028807</v>
      </c>
      <c r="BK46" s="210">
        <f t="shared" si="58"/>
        <v>469.94294200886941</v>
      </c>
      <c r="BL46" s="210">
        <f t="shared" si="58"/>
        <v>469.94294200886941</v>
      </c>
      <c r="BM46" s="210">
        <f t="shared" si="58"/>
        <v>469.94294200886941</v>
      </c>
      <c r="BN46" s="210">
        <f t="shared" si="58"/>
        <v>469.94294200886941</v>
      </c>
      <c r="BO46" s="210">
        <f t="shared" si="58"/>
        <v>469.94294200886941</v>
      </c>
      <c r="BP46" s="210">
        <f t="shared" si="58"/>
        <v>469.94294200886941</v>
      </c>
      <c r="BQ46" s="210">
        <f t="shared" si="58"/>
        <v>469.94294200886941</v>
      </c>
      <c r="BR46" s="210">
        <f t="shared" ref="BR46:DA46" si="59">IF(BR$22&lt;=$E$24,IF(BR$22&lt;=$D$24,IF(BR$22&lt;=$C$24,IF(BR$22&lt;=$B$24,$B112,($C29-$B29)/($C$24-$B$24)),($D29-$C29)/($D$24-$C$24)),($E29-$D29)/($E$24-$D$24)),$F112)</f>
        <v>469.94294200886941</v>
      </c>
      <c r="BS46" s="210">
        <f t="shared" si="59"/>
        <v>469.94294200886941</v>
      </c>
      <c r="BT46" s="210">
        <f t="shared" si="59"/>
        <v>469.94294200886941</v>
      </c>
      <c r="BU46" s="210">
        <f t="shared" si="59"/>
        <v>469.94294200886941</v>
      </c>
      <c r="BV46" s="210">
        <f t="shared" si="59"/>
        <v>469.94294200886941</v>
      </c>
      <c r="BW46" s="210">
        <f t="shared" si="59"/>
        <v>469.94294200886941</v>
      </c>
      <c r="BX46" s="210">
        <f t="shared" si="59"/>
        <v>469.94294200886941</v>
      </c>
      <c r="BY46" s="210">
        <f t="shared" si="59"/>
        <v>469.94294200886941</v>
      </c>
      <c r="BZ46" s="210">
        <f t="shared" si="59"/>
        <v>469.94294200886941</v>
      </c>
      <c r="CA46" s="210">
        <f t="shared" si="59"/>
        <v>469.94294200886941</v>
      </c>
      <c r="CB46" s="210">
        <f t="shared" si="59"/>
        <v>469.94294200886941</v>
      </c>
      <c r="CC46" s="210">
        <f t="shared" si="59"/>
        <v>469.94294200886941</v>
      </c>
      <c r="CD46" s="210">
        <f t="shared" si="59"/>
        <v>469.94294200886941</v>
      </c>
      <c r="CE46" s="210">
        <f t="shared" si="59"/>
        <v>469.94294200886941</v>
      </c>
      <c r="CF46" s="210">
        <f t="shared" si="59"/>
        <v>469.94294200886941</v>
      </c>
      <c r="CG46" s="210">
        <f t="shared" si="59"/>
        <v>469.94294200886941</v>
      </c>
      <c r="CH46" s="210">
        <f t="shared" si="59"/>
        <v>469.94294200886941</v>
      </c>
      <c r="CI46" s="210">
        <f t="shared" si="59"/>
        <v>469.94294200886941</v>
      </c>
      <c r="CJ46" s="210">
        <f t="shared" si="59"/>
        <v>705.74934365275089</v>
      </c>
      <c r="CK46" s="210">
        <f t="shared" si="59"/>
        <v>705.74934365275089</v>
      </c>
      <c r="CL46" s="210">
        <f t="shared" si="59"/>
        <v>705.74934365275089</v>
      </c>
      <c r="CM46" s="210">
        <f t="shared" si="59"/>
        <v>705.74934365275089</v>
      </c>
      <c r="CN46" s="210">
        <f t="shared" si="59"/>
        <v>705.74934365275089</v>
      </c>
      <c r="CO46" s="210">
        <f t="shared" si="59"/>
        <v>705.74934365275089</v>
      </c>
      <c r="CP46" s="210">
        <f t="shared" si="59"/>
        <v>705.74934365275089</v>
      </c>
      <c r="CQ46" s="210">
        <f t="shared" si="59"/>
        <v>705.74934365275089</v>
      </c>
      <c r="CR46" s="210">
        <f t="shared" si="59"/>
        <v>705.74934365275089</v>
      </c>
      <c r="CS46" s="210">
        <f t="shared" si="59"/>
        <v>705.74934365275089</v>
      </c>
      <c r="CT46" s="210">
        <f t="shared" si="59"/>
        <v>705.74934365275089</v>
      </c>
      <c r="CU46" s="210">
        <f t="shared" si="59"/>
        <v>705.74934365275089</v>
      </c>
      <c r="CV46" s="210">
        <f t="shared" si="59"/>
        <v>705.74934365275089</v>
      </c>
      <c r="CW46" s="210">
        <f t="shared" si="59"/>
        <v>0</v>
      </c>
      <c r="CX46" s="210">
        <f t="shared" si="59"/>
        <v>0</v>
      </c>
      <c r="CY46" s="210">
        <f t="shared" si="59"/>
        <v>0</v>
      </c>
      <c r="CZ46" s="210">
        <f t="shared" si="59"/>
        <v>0</v>
      </c>
      <c r="DA46" s="210">
        <f t="shared" si="59"/>
        <v>0</v>
      </c>
    </row>
    <row r="47" spans="1:105">
      <c r="A47" s="201" t="str">
        <f>Income!A77</f>
        <v>Wild foods consumed and sold</v>
      </c>
      <c r="F47" s="210">
        <f t="shared" ref="F47:AK47" si="60">IF(F$22&lt;=$E$24,IF(F$22&lt;=$D$24,IF(F$22&lt;=$C$24,IF(F$22&lt;=$B$24,$B113,($C30-$B30)/($C$24-$B$24)),($D30-$C30)/($D$24-$C$24)),($E30-$D30)/($E$24-$D$24)),$F113)</f>
        <v>0</v>
      </c>
      <c r="G47" s="210">
        <f t="shared" si="60"/>
        <v>0</v>
      </c>
      <c r="H47" s="210">
        <f t="shared" si="60"/>
        <v>0</v>
      </c>
      <c r="I47" s="210">
        <f t="shared" si="60"/>
        <v>0</v>
      </c>
      <c r="J47" s="210">
        <f t="shared" si="60"/>
        <v>0</v>
      </c>
      <c r="K47" s="210">
        <f t="shared" si="60"/>
        <v>0</v>
      </c>
      <c r="L47" s="210">
        <f t="shared" si="60"/>
        <v>0</v>
      </c>
      <c r="M47" s="210">
        <f t="shared" si="60"/>
        <v>0</v>
      </c>
      <c r="N47" s="210">
        <f t="shared" si="60"/>
        <v>0</v>
      </c>
      <c r="O47" s="210">
        <f t="shared" si="60"/>
        <v>0</v>
      </c>
      <c r="P47" s="210">
        <f t="shared" si="60"/>
        <v>0</v>
      </c>
      <c r="Q47" s="210">
        <f t="shared" si="60"/>
        <v>0</v>
      </c>
      <c r="R47" s="210">
        <f t="shared" si="60"/>
        <v>0</v>
      </c>
      <c r="S47" s="210">
        <f t="shared" si="60"/>
        <v>0</v>
      </c>
      <c r="T47" s="210">
        <f t="shared" si="60"/>
        <v>0</v>
      </c>
      <c r="U47" s="210">
        <f t="shared" si="60"/>
        <v>0</v>
      </c>
      <c r="V47" s="210">
        <f t="shared" si="60"/>
        <v>0</v>
      </c>
      <c r="W47" s="210">
        <f t="shared" si="60"/>
        <v>0</v>
      </c>
      <c r="X47" s="210">
        <f t="shared" si="60"/>
        <v>0</v>
      </c>
      <c r="Y47" s="210">
        <f t="shared" si="60"/>
        <v>0</v>
      </c>
      <c r="Z47" s="210">
        <f t="shared" si="60"/>
        <v>3.3207684808992659</v>
      </c>
      <c r="AA47" s="210">
        <f t="shared" si="60"/>
        <v>3.3207684808992659</v>
      </c>
      <c r="AB47" s="210">
        <f t="shared" si="60"/>
        <v>3.3207684808992659</v>
      </c>
      <c r="AC47" s="210">
        <f t="shared" si="60"/>
        <v>3.3207684808992659</v>
      </c>
      <c r="AD47" s="210">
        <f t="shared" si="60"/>
        <v>3.3207684808992659</v>
      </c>
      <c r="AE47" s="210">
        <f t="shared" si="60"/>
        <v>3.3207684808992659</v>
      </c>
      <c r="AF47" s="210">
        <f t="shared" si="60"/>
        <v>3.3207684808992659</v>
      </c>
      <c r="AG47" s="210">
        <f t="shared" si="60"/>
        <v>3.3207684808992659</v>
      </c>
      <c r="AH47" s="210">
        <f t="shared" si="60"/>
        <v>3.3207684808992659</v>
      </c>
      <c r="AI47" s="210">
        <f t="shared" si="60"/>
        <v>3.3207684808992659</v>
      </c>
      <c r="AJ47" s="210">
        <f t="shared" si="60"/>
        <v>3.3207684808992659</v>
      </c>
      <c r="AK47" s="210">
        <f t="shared" si="60"/>
        <v>3.3207684808992659</v>
      </c>
      <c r="AL47" s="210">
        <f t="shared" ref="AL47:BQ47" si="61">IF(AL$22&lt;=$E$24,IF(AL$22&lt;=$D$24,IF(AL$22&lt;=$C$24,IF(AL$22&lt;=$B$24,$B113,($C30-$B30)/($C$24-$B$24)),($D30-$C30)/($D$24-$C$24)),($E30-$D30)/($E$24-$D$24)),$F113)</f>
        <v>3.3207684808992659</v>
      </c>
      <c r="AM47" s="210">
        <f t="shared" si="61"/>
        <v>3.3207684808992659</v>
      </c>
      <c r="AN47" s="210">
        <f t="shared" si="61"/>
        <v>3.3207684808992659</v>
      </c>
      <c r="AO47" s="210">
        <f t="shared" si="61"/>
        <v>3.3207684808992659</v>
      </c>
      <c r="AP47" s="210">
        <f t="shared" si="61"/>
        <v>3.3207684808992659</v>
      </c>
      <c r="AQ47" s="210">
        <f t="shared" si="61"/>
        <v>3.3207684808992659</v>
      </c>
      <c r="AR47" s="210">
        <f t="shared" si="61"/>
        <v>3.3207684808992659</v>
      </c>
      <c r="AS47" s="210">
        <f t="shared" si="61"/>
        <v>3.3207684808992659</v>
      </c>
      <c r="AT47" s="210">
        <f t="shared" si="61"/>
        <v>3.3207684808992659</v>
      </c>
      <c r="AU47" s="210">
        <f t="shared" si="61"/>
        <v>3.3207684808992659</v>
      </c>
      <c r="AV47" s="210">
        <f t="shared" si="61"/>
        <v>3.3207684808992659</v>
      </c>
      <c r="AW47" s="210">
        <f t="shared" si="61"/>
        <v>3.3207684808992659</v>
      </c>
      <c r="AX47" s="210">
        <f t="shared" si="61"/>
        <v>3.3207684808992659</v>
      </c>
      <c r="AY47" s="210">
        <f t="shared" si="61"/>
        <v>3.3207684808992659</v>
      </c>
      <c r="AZ47" s="210">
        <f t="shared" si="61"/>
        <v>3.3207684808992659</v>
      </c>
      <c r="BA47" s="210">
        <f t="shared" si="61"/>
        <v>3.3207684808992659</v>
      </c>
      <c r="BB47" s="210">
        <f t="shared" si="61"/>
        <v>3.3207684808992659</v>
      </c>
      <c r="BC47" s="210">
        <f t="shared" si="61"/>
        <v>3.3207684808992659</v>
      </c>
      <c r="BD47" s="210">
        <f t="shared" si="61"/>
        <v>3.3207684808992659</v>
      </c>
      <c r="BE47" s="210">
        <f t="shared" si="61"/>
        <v>3.3207684808992659</v>
      </c>
      <c r="BF47" s="210">
        <f t="shared" si="61"/>
        <v>3.3207684808992659</v>
      </c>
      <c r="BG47" s="210">
        <f t="shared" si="61"/>
        <v>3.3207684808992659</v>
      </c>
      <c r="BH47" s="210">
        <f t="shared" si="61"/>
        <v>3.3207684808992659</v>
      </c>
      <c r="BI47" s="210">
        <f t="shared" si="61"/>
        <v>3.3207684808992659</v>
      </c>
      <c r="BJ47" s="210">
        <f t="shared" si="61"/>
        <v>3.3207684808992659</v>
      </c>
      <c r="BK47" s="210">
        <f t="shared" si="61"/>
        <v>-1.4436396421722042</v>
      </c>
      <c r="BL47" s="210">
        <f t="shared" si="61"/>
        <v>-1.4436396421722042</v>
      </c>
      <c r="BM47" s="210">
        <f t="shared" si="61"/>
        <v>-1.4436396421722042</v>
      </c>
      <c r="BN47" s="210">
        <f t="shared" si="61"/>
        <v>-1.4436396421722042</v>
      </c>
      <c r="BO47" s="210">
        <f t="shared" si="61"/>
        <v>-1.4436396421722042</v>
      </c>
      <c r="BP47" s="210">
        <f t="shared" si="61"/>
        <v>-1.4436396421722042</v>
      </c>
      <c r="BQ47" s="210">
        <f t="shared" si="61"/>
        <v>-1.4436396421722042</v>
      </c>
      <c r="BR47" s="210">
        <f t="shared" ref="BR47:DA47" si="62">IF(BR$22&lt;=$E$24,IF(BR$22&lt;=$D$24,IF(BR$22&lt;=$C$24,IF(BR$22&lt;=$B$24,$B113,($C30-$B30)/($C$24-$B$24)),($D30-$C30)/($D$24-$C$24)),($E30-$D30)/($E$24-$D$24)),$F113)</f>
        <v>-1.4436396421722042</v>
      </c>
      <c r="BS47" s="210">
        <f t="shared" si="62"/>
        <v>-1.4436396421722042</v>
      </c>
      <c r="BT47" s="210">
        <f t="shared" si="62"/>
        <v>-1.4436396421722042</v>
      </c>
      <c r="BU47" s="210">
        <f t="shared" si="62"/>
        <v>-1.4436396421722042</v>
      </c>
      <c r="BV47" s="210">
        <f t="shared" si="62"/>
        <v>-1.4436396421722042</v>
      </c>
      <c r="BW47" s="210">
        <f t="shared" si="62"/>
        <v>-1.4436396421722042</v>
      </c>
      <c r="BX47" s="210">
        <f t="shared" si="62"/>
        <v>-1.4436396421722042</v>
      </c>
      <c r="BY47" s="210">
        <f t="shared" si="62"/>
        <v>-1.4436396421722042</v>
      </c>
      <c r="BZ47" s="210">
        <f t="shared" si="62"/>
        <v>-1.4436396421722042</v>
      </c>
      <c r="CA47" s="210">
        <f t="shared" si="62"/>
        <v>-1.4436396421722042</v>
      </c>
      <c r="CB47" s="210">
        <f t="shared" si="62"/>
        <v>-1.4436396421722042</v>
      </c>
      <c r="CC47" s="210">
        <f t="shared" si="62"/>
        <v>-1.4436396421722042</v>
      </c>
      <c r="CD47" s="210">
        <f t="shared" si="62"/>
        <v>-1.4436396421722042</v>
      </c>
      <c r="CE47" s="210">
        <f t="shared" si="62"/>
        <v>-1.4436396421722042</v>
      </c>
      <c r="CF47" s="210">
        <f t="shared" si="62"/>
        <v>-1.4436396421722042</v>
      </c>
      <c r="CG47" s="210">
        <f t="shared" si="62"/>
        <v>-1.4436396421722042</v>
      </c>
      <c r="CH47" s="210">
        <f t="shared" si="62"/>
        <v>-1.4436396421722042</v>
      </c>
      <c r="CI47" s="210">
        <f t="shared" si="62"/>
        <v>-1.4436396421722042</v>
      </c>
      <c r="CJ47" s="210">
        <f t="shared" si="62"/>
        <v>-6.3049672961865255</v>
      </c>
      <c r="CK47" s="210">
        <f t="shared" si="62"/>
        <v>-6.3049672961865255</v>
      </c>
      <c r="CL47" s="210">
        <f t="shared" si="62"/>
        <v>-6.3049672961865255</v>
      </c>
      <c r="CM47" s="210">
        <f t="shared" si="62"/>
        <v>-6.3049672961865255</v>
      </c>
      <c r="CN47" s="210">
        <f t="shared" si="62"/>
        <v>-6.3049672961865255</v>
      </c>
      <c r="CO47" s="210">
        <f t="shared" si="62"/>
        <v>-6.3049672961865255</v>
      </c>
      <c r="CP47" s="210">
        <f t="shared" si="62"/>
        <v>-6.3049672961865255</v>
      </c>
      <c r="CQ47" s="210">
        <f t="shared" si="62"/>
        <v>-6.3049672961865255</v>
      </c>
      <c r="CR47" s="210">
        <f t="shared" si="62"/>
        <v>-6.3049672961865255</v>
      </c>
      <c r="CS47" s="210">
        <f t="shared" si="62"/>
        <v>-6.3049672961865255</v>
      </c>
      <c r="CT47" s="210">
        <f t="shared" si="62"/>
        <v>-6.3049672961865255</v>
      </c>
      <c r="CU47" s="210">
        <f t="shared" si="62"/>
        <v>-6.3049672961865255</v>
      </c>
      <c r="CV47" s="210">
        <f t="shared" si="62"/>
        <v>-6.3049672961865255</v>
      </c>
      <c r="CW47" s="210">
        <f t="shared" si="62"/>
        <v>52.189999999999884</v>
      </c>
      <c r="CX47" s="210">
        <f t="shared" si="62"/>
        <v>52.189999999999884</v>
      </c>
      <c r="CY47" s="210">
        <f t="shared" si="62"/>
        <v>52.189999999999884</v>
      </c>
      <c r="CZ47" s="210">
        <f t="shared" si="62"/>
        <v>52.189999999999884</v>
      </c>
      <c r="DA47" s="210">
        <f t="shared" si="62"/>
        <v>52.189999999999884</v>
      </c>
    </row>
    <row r="48" spans="1:105">
      <c r="A48" s="201" t="str">
        <f>Income!A78</f>
        <v>Labour - casual</v>
      </c>
      <c r="F48" s="210">
        <f t="shared" ref="F48:AK48" si="63">IF(F$22&lt;=$E$24,IF(F$22&lt;=$D$24,IF(F$22&lt;=$C$24,IF(F$22&lt;=$B$24,$B114,($C31-$B31)/($C$24-$B$24)),($D31-$C31)/($D$24-$C$24)),($E31-$D31)/($E$24-$D$24)),$F114)</f>
        <v>0</v>
      </c>
      <c r="G48" s="210">
        <f t="shared" si="63"/>
        <v>0</v>
      </c>
      <c r="H48" s="210">
        <f t="shared" si="63"/>
        <v>0</v>
      </c>
      <c r="I48" s="210">
        <f t="shared" si="63"/>
        <v>0</v>
      </c>
      <c r="J48" s="210">
        <f t="shared" si="63"/>
        <v>0</v>
      </c>
      <c r="K48" s="210">
        <f t="shared" si="63"/>
        <v>0</v>
      </c>
      <c r="L48" s="210">
        <f t="shared" si="63"/>
        <v>0</v>
      </c>
      <c r="M48" s="210">
        <f t="shared" si="63"/>
        <v>0</v>
      </c>
      <c r="N48" s="210">
        <f t="shared" si="63"/>
        <v>0</v>
      </c>
      <c r="O48" s="210">
        <f t="shared" si="63"/>
        <v>0</v>
      </c>
      <c r="P48" s="210">
        <f t="shared" si="63"/>
        <v>0</v>
      </c>
      <c r="Q48" s="210">
        <f t="shared" si="63"/>
        <v>0</v>
      </c>
      <c r="R48" s="210">
        <f t="shared" si="63"/>
        <v>0</v>
      </c>
      <c r="S48" s="210">
        <f t="shared" si="63"/>
        <v>0</v>
      </c>
      <c r="T48" s="210">
        <f t="shared" si="63"/>
        <v>0</v>
      </c>
      <c r="U48" s="210">
        <f t="shared" si="63"/>
        <v>0</v>
      </c>
      <c r="V48" s="210">
        <f t="shared" si="63"/>
        <v>0</v>
      </c>
      <c r="W48" s="210">
        <f t="shared" si="63"/>
        <v>0</v>
      </c>
      <c r="X48" s="210">
        <f t="shared" si="63"/>
        <v>0</v>
      </c>
      <c r="Y48" s="210">
        <f t="shared" si="63"/>
        <v>0</v>
      </c>
      <c r="Z48" s="210">
        <f t="shared" si="63"/>
        <v>-77.80239057978082</v>
      </c>
      <c r="AA48" s="210">
        <f t="shared" si="63"/>
        <v>-77.80239057978082</v>
      </c>
      <c r="AB48" s="210">
        <f t="shared" si="63"/>
        <v>-77.80239057978082</v>
      </c>
      <c r="AC48" s="210">
        <f t="shared" si="63"/>
        <v>-77.80239057978082</v>
      </c>
      <c r="AD48" s="210">
        <f t="shared" si="63"/>
        <v>-77.80239057978082</v>
      </c>
      <c r="AE48" s="210">
        <f t="shared" si="63"/>
        <v>-77.80239057978082</v>
      </c>
      <c r="AF48" s="210">
        <f t="shared" si="63"/>
        <v>-77.80239057978082</v>
      </c>
      <c r="AG48" s="210">
        <f t="shared" si="63"/>
        <v>-77.80239057978082</v>
      </c>
      <c r="AH48" s="210">
        <f t="shared" si="63"/>
        <v>-77.80239057978082</v>
      </c>
      <c r="AI48" s="210">
        <f t="shared" si="63"/>
        <v>-77.80239057978082</v>
      </c>
      <c r="AJ48" s="210">
        <f t="shared" si="63"/>
        <v>-77.80239057978082</v>
      </c>
      <c r="AK48" s="210">
        <f t="shared" si="63"/>
        <v>-77.80239057978082</v>
      </c>
      <c r="AL48" s="210">
        <f t="shared" ref="AL48:BQ48" si="64">IF(AL$22&lt;=$E$24,IF(AL$22&lt;=$D$24,IF(AL$22&lt;=$C$24,IF(AL$22&lt;=$B$24,$B114,($C31-$B31)/($C$24-$B$24)),($D31-$C31)/($D$24-$C$24)),($E31-$D31)/($E$24-$D$24)),$F114)</f>
        <v>-77.80239057978082</v>
      </c>
      <c r="AM48" s="210">
        <f t="shared" si="64"/>
        <v>-77.80239057978082</v>
      </c>
      <c r="AN48" s="210">
        <f t="shared" si="64"/>
        <v>-77.80239057978082</v>
      </c>
      <c r="AO48" s="210">
        <f t="shared" si="64"/>
        <v>-77.80239057978082</v>
      </c>
      <c r="AP48" s="210">
        <f t="shared" si="64"/>
        <v>-77.80239057978082</v>
      </c>
      <c r="AQ48" s="210">
        <f t="shared" si="64"/>
        <v>-77.80239057978082</v>
      </c>
      <c r="AR48" s="210">
        <f t="shared" si="64"/>
        <v>-77.80239057978082</v>
      </c>
      <c r="AS48" s="210">
        <f t="shared" si="64"/>
        <v>-77.80239057978082</v>
      </c>
      <c r="AT48" s="210">
        <f t="shared" si="64"/>
        <v>-77.80239057978082</v>
      </c>
      <c r="AU48" s="210">
        <f t="shared" si="64"/>
        <v>-77.80239057978082</v>
      </c>
      <c r="AV48" s="210">
        <f t="shared" si="64"/>
        <v>-77.80239057978082</v>
      </c>
      <c r="AW48" s="210">
        <f t="shared" si="64"/>
        <v>-77.80239057978082</v>
      </c>
      <c r="AX48" s="210">
        <f t="shared" si="64"/>
        <v>-77.80239057978082</v>
      </c>
      <c r="AY48" s="210">
        <f t="shared" si="64"/>
        <v>-77.80239057978082</v>
      </c>
      <c r="AZ48" s="210">
        <f t="shared" si="64"/>
        <v>-77.80239057978082</v>
      </c>
      <c r="BA48" s="210">
        <f t="shared" si="64"/>
        <v>-77.80239057978082</v>
      </c>
      <c r="BB48" s="210">
        <f t="shared" si="64"/>
        <v>-77.80239057978082</v>
      </c>
      <c r="BC48" s="210">
        <f t="shared" si="64"/>
        <v>-77.80239057978082</v>
      </c>
      <c r="BD48" s="210">
        <f t="shared" si="64"/>
        <v>-77.80239057978082</v>
      </c>
      <c r="BE48" s="210">
        <f t="shared" si="64"/>
        <v>-77.80239057978082</v>
      </c>
      <c r="BF48" s="210">
        <f t="shared" si="64"/>
        <v>-77.80239057978082</v>
      </c>
      <c r="BG48" s="210">
        <f t="shared" si="64"/>
        <v>-77.80239057978082</v>
      </c>
      <c r="BH48" s="210">
        <f t="shared" si="64"/>
        <v>-77.80239057978082</v>
      </c>
      <c r="BI48" s="210">
        <f t="shared" si="64"/>
        <v>-77.80239057978082</v>
      </c>
      <c r="BJ48" s="210">
        <f t="shared" si="64"/>
        <v>-77.80239057978082</v>
      </c>
      <c r="BK48" s="210">
        <f t="shared" si="64"/>
        <v>2285.9289211852479</v>
      </c>
      <c r="BL48" s="210">
        <f t="shared" si="64"/>
        <v>2285.9289211852479</v>
      </c>
      <c r="BM48" s="210">
        <f t="shared" si="64"/>
        <v>2285.9289211852479</v>
      </c>
      <c r="BN48" s="210">
        <f t="shared" si="64"/>
        <v>2285.9289211852479</v>
      </c>
      <c r="BO48" s="210">
        <f t="shared" si="64"/>
        <v>2285.9289211852479</v>
      </c>
      <c r="BP48" s="210">
        <f t="shared" si="64"/>
        <v>2285.9289211852479</v>
      </c>
      <c r="BQ48" s="210">
        <f t="shared" si="64"/>
        <v>2285.9289211852479</v>
      </c>
      <c r="BR48" s="210">
        <f t="shared" ref="BR48:DA48" si="65">IF(BR$22&lt;=$E$24,IF(BR$22&lt;=$D$24,IF(BR$22&lt;=$C$24,IF(BR$22&lt;=$B$24,$B114,($C31-$B31)/($C$24-$B$24)),($D31-$C31)/($D$24-$C$24)),($E31-$D31)/($E$24-$D$24)),$F114)</f>
        <v>2285.9289211852479</v>
      </c>
      <c r="BS48" s="210">
        <f t="shared" si="65"/>
        <v>2285.9289211852479</v>
      </c>
      <c r="BT48" s="210">
        <f t="shared" si="65"/>
        <v>2285.9289211852479</v>
      </c>
      <c r="BU48" s="210">
        <f t="shared" si="65"/>
        <v>2285.9289211852479</v>
      </c>
      <c r="BV48" s="210">
        <f t="shared" si="65"/>
        <v>2285.9289211852479</v>
      </c>
      <c r="BW48" s="210">
        <f t="shared" si="65"/>
        <v>2285.9289211852479</v>
      </c>
      <c r="BX48" s="210">
        <f t="shared" si="65"/>
        <v>2285.9289211852479</v>
      </c>
      <c r="BY48" s="210">
        <f t="shared" si="65"/>
        <v>2285.9289211852479</v>
      </c>
      <c r="BZ48" s="210">
        <f t="shared" si="65"/>
        <v>2285.9289211852479</v>
      </c>
      <c r="CA48" s="210">
        <f t="shared" si="65"/>
        <v>2285.9289211852479</v>
      </c>
      <c r="CB48" s="210">
        <f t="shared" si="65"/>
        <v>2285.9289211852479</v>
      </c>
      <c r="CC48" s="210">
        <f t="shared" si="65"/>
        <v>2285.9289211852479</v>
      </c>
      <c r="CD48" s="210">
        <f t="shared" si="65"/>
        <v>2285.9289211852479</v>
      </c>
      <c r="CE48" s="210">
        <f t="shared" si="65"/>
        <v>2285.9289211852479</v>
      </c>
      <c r="CF48" s="210">
        <f t="shared" si="65"/>
        <v>2285.9289211852479</v>
      </c>
      <c r="CG48" s="210">
        <f t="shared" si="65"/>
        <v>2285.9289211852479</v>
      </c>
      <c r="CH48" s="210">
        <f t="shared" si="65"/>
        <v>2285.9289211852479</v>
      </c>
      <c r="CI48" s="210">
        <f t="shared" si="65"/>
        <v>2285.9289211852479</v>
      </c>
      <c r="CJ48" s="210">
        <f t="shared" si="65"/>
        <v>-4416.7104703301711</v>
      </c>
      <c r="CK48" s="210">
        <f t="shared" si="65"/>
        <v>-4416.7104703301711</v>
      </c>
      <c r="CL48" s="210">
        <f t="shared" si="65"/>
        <v>-4416.7104703301711</v>
      </c>
      <c r="CM48" s="210">
        <f t="shared" si="65"/>
        <v>-4416.7104703301711</v>
      </c>
      <c r="CN48" s="210">
        <f t="shared" si="65"/>
        <v>-4416.7104703301711</v>
      </c>
      <c r="CO48" s="210">
        <f t="shared" si="65"/>
        <v>-4416.7104703301711</v>
      </c>
      <c r="CP48" s="210">
        <f t="shared" si="65"/>
        <v>-4416.7104703301711</v>
      </c>
      <c r="CQ48" s="210">
        <f t="shared" si="65"/>
        <v>-4416.7104703301711</v>
      </c>
      <c r="CR48" s="210">
        <f t="shared" si="65"/>
        <v>-4416.7104703301711</v>
      </c>
      <c r="CS48" s="210">
        <f t="shared" si="65"/>
        <v>-4416.7104703301711</v>
      </c>
      <c r="CT48" s="210">
        <f t="shared" si="65"/>
        <v>-4416.7104703301711</v>
      </c>
      <c r="CU48" s="210">
        <f t="shared" si="65"/>
        <v>-4416.7104703301711</v>
      </c>
      <c r="CV48" s="210">
        <f t="shared" si="65"/>
        <v>-4416.7104703301711</v>
      </c>
      <c r="CW48" s="210">
        <f t="shared" si="65"/>
        <v>0</v>
      </c>
      <c r="CX48" s="210">
        <f t="shared" si="65"/>
        <v>0</v>
      </c>
      <c r="CY48" s="210">
        <f t="shared" si="65"/>
        <v>0</v>
      </c>
      <c r="CZ48" s="210">
        <f t="shared" si="65"/>
        <v>0</v>
      </c>
      <c r="DA48" s="210">
        <f t="shared" si="65"/>
        <v>0</v>
      </c>
    </row>
    <row r="49" spans="1:105">
      <c r="A49" s="201" t="str">
        <f>Income!A79</f>
        <v>Labour - formal emp</v>
      </c>
      <c r="F49" s="210">
        <f t="shared" ref="F49:AK49" si="66">IF(F$22&lt;=$E$24,IF(F$22&lt;=$D$24,IF(F$22&lt;=$C$24,IF(F$22&lt;=$B$24,$B115,($C32-$B32)/($C$24-$B$24)),($D32-$C32)/($D$24-$C$24)),($E32-$D32)/($E$24-$D$24)),$F115)</f>
        <v>0</v>
      </c>
      <c r="G49" s="210">
        <f t="shared" si="66"/>
        <v>0</v>
      </c>
      <c r="H49" s="210">
        <f t="shared" si="66"/>
        <v>0</v>
      </c>
      <c r="I49" s="210">
        <f t="shared" si="66"/>
        <v>0</v>
      </c>
      <c r="J49" s="210">
        <f t="shared" si="66"/>
        <v>0</v>
      </c>
      <c r="K49" s="210">
        <f t="shared" si="66"/>
        <v>0</v>
      </c>
      <c r="L49" s="210">
        <f t="shared" si="66"/>
        <v>0</v>
      </c>
      <c r="M49" s="210">
        <f t="shared" si="66"/>
        <v>0</v>
      </c>
      <c r="N49" s="210">
        <f t="shared" si="66"/>
        <v>0</v>
      </c>
      <c r="O49" s="210">
        <f t="shared" si="66"/>
        <v>0</v>
      </c>
      <c r="P49" s="210">
        <f t="shared" si="66"/>
        <v>0</v>
      </c>
      <c r="Q49" s="210">
        <f t="shared" si="66"/>
        <v>0</v>
      </c>
      <c r="R49" s="210">
        <f t="shared" si="66"/>
        <v>0</v>
      </c>
      <c r="S49" s="210">
        <f t="shared" si="66"/>
        <v>0</v>
      </c>
      <c r="T49" s="210">
        <f t="shared" si="66"/>
        <v>0</v>
      </c>
      <c r="U49" s="210">
        <f t="shared" si="66"/>
        <v>0</v>
      </c>
      <c r="V49" s="210">
        <f t="shared" si="66"/>
        <v>0</v>
      </c>
      <c r="W49" s="210">
        <f t="shared" si="66"/>
        <v>0</v>
      </c>
      <c r="X49" s="210">
        <f t="shared" si="66"/>
        <v>0</v>
      </c>
      <c r="Y49" s="210">
        <f t="shared" si="66"/>
        <v>0</v>
      </c>
      <c r="Z49" s="210">
        <f t="shared" si="66"/>
        <v>0</v>
      </c>
      <c r="AA49" s="210">
        <f t="shared" si="66"/>
        <v>0</v>
      </c>
      <c r="AB49" s="210">
        <f t="shared" si="66"/>
        <v>0</v>
      </c>
      <c r="AC49" s="210">
        <f t="shared" si="66"/>
        <v>0</v>
      </c>
      <c r="AD49" s="210">
        <f t="shared" si="66"/>
        <v>0</v>
      </c>
      <c r="AE49" s="210">
        <f t="shared" si="66"/>
        <v>0</v>
      </c>
      <c r="AF49" s="210">
        <f t="shared" si="66"/>
        <v>0</v>
      </c>
      <c r="AG49" s="210">
        <f t="shared" si="66"/>
        <v>0</v>
      </c>
      <c r="AH49" s="210">
        <f t="shared" si="66"/>
        <v>0</v>
      </c>
      <c r="AI49" s="210">
        <f t="shared" si="66"/>
        <v>0</v>
      </c>
      <c r="AJ49" s="210">
        <f t="shared" si="66"/>
        <v>0</v>
      </c>
      <c r="AK49" s="210">
        <f t="shared" si="66"/>
        <v>0</v>
      </c>
      <c r="AL49" s="210">
        <f t="shared" ref="AL49:BQ49" si="67">IF(AL$22&lt;=$E$24,IF(AL$22&lt;=$D$24,IF(AL$22&lt;=$C$24,IF(AL$22&lt;=$B$24,$B115,($C32-$B32)/($C$24-$B$24)),($D32-$C32)/($D$24-$C$24)),($E32-$D32)/($E$24-$D$24)),$F115)</f>
        <v>0</v>
      </c>
      <c r="AM49" s="210">
        <f t="shared" si="67"/>
        <v>0</v>
      </c>
      <c r="AN49" s="210">
        <f t="shared" si="67"/>
        <v>0</v>
      </c>
      <c r="AO49" s="210">
        <f t="shared" si="67"/>
        <v>0</v>
      </c>
      <c r="AP49" s="210">
        <f t="shared" si="67"/>
        <v>0</v>
      </c>
      <c r="AQ49" s="210">
        <f t="shared" si="67"/>
        <v>0</v>
      </c>
      <c r="AR49" s="210">
        <f t="shared" si="67"/>
        <v>0</v>
      </c>
      <c r="AS49" s="210">
        <f t="shared" si="67"/>
        <v>0</v>
      </c>
      <c r="AT49" s="210">
        <f t="shared" si="67"/>
        <v>0</v>
      </c>
      <c r="AU49" s="210">
        <f t="shared" si="67"/>
        <v>0</v>
      </c>
      <c r="AV49" s="210">
        <f t="shared" si="67"/>
        <v>0</v>
      </c>
      <c r="AW49" s="210">
        <f t="shared" si="67"/>
        <v>0</v>
      </c>
      <c r="AX49" s="210">
        <f t="shared" si="67"/>
        <v>0</v>
      </c>
      <c r="AY49" s="210">
        <f t="shared" si="67"/>
        <v>0</v>
      </c>
      <c r="AZ49" s="210">
        <f t="shared" si="67"/>
        <v>0</v>
      </c>
      <c r="BA49" s="210">
        <f t="shared" si="67"/>
        <v>0</v>
      </c>
      <c r="BB49" s="210">
        <f t="shared" si="67"/>
        <v>0</v>
      </c>
      <c r="BC49" s="210">
        <f t="shared" si="67"/>
        <v>0</v>
      </c>
      <c r="BD49" s="210">
        <f t="shared" si="67"/>
        <v>0</v>
      </c>
      <c r="BE49" s="210">
        <f t="shared" si="67"/>
        <v>0</v>
      </c>
      <c r="BF49" s="210">
        <f t="shared" si="67"/>
        <v>0</v>
      </c>
      <c r="BG49" s="210">
        <f t="shared" si="67"/>
        <v>0</v>
      </c>
      <c r="BH49" s="210">
        <f t="shared" si="67"/>
        <v>0</v>
      </c>
      <c r="BI49" s="210">
        <f t="shared" si="67"/>
        <v>0</v>
      </c>
      <c r="BJ49" s="210">
        <f t="shared" si="67"/>
        <v>0</v>
      </c>
      <c r="BK49" s="210">
        <f t="shared" si="67"/>
        <v>1128.3861910095411</v>
      </c>
      <c r="BL49" s="210">
        <f t="shared" si="67"/>
        <v>1128.3861910095411</v>
      </c>
      <c r="BM49" s="210">
        <f t="shared" si="67"/>
        <v>1128.3861910095411</v>
      </c>
      <c r="BN49" s="210">
        <f t="shared" si="67"/>
        <v>1128.3861910095411</v>
      </c>
      <c r="BO49" s="210">
        <f t="shared" si="67"/>
        <v>1128.3861910095411</v>
      </c>
      <c r="BP49" s="210">
        <f t="shared" si="67"/>
        <v>1128.3861910095411</v>
      </c>
      <c r="BQ49" s="210">
        <f t="shared" si="67"/>
        <v>1128.3861910095411</v>
      </c>
      <c r="BR49" s="210">
        <f t="shared" ref="BR49:DA49" si="68">IF(BR$22&lt;=$E$24,IF(BR$22&lt;=$D$24,IF(BR$22&lt;=$C$24,IF(BR$22&lt;=$B$24,$B115,($C32-$B32)/($C$24-$B$24)),($D32-$C32)/($D$24-$C$24)),($E32-$D32)/($E$24-$D$24)),$F115)</f>
        <v>1128.3861910095411</v>
      </c>
      <c r="BS49" s="210">
        <f t="shared" si="68"/>
        <v>1128.3861910095411</v>
      </c>
      <c r="BT49" s="210">
        <f t="shared" si="68"/>
        <v>1128.3861910095411</v>
      </c>
      <c r="BU49" s="210">
        <f t="shared" si="68"/>
        <v>1128.3861910095411</v>
      </c>
      <c r="BV49" s="210">
        <f t="shared" si="68"/>
        <v>1128.3861910095411</v>
      </c>
      <c r="BW49" s="210">
        <f t="shared" si="68"/>
        <v>1128.3861910095411</v>
      </c>
      <c r="BX49" s="210">
        <f t="shared" si="68"/>
        <v>1128.3861910095411</v>
      </c>
      <c r="BY49" s="210">
        <f t="shared" si="68"/>
        <v>1128.3861910095411</v>
      </c>
      <c r="BZ49" s="210">
        <f t="shared" si="68"/>
        <v>1128.3861910095411</v>
      </c>
      <c r="CA49" s="210">
        <f t="shared" si="68"/>
        <v>1128.3861910095411</v>
      </c>
      <c r="CB49" s="210">
        <f t="shared" si="68"/>
        <v>1128.3861910095411</v>
      </c>
      <c r="CC49" s="210">
        <f t="shared" si="68"/>
        <v>1128.3861910095411</v>
      </c>
      <c r="CD49" s="210">
        <f t="shared" si="68"/>
        <v>1128.3861910095411</v>
      </c>
      <c r="CE49" s="210">
        <f t="shared" si="68"/>
        <v>1128.3861910095411</v>
      </c>
      <c r="CF49" s="210">
        <f t="shared" si="68"/>
        <v>1128.3861910095411</v>
      </c>
      <c r="CG49" s="210">
        <f t="shared" si="68"/>
        <v>1128.3861910095411</v>
      </c>
      <c r="CH49" s="210">
        <f t="shared" si="68"/>
        <v>1128.3861910095411</v>
      </c>
      <c r="CI49" s="210">
        <f t="shared" si="68"/>
        <v>1128.3861910095411</v>
      </c>
      <c r="CJ49" s="210">
        <f t="shared" si="68"/>
        <v>9348.0743342666556</v>
      </c>
      <c r="CK49" s="210">
        <f t="shared" si="68"/>
        <v>9348.0743342666556</v>
      </c>
      <c r="CL49" s="210">
        <f t="shared" si="68"/>
        <v>9348.0743342666556</v>
      </c>
      <c r="CM49" s="210">
        <f t="shared" si="68"/>
        <v>9348.0743342666556</v>
      </c>
      <c r="CN49" s="210">
        <f t="shared" si="68"/>
        <v>9348.0743342666556</v>
      </c>
      <c r="CO49" s="210">
        <f t="shared" si="68"/>
        <v>9348.0743342666556</v>
      </c>
      <c r="CP49" s="210">
        <f t="shared" si="68"/>
        <v>9348.0743342666556</v>
      </c>
      <c r="CQ49" s="210">
        <f t="shared" si="68"/>
        <v>9348.0743342666556</v>
      </c>
      <c r="CR49" s="210">
        <f t="shared" si="68"/>
        <v>9348.0743342666556</v>
      </c>
      <c r="CS49" s="210">
        <f t="shared" si="68"/>
        <v>9348.0743342666556</v>
      </c>
      <c r="CT49" s="210">
        <f t="shared" si="68"/>
        <v>9348.0743342666556</v>
      </c>
      <c r="CU49" s="210">
        <f t="shared" si="68"/>
        <v>9348.0743342666556</v>
      </c>
      <c r="CV49" s="210">
        <f t="shared" si="68"/>
        <v>9348.0743342666556</v>
      </c>
      <c r="CW49" s="210">
        <f t="shared" si="68"/>
        <v>2671.7</v>
      </c>
      <c r="CX49" s="210">
        <f t="shared" si="68"/>
        <v>2671.7</v>
      </c>
      <c r="CY49" s="210">
        <f t="shared" si="68"/>
        <v>2671.7</v>
      </c>
      <c r="CZ49" s="210">
        <f t="shared" si="68"/>
        <v>2671.7</v>
      </c>
      <c r="DA49" s="210">
        <f t="shared" si="68"/>
        <v>2671.7</v>
      </c>
    </row>
    <row r="50" spans="1:105">
      <c r="A50" s="201" t="str">
        <f>Income!A81</f>
        <v>Self - employment</v>
      </c>
      <c r="F50" s="210">
        <f t="shared" ref="F50:AK50" si="69">IF(F$22&lt;=$E$24,IF(F$22&lt;=$D$24,IF(F$22&lt;=$C$24,IF(F$22&lt;=$B$24,$B116,($C33-$B33)/($C$24-$B$24)),($D33-$C33)/($D$24-$C$24)),($E33-$D33)/($E$24-$D$24)),$F116)</f>
        <v>0</v>
      </c>
      <c r="G50" s="210">
        <f t="shared" si="69"/>
        <v>0</v>
      </c>
      <c r="H50" s="210">
        <f t="shared" si="69"/>
        <v>0</v>
      </c>
      <c r="I50" s="210">
        <f t="shared" si="69"/>
        <v>0</v>
      </c>
      <c r="J50" s="210">
        <f t="shared" si="69"/>
        <v>0</v>
      </c>
      <c r="K50" s="210">
        <f t="shared" si="69"/>
        <v>0</v>
      </c>
      <c r="L50" s="210">
        <f t="shared" si="69"/>
        <v>0</v>
      </c>
      <c r="M50" s="210">
        <f t="shared" si="69"/>
        <v>0</v>
      </c>
      <c r="N50" s="210">
        <f t="shared" si="69"/>
        <v>0</v>
      </c>
      <c r="O50" s="210">
        <f t="shared" si="69"/>
        <v>0</v>
      </c>
      <c r="P50" s="210">
        <f t="shared" si="69"/>
        <v>0</v>
      </c>
      <c r="Q50" s="210">
        <f t="shared" si="69"/>
        <v>0</v>
      </c>
      <c r="R50" s="210">
        <f t="shared" si="69"/>
        <v>0</v>
      </c>
      <c r="S50" s="210">
        <f t="shared" si="69"/>
        <v>0</v>
      </c>
      <c r="T50" s="210">
        <f t="shared" si="69"/>
        <v>0</v>
      </c>
      <c r="U50" s="210">
        <f t="shared" si="69"/>
        <v>0</v>
      </c>
      <c r="V50" s="210">
        <f t="shared" si="69"/>
        <v>0</v>
      </c>
      <c r="W50" s="210">
        <f t="shared" si="69"/>
        <v>0</v>
      </c>
      <c r="X50" s="210">
        <f t="shared" si="69"/>
        <v>0</v>
      </c>
      <c r="Y50" s="210">
        <f t="shared" si="69"/>
        <v>0</v>
      </c>
      <c r="Z50" s="210">
        <f t="shared" si="69"/>
        <v>0</v>
      </c>
      <c r="AA50" s="210">
        <f t="shared" si="69"/>
        <v>0</v>
      </c>
      <c r="AB50" s="210">
        <f t="shared" si="69"/>
        <v>0</v>
      </c>
      <c r="AC50" s="210">
        <f t="shared" si="69"/>
        <v>0</v>
      </c>
      <c r="AD50" s="210">
        <f t="shared" si="69"/>
        <v>0</v>
      </c>
      <c r="AE50" s="210">
        <f t="shared" si="69"/>
        <v>0</v>
      </c>
      <c r="AF50" s="210">
        <f t="shared" si="69"/>
        <v>0</v>
      </c>
      <c r="AG50" s="210">
        <f t="shared" si="69"/>
        <v>0</v>
      </c>
      <c r="AH50" s="210">
        <f t="shared" si="69"/>
        <v>0</v>
      </c>
      <c r="AI50" s="210">
        <f t="shared" si="69"/>
        <v>0</v>
      </c>
      <c r="AJ50" s="210">
        <f t="shared" si="69"/>
        <v>0</v>
      </c>
      <c r="AK50" s="210">
        <f t="shared" si="69"/>
        <v>0</v>
      </c>
      <c r="AL50" s="210">
        <f t="shared" ref="AL50:BQ50" si="70">IF(AL$22&lt;=$E$24,IF(AL$22&lt;=$D$24,IF(AL$22&lt;=$C$24,IF(AL$22&lt;=$B$24,$B116,($C33-$B33)/($C$24-$B$24)),($D33-$C33)/($D$24-$C$24)),($E33-$D33)/($E$24-$D$24)),$F116)</f>
        <v>0</v>
      </c>
      <c r="AM50" s="210">
        <f t="shared" si="70"/>
        <v>0</v>
      </c>
      <c r="AN50" s="210">
        <f t="shared" si="70"/>
        <v>0</v>
      </c>
      <c r="AO50" s="210">
        <f t="shared" si="70"/>
        <v>0</v>
      </c>
      <c r="AP50" s="210">
        <f t="shared" si="70"/>
        <v>0</v>
      </c>
      <c r="AQ50" s="210">
        <f t="shared" si="70"/>
        <v>0</v>
      </c>
      <c r="AR50" s="210">
        <f t="shared" si="70"/>
        <v>0</v>
      </c>
      <c r="AS50" s="210">
        <f t="shared" si="70"/>
        <v>0</v>
      </c>
      <c r="AT50" s="210">
        <f t="shared" si="70"/>
        <v>0</v>
      </c>
      <c r="AU50" s="210">
        <f t="shared" si="70"/>
        <v>0</v>
      </c>
      <c r="AV50" s="210">
        <f t="shared" si="70"/>
        <v>0</v>
      </c>
      <c r="AW50" s="210">
        <f t="shared" si="70"/>
        <v>0</v>
      </c>
      <c r="AX50" s="210">
        <f t="shared" si="70"/>
        <v>0</v>
      </c>
      <c r="AY50" s="210">
        <f t="shared" si="70"/>
        <v>0</v>
      </c>
      <c r="AZ50" s="210">
        <f t="shared" si="70"/>
        <v>0</v>
      </c>
      <c r="BA50" s="210">
        <f t="shared" si="70"/>
        <v>0</v>
      </c>
      <c r="BB50" s="210">
        <f t="shared" si="70"/>
        <v>0</v>
      </c>
      <c r="BC50" s="210">
        <f t="shared" si="70"/>
        <v>0</v>
      </c>
      <c r="BD50" s="210">
        <f t="shared" si="70"/>
        <v>0</v>
      </c>
      <c r="BE50" s="210">
        <f t="shared" si="70"/>
        <v>0</v>
      </c>
      <c r="BF50" s="210">
        <f t="shared" si="70"/>
        <v>0</v>
      </c>
      <c r="BG50" s="210">
        <f t="shared" si="70"/>
        <v>0</v>
      </c>
      <c r="BH50" s="210">
        <f t="shared" si="70"/>
        <v>0</v>
      </c>
      <c r="BI50" s="210">
        <f t="shared" si="70"/>
        <v>0</v>
      </c>
      <c r="BJ50" s="210">
        <f t="shared" si="70"/>
        <v>0</v>
      </c>
      <c r="BK50" s="210">
        <f t="shared" si="70"/>
        <v>0</v>
      </c>
      <c r="BL50" s="210">
        <f t="shared" si="70"/>
        <v>0</v>
      </c>
      <c r="BM50" s="210">
        <f t="shared" si="70"/>
        <v>0</v>
      </c>
      <c r="BN50" s="210">
        <f t="shared" si="70"/>
        <v>0</v>
      </c>
      <c r="BO50" s="210">
        <f t="shared" si="70"/>
        <v>0</v>
      </c>
      <c r="BP50" s="210">
        <f t="shared" si="70"/>
        <v>0</v>
      </c>
      <c r="BQ50" s="210">
        <f t="shared" si="70"/>
        <v>0</v>
      </c>
      <c r="BR50" s="210">
        <f t="shared" ref="BR50:DA50" si="71">IF(BR$22&lt;=$E$24,IF(BR$22&lt;=$D$24,IF(BR$22&lt;=$C$24,IF(BR$22&lt;=$B$24,$B116,($C33-$B33)/($C$24-$B$24)),($D33-$C33)/($D$24-$C$24)),($E33-$D33)/($E$24-$D$24)),$F116)</f>
        <v>0</v>
      </c>
      <c r="BS50" s="210">
        <f t="shared" si="71"/>
        <v>0</v>
      </c>
      <c r="BT50" s="210">
        <f t="shared" si="71"/>
        <v>0</v>
      </c>
      <c r="BU50" s="210">
        <f t="shared" si="71"/>
        <v>0</v>
      </c>
      <c r="BV50" s="210">
        <f t="shared" si="71"/>
        <v>0</v>
      </c>
      <c r="BW50" s="210">
        <f t="shared" si="71"/>
        <v>0</v>
      </c>
      <c r="BX50" s="210">
        <f t="shared" si="71"/>
        <v>0</v>
      </c>
      <c r="BY50" s="210">
        <f t="shared" si="71"/>
        <v>0</v>
      </c>
      <c r="BZ50" s="210">
        <f t="shared" si="71"/>
        <v>0</v>
      </c>
      <c r="CA50" s="210">
        <f t="shared" si="71"/>
        <v>0</v>
      </c>
      <c r="CB50" s="210">
        <f t="shared" si="71"/>
        <v>0</v>
      </c>
      <c r="CC50" s="210">
        <f t="shared" si="71"/>
        <v>0</v>
      </c>
      <c r="CD50" s="210">
        <f t="shared" si="71"/>
        <v>0</v>
      </c>
      <c r="CE50" s="210">
        <f t="shared" si="71"/>
        <v>0</v>
      </c>
      <c r="CF50" s="210">
        <f t="shared" si="71"/>
        <v>0</v>
      </c>
      <c r="CG50" s="210">
        <f t="shared" si="71"/>
        <v>0</v>
      </c>
      <c r="CH50" s="210">
        <f t="shared" si="71"/>
        <v>0</v>
      </c>
      <c r="CI50" s="210">
        <f t="shared" si="71"/>
        <v>0</v>
      </c>
      <c r="CJ50" s="210">
        <f t="shared" si="71"/>
        <v>0</v>
      </c>
      <c r="CK50" s="210">
        <f t="shared" si="71"/>
        <v>0</v>
      </c>
      <c r="CL50" s="210">
        <f t="shared" si="71"/>
        <v>0</v>
      </c>
      <c r="CM50" s="210">
        <f t="shared" si="71"/>
        <v>0</v>
      </c>
      <c r="CN50" s="210">
        <f t="shared" si="71"/>
        <v>0</v>
      </c>
      <c r="CO50" s="210">
        <f t="shared" si="71"/>
        <v>0</v>
      </c>
      <c r="CP50" s="210">
        <f t="shared" si="71"/>
        <v>0</v>
      </c>
      <c r="CQ50" s="210">
        <f t="shared" si="71"/>
        <v>0</v>
      </c>
      <c r="CR50" s="210">
        <f t="shared" si="71"/>
        <v>0</v>
      </c>
      <c r="CS50" s="210">
        <f t="shared" si="71"/>
        <v>0</v>
      </c>
      <c r="CT50" s="210">
        <f t="shared" si="71"/>
        <v>0</v>
      </c>
      <c r="CU50" s="210">
        <f t="shared" si="71"/>
        <v>0</v>
      </c>
      <c r="CV50" s="210">
        <f t="shared" si="71"/>
        <v>0</v>
      </c>
      <c r="CW50" s="210">
        <f t="shared" si="71"/>
        <v>829.53</v>
      </c>
      <c r="CX50" s="210">
        <f t="shared" si="71"/>
        <v>829.53</v>
      </c>
      <c r="CY50" s="210">
        <f t="shared" si="71"/>
        <v>829.53</v>
      </c>
      <c r="CZ50" s="210">
        <f t="shared" si="71"/>
        <v>829.53</v>
      </c>
      <c r="DA50" s="210">
        <f t="shared" si="71"/>
        <v>829.53</v>
      </c>
    </row>
    <row r="51" spans="1:105">
      <c r="A51" s="201" t="str">
        <f>Income!A82</f>
        <v>Small business/petty trading</v>
      </c>
      <c r="F51" s="210">
        <f t="shared" ref="F51:AK51" si="72">IF(F$22&lt;=$E$24,IF(F$22&lt;=$D$24,IF(F$22&lt;=$C$24,IF(F$22&lt;=$B$24,$B117,($C34-$B34)/($C$24-$B$24)),($D34-$C34)/($D$24-$C$24)),($E34-$D34)/($E$24-$D$24)),$F117)</f>
        <v>0</v>
      </c>
      <c r="G51" s="210">
        <f t="shared" si="72"/>
        <v>0</v>
      </c>
      <c r="H51" s="210">
        <f t="shared" si="72"/>
        <v>0</v>
      </c>
      <c r="I51" s="210">
        <f t="shared" si="72"/>
        <v>0</v>
      </c>
      <c r="J51" s="210">
        <f t="shared" si="72"/>
        <v>0</v>
      </c>
      <c r="K51" s="210">
        <f t="shared" si="72"/>
        <v>0</v>
      </c>
      <c r="L51" s="210">
        <f t="shared" si="72"/>
        <v>0</v>
      </c>
      <c r="M51" s="210">
        <f t="shared" si="72"/>
        <v>0</v>
      </c>
      <c r="N51" s="210">
        <f t="shared" si="72"/>
        <v>0</v>
      </c>
      <c r="O51" s="210">
        <f t="shared" si="72"/>
        <v>0</v>
      </c>
      <c r="P51" s="210">
        <f t="shared" si="72"/>
        <v>0</v>
      </c>
      <c r="Q51" s="210">
        <f t="shared" si="72"/>
        <v>0</v>
      </c>
      <c r="R51" s="210">
        <f t="shared" si="72"/>
        <v>0</v>
      </c>
      <c r="S51" s="210">
        <f t="shared" si="72"/>
        <v>0</v>
      </c>
      <c r="T51" s="210">
        <f t="shared" si="72"/>
        <v>0</v>
      </c>
      <c r="U51" s="210">
        <f t="shared" si="72"/>
        <v>0</v>
      </c>
      <c r="V51" s="210">
        <f t="shared" si="72"/>
        <v>0</v>
      </c>
      <c r="W51" s="210">
        <f t="shared" si="72"/>
        <v>0</v>
      </c>
      <c r="X51" s="210">
        <f t="shared" si="72"/>
        <v>0</v>
      </c>
      <c r="Y51" s="210">
        <f t="shared" si="72"/>
        <v>0</v>
      </c>
      <c r="Z51" s="210">
        <f t="shared" si="72"/>
        <v>-11.6867597415366</v>
      </c>
      <c r="AA51" s="210">
        <f t="shared" si="72"/>
        <v>-11.6867597415366</v>
      </c>
      <c r="AB51" s="210">
        <f t="shared" si="72"/>
        <v>-11.6867597415366</v>
      </c>
      <c r="AC51" s="210">
        <f t="shared" si="72"/>
        <v>-11.6867597415366</v>
      </c>
      <c r="AD51" s="210">
        <f t="shared" si="72"/>
        <v>-11.6867597415366</v>
      </c>
      <c r="AE51" s="210">
        <f t="shared" si="72"/>
        <v>-11.6867597415366</v>
      </c>
      <c r="AF51" s="210">
        <f t="shared" si="72"/>
        <v>-11.6867597415366</v>
      </c>
      <c r="AG51" s="210">
        <f t="shared" si="72"/>
        <v>-11.6867597415366</v>
      </c>
      <c r="AH51" s="210">
        <f t="shared" si="72"/>
        <v>-11.6867597415366</v>
      </c>
      <c r="AI51" s="210">
        <f t="shared" si="72"/>
        <v>-11.6867597415366</v>
      </c>
      <c r="AJ51" s="210">
        <f t="shared" si="72"/>
        <v>-11.6867597415366</v>
      </c>
      <c r="AK51" s="210">
        <f t="shared" si="72"/>
        <v>-11.6867597415366</v>
      </c>
      <c r="AL51" s="210">
        <f t="shared" ref="AL51:BQ51" si="73">IF(AL$22&lt;=$E$24,IF(AL$22&lt;=$D$24,IF(AL$22&lt;=$C$24,IF(AL$22&lt;=$B$24,$B117,($C34-$B34)/($C$24-$B$24)),($D34-$C34)/($D$24-$C$24)),($E34-$D34)/($E$24-$D$24)),$F117)</f>
        <v>-11.6867597415366</v>
      </c>
      <c r="AM51" s="210">
        <f t="shared" si="73"/>
        <v>-11.6867597415366</v>
      </c>
      <c r="AN51" s="210">
        <f t="shared" si="73"/>
        <v>-11.6867597415366</v>
      </c>
      <c r="AO51" s="210">
        <f t="shared" si="73"/>
        <v>-11.6867597415366</v>
      </c>
      <c r="AP51" s="210">
        <f t="shared" si="73"/>
        <v>-11.6867597415366</v>
      </c>
      <c r="AQ51" s="210">
        <f t="shared" si="73"/>
        <v>-11.6867597415366</v>
      </c>
      <c r="AR51" s="210">
        <f t="shared" si="73"/>
        <v>-11.6867597415366</v>
      </c>
      <c r="AS51" s="210">
        <f t="shared" si="73"/>
        <v>-11.6867597415366</v>
      </c>
      <c r="AT51" s="210">
        <f t="shared" si="73"/>
        <v>-11.6867597415366</v>
      </c>
      <c r="AU51" s="210">
        <f t="shared" si="73"/>
        <v>-11.6867597415366</v>
      </c>
      <c r="AV51" s="210">
        <f t="shared" si="73"/>
        <v>-11.6867597415366</v>
      </c>
      <c r="AW51" s="210">
        <f t="shared" si="73"/>
        <v>-11.6867597415366</v>
      </c>
      <c r="AX51" s="210">
        <f t="shared" si="73"/>
        <v>-11.6867597415366</v>
      </c>
      <c r="AY51" s="210">
        <f t="shared" si="73"/>
        <v>-11.6867597415366</v>
      </c>
      <c r="AZ51" s="210">
        <f t="shared" si="73"/>
        <v>-11.6867597415366</v>
      </c>
      <c r="BA51" s="210">
        <f t="shared" si="73"/>
        <v>-11.6867597415366</v>
      </c>
      <c r="BB51" s="210">
        <f t="shared" si="73"/>
        <v>-11.6867597415366</v>
      </c>
      <c r="BC51" s="210">
        <f t="shared" si="73"/>
        <v>-11.6867597415366</v>
      </c>
      <c r="BD51" s="210">
        <f t="shared" si="73"/>
        <v>-11.6867597415366</v>
      </c>
      <c r="BE51" s="210">
        <f t="shared" si="73"/>
        <v>-11.6867597415366</v>
      </c>
      <c r="BF51" s="210">
        <f t="shared" si="73"/>
        <v>-11.6867597415366</v>
      </c>
      <c r="BG51" s="210">
        <f t="shared" si="73"/>
        <v>-11.6867597415366</v>
      </c>
      <c r="BH51" s="210">
        <f t="shared" si="73"/>
        <v>-11.6867597415366</v>
      </c>
      <c r="BI51" s="210">
        <f t="shared" si="73"/>
        <v>-11.6867597415366</v>
      </c>
      <c r="BJ51" s="210">
        <f t="shared" si="73"/>
        <v>-11.6867597415366</v>
      </c>
      <c r="BK51" s="210">
        <f t="shared" si="73"/>
        <v>-45.93795559942464</v>
      </c>
      <c r="BL51" s="210">
        <f t="shared" si="73"/>
        <v>-45.93795559942464</v>
      </c>
      <c r="BM51" s="210">
        <f t="shared" si="73"/>
        <v>-45.93795559942464</v>
      </c>
      <c r="BN51" s="210">
        <f t="shared" si="73"/>
        <v>-45.93795559942464</v>
      </c>
      <c r="BO51" s="210">
        <f t="shared" si="73"/>
        <v>-45.93795559942464</v>
      </c>
      <c r="BP51" s="210">
        <f t="shared" si="73"/>
        <v>-45.93795559942464</v>
      </c>
      <c r="BQ51" s="210">
        <f t="shared" si="73"/>
        <v>-45.93795559942464</v>
      </c>
      <c r="BR51" s="210">
        <f t="shared" ref="BR51:DA51" si="74">IF(BR$22&lt;=$E$24,IF(BR$22&lt;=$D$24,IF(BR$22&lt;=$C$24,IF(BR$22&lt;=$B$24,$B117,($C34-$B34)/($C$24-$B$24)),($D34-$C34)/($D$24-$C$24)),($E34-$D34)/($E$24-$D$24)),$F117)</f>
        <v>-45.93795559942464</v>
      </c>
      <c r="BS51" s="210">
        <f t="shared" si="74"/>
        <v>-45.93795559942464</v>
      </c>
      <c r="BT51" s="210">
        <f t="shared" si="74"/>
        <v>-45.93795559942464</v>
      </c>
      <c r="BU51" s="210">
        <f t="shared" si="74"/>
        <v>-45.93795559942464</v>
      </c>
      <c r="BV51" s="210">
        <f t="shared" si="74"/>
        <v>-45.93795559942464</v>
      </c>
      <c r="BW51" s="210">
        <f t="shared" si="74"/>
        <v>-45.93795559942464</v>
      </c>
      <c r="BX51" s="210">
        <f t="shared" si="74"/>
        <v>-45.93795559942464</v>
      </c>
      <c r="BY51" s="210">
        <f t="shared" si="74"/>
        <v>-45.93795559942464</v>
      </c>
      <c r="BZ51" s="210">
        <f t="shared" si="74"/>
        <v>-45.93795559942464</v>
      </c>
      <c r="CA51" s="210">
        <f t="shared" si="74"/>
        <v>-45.93795559942464</v>
      </c>
      <c r="CB51" s="210">
        <f t="shared" si="74"/>
        <v>-45.93795559942464</v>
      </c>
      <c r="CC51" s="210">
        <f t="shared" si="74"/>
        <v>-45.93795559942464</v>
      </c>
      <c r="CD51" s="210">
        <f t="shared" si="74"/>
        <v>-45.93795559942464</v>
      </c>
      <c r="CE51" s="210">
        <f t="shared" si="74"/>
        <v>-45.93795559942464</v>
      </c>
      <c r="CF51" s="210">
        <f t="shared" si="74"/>
        <v>-45.93795559942464</v>
      </c>
      <c r="CG51" s="210">
        <f t="shared" si="74"/>
        <v>-45.93795559942464</v>
      </c>
      <c r="CH51" s="210">
        <f t="shared" si="74"/>
        <v>-45.93795559942464</v>
      </c>
      <c r="CI51" s="210">
        <f t="shared" si="74"/>
        <v>-45.93795559942464</v>
      </c>
      <c r="CJ51" s="210">
        <f t="shared" si="74"/>
        <v>4515.6954305996042</v>
      </c>
      <c r="CK51" s="210">
        <f t="shared" si="74"/>
        <v>4515.6954305996042</v>
      </c>
      <c r="CL51" s="210">
        <f t="shared" si="74"/>
        <v>4515.6954305996042</v>
      </c>
      <c r="CM51" s="210">
        <f t="shared" si="74"/>
        <v>4515.6954305996042</v>
      </c>
      <c r="CN51" s="210">
        <f t="shared" si="74"/>
        <v>4515.6954305996042</v>
      </c>
      <c r="CO51" s="210">
        <f t="shared" si="74"/>
        <v>4515.6954305996042</v>
      </c>
      <c r="CP51" s="210">
        <f t="shared" si="74"/>
        <v>4515.6954305996042</v>
      </c>
      <c r="CQ51" s="210">
        <f t="shared" si="74"/>
        <v>4515.6954305996042</v>
      </c>
      <c r="CR51" s="210">
        <f t="shared" si="74"/>
        <v>4515.6954305996042</v>
      </c>
      <c r="CS51" s="210">
        <f t="shared" si="74"/>
        <v>4515.6954305996042</v>
      </c>
      <c r="CT51" s="210">
        <f t="shared" si="74"/>
        <v>4515.6954305996042</v>
      </c>
      <c r="CU51" s="210">
        <f t="shared" si="74"/>
        <v>4515.6954305996042</v>
      </c>
      <c r="CV51" s="210">
        <f t="shared" si="74"/>
        <v>4515.6954305996042</v>
      </c>
      <c r="CW51" s="210">
        <f t="shared" si="74"/>
        <v>6203.5</v>
      </c>
      <c r="CX51" s="210">
        <f t="shared" si="74"/>
        <v>6203.5</v>
      </c>
      <c r="CY51" s="210">
        <f t="shared" si="74"/>
        <v>6203.5</v>
      </c>
      <c r="CZ51" s="210">
        <f t="shared" si="74"/>
        <v>6203.5</v>
      </c>
      <c r="DA51" s="210">
        <f t="shared" si="74"/>
        <v>6203.5</v>
      </c>
    </row>
    <row r="52" spans="1:105">
      <c r="A52" s="201" t="str">
        <f>Income!A83</f>
        <v>Food transfer - official</v>
      </c>
      <c r="F52" s="210">
        <f t="shared" ref="F52:AK52" si="75">IF(F$22&lt;=$E$24,IF(F$22&lt;=$D$24,IF(F$22&lt;=$C$24,IF(F$22&lt;=$B$24,$B118,($C35-$B35)/($C$24-$B$24)),($D35-$C35)/($D$24-$C$24)),($E35-$D35)/($E$24-$D$24)),$F118)</f>
        <v>0</v>
      </c>
      <c r="G52" s="210">
        <f t="shared" si="75"/>
        <v>0</v>
      </c>
      <c r="H52" s="210">
        <f t="shared" si="75"/>
        <v>0</v>
      </c>
      <c r="I52" s="210">
        <f t="shared" si="75"/>
        <v>0</v>
      </c>
      <c r="J52" s="210">
        <f t="shared" si="75"/>
        <v>0</v>
      </c>
      <c r="K52" s="210">
        <f t="shared" si="75"/>
        <v>0</v>
      </c>
      <c r="L52" s="210">
        <f t="shared" si="75"/>
        <v>0</v>
      </c>
      <c r="M52" s="210">
        <f t="shared" si="75"/>
        <v>0</v>
      </c>
      <c r="N52" s="210">
        <f t="shared" si="75"/>
        <v>0</v>
      </c>
      <c r="O52" s="210">
        <f t="shared" si="75"/>
        <v>0</v>
      </c>
      <c r="P52" s="210">
        <f t="shared" si="75"/>
        <v>0</v>
      </c>
      <c r="Q52" s="210">
        <f t="shared" si="75"/>
        <v>0</v>
      </c>
      <c r="R52" s="210">
        <f t="shared" si="75"/>
        <v>0</v>
      </c>
      <c r="S52" s="210">
        <f t="shared" si="75"/>
        <v>0</v>
      </c>
      <c r="T52" s="210">
        <f t="shared" si="75"/>
        <v>0</v>
      </c>
      <c r="U52" s="210">
        <f t="shared" si="75"/>
        <v>0</v>
      </c>
      <c r="V52" s="210">
        <f t="shared" si="75"/>
        <v>0</v>
      </c>
      <c r="W52" s="210">
        <f t="shared" si="75"/>
        <v>0</v>
      </c>
      <c r="X52" s="210">
        <f t="shared" si="75"/>
        <v>0</v>
      </c>
      <c r="Y52" s="210">
        <f t="shared" si="75"/>
        <v>0</v>
      </c>
      <c r="Z52" s="210">
        <f t="shared" si="75"/>
        <v>1.3690982448928206</v>
      </c>
      <c r="AA52" s="210">
        <f t="shared" si="75"/>
        <v>1.3690982448928206</v>
      </c>
      <c r="AB52" s="210">
        <f t="shared" si="75"/>
        <v>1.3690982448928206</v>
      </c>
      <c r="AC52" s="210">
        <f t="shared" si="75"/>
        <v>1.3690982448928206</v>
      </c>
      <c r="AD52" s="210">
        <f t="shared" si="75"/>
        <v>1.3690982448928206</v>
      </c>
      <c r="AE52" s="210">
        <f t="shared" si="75"/>
        <v>1.3690982448928206</v>
      </c>
      <c r="AF52" s="210">
        <f t="shared" si="75"/>
        <v>1.3690982448928206</v>
      </c>
      <c r="AG52" s="210">
        <f t="shared" si="75"/>
        <v>1.3690982448928206</v>
      </c>
      <c r="AH52" s="210">
        <f t="shared" si="75"/>
        <v>1.3690982448928206</v>
      </c>
      <c r="AI52" s="210">
        <f t="shared" si="75"/>
        <v>1.3690982448928206</v>
      </c>
      <c r="AJ52" s="210">
        <f t="shared" si="75"/>
        <v>1.3690982448928206</v>
      </c>
      <c r="AK52" s="210">
        <f t="shared" si="75"/>
        <v>1.3690982448928206</v>
      </c>
      <c r="AL52" s="210">
        <f t="shared" ref="AL52:BQ52" si="76">IF(AL$22&lt;=$E$24,IF(AL$22&lt;=$D$24,IF(AL$22&lt;=$C$24,IF(AL$22&lt;=$B$24,$B118,($C35-$B35)/($C$24-$B$24)),($D35-$C35)/($D$24-$C$24)),($E35-$D35)/($E$24-$D$24)),$F118)</f>
        <v>1.3690982448928206</v>
      </c>
      <c r="AM52" s="210">
        <f t="shared" si="76"/>
        <v>1.3690982448928206</v>
      </c>
      <c r="AN52" s="210">
        <f t="shared" si="76"/>
        <v>1.3690982448928206</v>
      </c>
      <c r="AO52" s="210">
        <f t="shared" si="76"/>
        <v>1.3690982448928206</v>
      </c>
      <c r="AP52" s="210">
        <f t="shared" si="76"/>
        <v>1.3690982448928206</v>
      </c>
      <c r="AQ52" s="210">
        <f t="shared" si="76"/>
        <v>1.3690982448928206</v>
      </c>
      <c r="AR52" s="210">
        <f t="shared" si="76"/>
        <v>1.3690982448928206</v>
      </c>
      <c r="AS52" s="210">
        <f t="shared" si="76"/>
        <v>1.3690982448928206</v>
      </c>
      <c r="AT52" s="210">
        <f t="shared" si="76"/>
        <v>1.3690982448928206</v>
      </c>
      <c r="AU52" s="210">
        <f t="shared" si="76"/>
        <v>1.3690982448928206</v>
      </c>
      <c r="AV52" s="210">
        <f t="shared" si="76"/>
        <v>1.3690982448928206</v>
      </c>
      <c r="AW52" s="210">
        <f t="shared" si="76"/>
        <v>1.3690982448928206</v>
      </c>
      <c r="AX52" s="210">
        <f t="shared" si="76"/>
        <v>1.3690982448928206</v>
      </c>
      <c r="AY52" s="210">
        <f t="shared" si="76"/>
        <v>1.3690982448928206</v>
      </c>
      <c r="AZ52" s="210">
        <f t="shared" si="76"/>
        <v>1.3690982448928206</v>
      </c>
      <c r="BA52" s="210">
        <f t="shared" si="76"/>
        <v>1.3690982448928206</v>
      </c>
      <c r="BB52" s="210">
        <f t="shared" si="76"/>
        <v>1.3690982448928206</v>
      </c>
      <c r="BC52" s="210">
        <f t="shared" si="76"/>
        <v>1.3690982448928206</v>
      </c>
      <c r="BD52" s="210">
        <f t="shared" si="76"/>
        <v>1.3690982448928206</v>
      </c>
      <c r="BE52" s="210">
        <f t="shared" si="76"/>
        <v>1.3690982448928206</v>
      </c>
      <c r="BF52" s="210">
        <f t="shared" si="76"/>
        <v>1.3690982448928206</v>
      </c>
      <c r="BG52" s="210">
        <f t="shared" si="76"/>
        <v>1.3690982448928206</v>
      </c>
      <c r="BH52" s="210">
        <f t="shared" si="76"/>
        <v>1.3690982448928206</v>
      </c>
      <c r="BI52" s="210">
        <f t="shared" si="76"/>
        <v>1.3690982448928206</v>
      </c>
      <c r="BJ52" s="210">
        <f t="shared" si="76"/>
        <v>1.3690982448928206</v>
      </c>
      <c r="BK52" s="210">
        <f t="shared" si="76"/>
        <v>-11.409443239359371</v>
      </c>
      <c r="BL52" s="210">
        <f t="shared" si="76"/>
        <v>-11.409443239359371</v>
      </c>
      <c r="BM52" s="210">
        <f t="shared" si="76"/>
        <v>-11.409443239359371</v>
      </c>
      <c r="BN52" s="210">
        <f t="shared" si="76"/>
        <v>-11.409443239359371</v>
      </c>
      <c r="BO52" s="210">
        <f t="shared" si="76"/>
        <v>-11.409443239359371</v>
      </c>
      <c r="BP52" s="210">
        <f t="shared" si="76"/>
        <v>-11.409443239359371</v>
      </c>
      <c r="BQ52" s="210">
        <f t="shared" si="76"/>
        <v>-11.409443239359371</v>
      </c>
      <c r="BR52" s="210">
        <f t="shared" ref="BR52:DA52" si="77">IF(BR$22&lt;=$E$24,IF(BR$22&lt;=$D$24,IF(BR$22&lt;=$C$24,IF(BR$22&lt;=$B$24,$B118,($C35-$B35)/($C$24-$B$24)),($D35-$C35)/($D$24-$C$24)),($E35-$D35)/($E$24-$D$24)),$F118)</f>
        <v>-11.409443239359371</v>
      </c>
      <c r="BS52" s="210">
        <f t="shared" si="77"/>
        <v>-11.409443239359371</v>
      </c>
      <c r="BT52" s="210">
        <f t="shared" si="77"/>
        <v>-11.409443239359371</v>
      </c>
      <c r="BU52" s="210">
        <f t="shared" si="77"/>
        <v>-11.409443239359371</v>
      </c>
      <c r="BV52" s="210">
        <f t="shared" si="77"/>
        <v>-11.409443239359371</v>
      </c>
      <c r="BW52" s="210">
        <f t="shared" si="77"/>
        <v>-11.409443239359371</v>
      </c>
      <c r="BX52" s="210">
        <f t="shared" si="77"/>
        <v>-11.409443239359371</v>
      </c>
      <c r="BY52" s="210">
        <f t="shared" si="77"/>
        <v>-11.409443239359371</v>
      </c>
      <c r="BZ52" s="210">
        <f t="shared" si="77"/>
        <v>-11.409443239359371</v>
      </c>
      <c r="CA52" s="210">
        <f t="shared" si="77"/>
        <v>-11.409443239359371</v>
      </c>
      <c r="CB52" s="210">
        <f t="shared" si="77"/>
        <v>-11.409443239359371</v>
      </c>
      <c r="CC52" s="210">
        <f t="shared" si="77"/>
        <v>-11.409443239359371</v>
      </c>
      <c r="CD52" s="210">
        <f t="shared" si="77"/>
        <v>-11.409443239359371</v>
      </c>
      <c r="CE52" s="210">
        <f t="shared" si="77"/>
        <v>-11.409443239359371</v>
      </c>
      <c r="CF52" s="210">
        <f t="shared" si="77"/>
        <v>-11.409443239359371</v>
      </c>
      <c r="CG52" s="210">
        <f t="shared" si="77"/>
        <v>-11.409443239359371</v>
      </c>
      <c r="CH52" s="210">
        <f t="shared" si="77"/>
        <v>-11.409443239359371</v>
      </c>
      <c r="CI52" s="210">
        <f t="shared" si="77"/>
        <v>-11.409443239359371</v>
      </c>
      <c r="CJ52" s="210">
        <f t="shared" si="77"/>
        <v>-140.99604953681703</v>
      </c>
      <c r="CK52" s="210">
        <f t="shared" si="77"/>
        <v>-140.99604953681703</v>
      </c>
      <c r="CL52" s="210">
        <f t="shared" si="77"/>
        <v>-140.99604953681703</v>
      </c>
      <c r="CM52" s="210">
        <f t="shared" si="77"/>
        <v>-140.99604953681703</v>
      </c>
      <c r="CN52" s="210">
        <f t="shared" si="77"/>
        <v>-140.99604953681703</v>
      </c>
      <c r="CO52" s="210">
        <f t="shared" si="77"/>
        <v>-140.99604953681703</v>
      </c>
      <c r="CP52" s="210">
        <f t="shared" si="77"/>
        <v>-140.99604953681703</v>
      </c>
      <c r="CQ52" s="210">
        <f t="shared" si="77"/>
        <v>-140.99604953681703</v>
      </c>
      <c r="CR52" s="210">
        <f t="shared" si="77"/>
        <v>-140.99604953681703</v>
      </c>
      <c r="CS52" s="210">
        <f t="shared" si="77"/>
        <v>-140.99604953681703</v>
      </c>
      <c r="CT52" s="210">
        <f t="shared" si="77"/>
        <v>-140.99604953681703</v>
      </c>
      <c r="CU52" s="210">
        <f t="shared" si="77"/>
        <v>-140.99604953681703</v>
      </c>
      <c r="CV52" s="210">
        <f t="shared" si="77"/>
        <v>-140.99604953681703</v>
      </c>
      <c r="CW52" s="210">
        <f t="shared" si="77"/>
        <v>14.730000000000004</v>
      </c>
      <c r="CX52" s="210">
        <f t="shared" si="77"/>
        <v>14.730000000000004</v>
      </c>
      <c r="CY52" s="210">
        <f t="shared" si="77"/>
        <v>14.730000000000004</v>
      </c>
      <c r="CZ52" s="210">
        <f t="shared" si="77"/>
        <v>14.730000000000004</v>
      </c>
      <c r="DA52" s="210">
        <f t="shared" si="77"/>
        <v>14.730000000000004</v>
      </c>
    </row>
    <row r="53" spans="1:105">
      <c r="A53" s="201" t="str">
        <f>Income!A85</f>
        <v>Cash transfer - official</v>
      </c>
      <c r="F53" s="210">
        <f t="shared" ref="F53:AK53" si="78">IF(F$22&lt;=$E$24,IF(F$22&lt;=$D$24,IF(F$22&lt;=$C$24,IF(F$22&lt;=$B$24,$B119,($C36-$B36)/($C$24-$B$24)),($D36-$C36)/($D$24-$C$24)),($E36-$D36)/($E$24-$D$24)),$F119)</f>
        <v>0</v>
      </c>
      <c r="G53" s="210">
        <f t="shared" si="78"/>
        <v>0</v>
      </c>
      <c r="H53" s="210">
        <f t="shared" si="78"/>
        <v>0</v>
      </c>
      <c r="I53" s="210">
        <f t="shared" si="78"/>
        <v>0</v>
      </c>
      <c r="J53" s="210">
        <f t="shared" si="78"/>
        <v>0</v>
      </c>
      <c r="K53" s="210">
        <f t="shared" si="78"/>
        <v>0</v>
      </c>
      <c r="L53" s="210">
        <f t="shared" si="78"/>
        <v>0</v>
      </c>
      <c r="M53" s="210">
        <f t="shared" si="78"/>
        <v>0</v>
      </c>
      <c r="N53" s="210">
        <f t="shared" si="78"/>
        <v>0</v>
      </c>
      <c r="O53" s="210">
        <f t="shared" si="78"/>
        <v>0</v>
      </c>
      <c r="P53" s="210">
        <f t="shared" si="78"/>
        <v>0</v>
      </c>
      <c r="Q53" s="210">
        <f t="shared" si="78"/>
        <v>0</v>
      </c>
      <c r="R53" s="210">
        <f t="shared" si="78"/>
        <v>0</v>
      </c>
      <c r="S53" s="210">
        <f t="shared" si="78"/>
        <v>0</v>
      </c>
      <c r="T53" s="210">
        <f t="shared" si="78"/>
        <v>0</v>
      </c>
      <c r="U53" s="210">
        <f t="shared" si="78"/>
        <v>0</v>
      </c>
      <c r="V53" s="210">
        <f t="shared" si="78"/>
        <v>0</v>
      </c>
      <c r="W53" s="210">
        <f t="shared" si="78"/>
        <v>0</v>
      </c>
      <c r="X53" s="210">
        <f t="shared" si="78"/>
        <v>0</v>
      </c>
      <c r="Y53" s="210">
        <f t="shared" si="78"/>
        <v>0</v>
      </c>
      <c r="Z53" s="210">
        <f t="shared" si="78"/>
        <v>210.56394618933919</v>
      </c>
      <c r="AA53" s="210">
        <f t="shared" si="78"/>
        <v>210.56394618933919</v>
      </c>
      <c r="AB53" s="210">
        <f t="shared" si="78"/>
        <v>210.56394618933919</v>
      </c>
      <c r="AC53" s="210">
        <f t="shared" si="78"/>
        <v>210.56394618933919</v>
      </c>
      <c r="AD53" s="210">
        <f t="shared" si="78"/>
        <v>210.56394618933919</v>
      </c>
      <c r="AE53" s="210">
        <f t="shared" si="78"/>
        <v>210.56394618933919</v>
      </c>
      <c r="AF53" s="210">
        <f t="shared" si="78"/>
        <v>210.56394618933919</v>
      </c>
      <c r="AG53" s="210">
        <f t="shared" si="78"/>
        <v>210.56394618933919</v>
      </c>
      <c r="AH53" s="210">
        <f t="shared" si="78"/>
        <v>210.56394618933919</v>
      </c>
      <c r="AI53" s="210">
        <f t="shared" si="78"/>
        <v>210.56394618933919</v>
      </c>
      <c r="AJ53" s="210">
        <f t="shared" si="78"/>
        <v>210.56394618933919</v>
      </c>
      <c r="AK53" s="210">
        <f t="shared" si="78"/>
        <v>210.56394618933919</v>
      </c>
      <c r="AL53" s="210">
        <f t="shared" ref="AL53:BQ53" si="79">IF(AL$22&lt;=$E$24,IF(AL$22&lt;=$D$24,IF(AL$22&lt;=$C$24,IF(AL$22&lt;=$B$24,$B119,($C36-$B36)/($C$24-$B$24)),($D36-$C36)/($D$24-$C$24)),($E36-$D36)/($E$24-$D$24)),$F119)</f>
        <v>210.56394618933919</v>
      </c>
      <c r="AM53" s="210">
        <f t="shared" si="79"/>
        <v>210.56394618933919</v>
      </c>
      <c r="AN53" s="210">
        <f t="shared" si="79"/>
        <v>210.56394618933919</v>
      </c>
      <c r="AO53" s="210">
        <f t="shared" si="79"/>
        <v>210.56394618933919</v>
      </c>
      <c r="AP53" s="210">
        <f t="shared" si="79"/>
        <v>210.56394618933919</v>
      </c>
      <c r="AQ53" s="210">
        <f t="shared" si="79"/>
        <v>210.56394618933919</v>
      </c>
      <c r="AR53" s="210">
        <f t="shared" si="79"/>
        <v>210.56394618933919</v>
      </c>
      <c r="AS53" s="210">
        <f t="shared" si="79"/>
        <v>210.56394618933919</v>
      </c>
      <c r="AT53" s="210">
        <f t="shared" si="79"/>
        <v>210.56394618933919</v>
      </c>
      <c r="AU53" s="210">
        <f t="shared" si="79"/>
        <v>210.56394618933919</v>
      </c>
      <c r="AV53" s="210">
        <f t="shared" si="79"/>
        <v>210.56394618933919</v>
      </c>
      <c r="AW53" s="210">
        <f t="shared" si="79"/>
        <v>210.56394618933919</v>
      </c>
      <c r="AX53" s="210">
        <f t="shared" si="79"/>
        <v>210.56394618933919</v>
      </c>
      <c r="AY53" s="210">
        <f t="shared" si="79"/>
        <v>210.56394618933919</v>
      </c>
      <c r="AZ53" s="210">
        <f t="shared" si="79"/>
        <v>210.56394618933919</v>
      </c>
      <c r="BA53" s="210">
        <f t="shared" si="79"/>
        <v>210.56394618933919</v>
      </c>
      <c r="BB53" s="210">
        <f t="shared" si="79"/>
        <v>210.56394618933919</v>
      </c>
      <c r="BC53" s="210">
        <f t="shared" si="79"/>
        <v>210.56394618933919</v>
      </c>
      <c r="BD53" s="210">
        <f t="shared" si="79"/>
        <v>210.56394618933919</v>
      </c>
      <c r="BE53" s="210">
        <f t="shared" si="79"/>
        <v>210.56394618933919</v>
      </c>
      <c r="BF53" s="210">
        <f t="shared" si="79"/>
        <v>210.56394618933919</v>
      </c>
      <c r="BG53" s="210">
        <f t="shared" si="79"/>
        <v>210.56394618933919</v>
      </c>
      <c r="BH53" s="210">
        <f t="shared" si="79"/>
        <v>210.56394618933919</v>
      </c>
      <c r="BI53" s="210">
        <f t="shared" si="79"/>
        <v>210.56394618933919</v>
      </c>
      <c r="BJ53" s="210">
        <f t="shared" si="79"/>
        <v>210.56394618933919</v>
      </c>
      <c r="BK53" s="210">
        <f t="shared" si="79"/>
        <v>-877.12901161313641</v>
      </c>
      <c r="BL53" s="210">
        <f t="shared" si="79"/>
        <v>-877.12901161313641</v>
      </c>
      <c r="BM53" s="210">
        <f t="shared" si="79"/>
        <v>-877.12901161313641</v>
      </c>
      <c r="BN53" s="210">
        <f t="shared" si="79"/>
        <v>-877.12901161313641</v>
      </c>
      <c r="BO53" s="210">
        <f t="shared" si="79"/>
        <v>-877.12901161313641</v>
      </c>
      <c r="BP53" s="210">
        <f t="shared" si="79"/>
        <v>-877.12901161313641</v>
      </c>
      <c r="BQ53" s="210">
        <f t="shared" si="79"/>
        <v>-877.12901161313641</v>
      </c>
      <c r="BR53" s="210">
        <f t="shared" ref="BR53:DA53" si="80">IF(BR$22&lt;=$E$24,IF(BR$22&lt;=$D$24,IF(BR$22&lt;=$C$24,IF(BR$22&lt;=$B$24,$B119,($C36-$B36)/($C$24-$B$24)),($D36-$C36)/($D$24-$C$24)),($E36-$D36)/($E$24-$D$24)),$F119)</f>
        <v>-877.12901161313641</v>
      </c>
      <c r="BS53" s="210">
        <f t="shared" si="80"/>
        <v>-877.12901161313641</v>
      </c>
      <c r="BT53" s="210">
        <f t="shared" si="80"/>
        <v>-877.12901161313641</v>
      </c>
      <c r="BU53" s="210">
        <f t="shared" si="80"/>
        <v>-877.12901161313641</v>
      </c>
      <c r="BV53" s="210">
        <f t="shared" si="80"/>
        <v>-877.12901161313641</v>
      </c>
      <c r="BW53" s="210">
        <f t="shared" si="80"/>
        <v>-877.12901161313641</v>
      </c>
      <c r="BX53" s="210">
        <f t="shared" si="80"/>
        <v>-877.12901161313641</v>
      </c>
      <c r="BY53" s="210">
        <f t="shared" si="80"/>
        <v>-877.12901161313641</v>
      </c>
      <c r="BZ53" s="210">
        <f t="shared" si="80"/>
        <v>-877.12901161313641</v>
      </c>
      <c r="CA53" s="210">
        <f t="shared" si="80"/>
        <v>-877.12901161313641</v>
      </c>
      <c r="CB53" s="210">
        <f t="shared" si="80"/>
        <v>-877.12901161313641</v>
      </c>
      <c r="CC53" s="210">
        <f t="shared" si="80"/>
        <v>-877.12901161313641</v>
      </c>
      <c r="CD53" s="210">
        <f t="shared" si="80"/>
        <v>-877.12901161313641</v>
      </c>
      <c r="CE53" s="210">
        <f t="shared" si="80"/>
        <v>-877.12901161313641</v>
      </c>
      <c r="CF53" s="210">
        <f t="shared" si="80"/>
        <v>-877.12901161313641</v>
      </c>
      <c r="CG53" s="210">
        <f t="shared" si="80"/>
        <v>-877.12901161313641</v>
      </c>
      <c r="CH53" s="210">
        <f t="shared" si="80"/>
        <v>-877.12901161313641</v>
      </c>
      <c r="CI53" s="210">
        <f t="shared" si="80"/>
        <v>-877.12901161313641</v>
      </c>
      <c r="CJ53" s="210">
        <f t="shared" si="80"/>
        <v>142.29781653537847</v>
      </c>
      <c r="CK53" s="210">
        <f t="shared" si="80"/>
        <v>142.29781653537847</v>
      </c>
      <c r="CL53" s="210">
        <f t="shared" si="80"/>
        <v>142.29781653537847</v>
      </c>
      <c r="CM53" s="210">
        <f t="shared" si="80"/>
        <v>142.29781653537847</v>
      </c>
      <c r="CN53" s="210">
        <f t="shared" si="80"/>
        <v>142.29781653537847</v>
      </c>
      <c r="CO53" s="210">
        <f t="shared" si="80"/>
        <v>142.29781653537847</v>
      </c>
      <c r="CP53" s="210">
        <f t="shared" si="80"/>
        <v>142.29781653537847</v>
      </c>
      <c r="CQ53" s="210">
        <f t="shared" si="80"/>
        <v>142.29781653537847</v>
      </c>
      <c r="CR53" s="210">
        <f t="shared" si="80"/>
        <v>142.29781653537847</v>
      </c>
      <c r="CS53" s="210">
        <f t="shared" si="80"/>
        <v>142.29781653537847</v>
      </c>
      <c r="CT53" s="210">
        <f t="shared" si="80"/>
        <v>142.29781653537847</v>
      </c>
      <c r="CU53" s="210">
        <f t="shared" si="80"/>
        <v>142.29781653537847</v>
      </c>
      <c r="CV53" s="210">
        <f t="shared" si="80"/>
        <v>142.29781653537847</v>
      </c>
      <c r="CW53" s="210">
        <f t="shared" si="80"/>
        <v>-1127.83</v>
      </c>
      <c r="CX53" s="210">
        <f t="shared" si="80"/>
        <v>-1127.83</v>
      </c>
      <c r="CY53" s="210">
        <f t="shared" si="80"/>
        <v>-1127.83</v>
      </c>
      <c r="CZ53" s="210">
        <f t="shared" si="80"/>
        <v>-1127.83</v>
      </c>
      <c r="DA53" s="210">
        <f t="shared" si="80"/>
        <v>-1127.83</v>
      </c>
    </row>
    <row r="54" spans="1:105">
      <c r="A54" s="201" t="str">
        <f>Income!A86</f>
        <v>Cash transfer - gifts</v>
      </c>
      <c r="F54" s="210">
        <f t="shared" ref="F54:AK54" si="81">IF(F$22&lt;=$E$24,IF(F$22&lt;=$D$24,IF(F$22&lt;=$C$24,IF(F$22&lt;=$B$24,$B120,($C37-$B37)/($C$24-$B$24)),($D37-$C37)/($D$24-$C$24)),($E37-$D37)/($E$24-$D$24)),$F120)</f>
        <v>0</v>
      </c>
      <c r="G54" s="210">
        <f t="shared" si="81"/>
        <v>0</v>
      </c>
      <c r="H54" s="210">
        <f t="shared" si="81"/>
        <v>0</v>
      </c>
      <c r="I54" s="210">
        <f t="shared" si="81"/>
        <v>0</v>
      </c>
      <c r="J54" s="210">
        <f t="shared" si="81"/>
        <v>0</v>
      </c>
      <c r="K54" s="210">
        <f t="shared" si="81"/>
        <v>0</v>
      </c>
      <c r="L54" s="210">
        <f t="shared" si="81"/>
        <v>0</v>
      </c>
      <c r="M54" s="210">
        <f t="shared" si="81"/>
        <v>0</v>
      </c>
      <c r="N54" s="210">
        <f t="shared" si="81"/>
        <v>0</v>
      </c>
      <c r="O54" s="210">
        <f t="shared" si="81"/>
        <v>0</v>
      </c>
      <c r="P54" s="210">
        <f t="shared" si="81"/>
        <v>0</v>
      </c>
      <c r="Q54" s="210">
        <f t="shared" si="81"/>
        <v>0</v>
      </c>
      <c r="R54" s="210">
        <f t="shared" si="81"/>
        <v>0</v>
      </c>
      <c r="S54" s="210">
        <f t="shared" si="81"/>
        <v>0</v>
      </c>
      <c r="T54" s="210">
        <f t="shared" si="81"/>
        <v>0</v>
      </c>
      <c r="U54" s="210">
        <f t="shared" si="81"/>
        <v>0</v>
      </c>
      <c r="V54" s="210">
        <f t="shared" si="81"/>
        <v>0</v>
      </c>
      <c r="W54" s="210">
        <f t="shared" si="81"/>
        <v>0</v>
      </c>
      <c r="X54" s="210">
        <f t="shared" si="81"/>
        <v>0</v>
      </c>
      <c r="Y54" s="210">
        <f t="shared" si="81"/>
        <v>0</v>
      </c>
      <c r="Z54" s="210">
        <f t="shared" si="81"/>
        <v>9.5516786349097202</v>
      </c>
      <c r="AA54" s="210">
        <f t="shared" si="81"/>
        <v>9.5516786349097202</v>
      </c>
      <c r="AB54" s="210">
        <f t="shared" si="81"/>
        <v>9.5516786349097202</v>
      </c>
      <c r="AC54" s="210">
        <f t="shared" si="81"/>
        <v>9.5516786349097202</v>
      </c>
      <c r="AD54" s="210">
        <f t="shared" si="81"/>
        <v>9.5516786349097202</v>
      </c>
      <c r="AE54" s="210">
        <f t="shared" si="81"/>
        <v>9.5516786349097202</v>
      </c>
      <c r="AF54" s="210">
        <f t="shared" si="81"/>
        <v>9.5516786349097202</v>
      </c>
      <c r="AG54" s="210">
        <f t="shared" si="81"/>
        <v>9.5516786349097202</v>
      </c>
      <c r="AH54" s="210">
        <f t="shared" si="81"/>
        <v>9.5516786349097202</v>
      </c>
      <c r="AI54" s="210">
        <f t="shared" si="81"/>
        <v>9.5516786349097202</v>
      </c>
      <c r="AJ54" s="210">
        <f t="shared" si="81"/>
        <v>9.5516786349097202</v>
      </c>
      <c r="AK54" s="210">
        <f t="shared" si="81"/>
        <v>9.5516786349097202</v>
      </c>
      <c r="AL54" s="210">
        <f t="shared" ref="AL54:BQ54" si="82">IF(AL$22&lt;=$E$24,IF(AL$22&lt;=$D$24,IF(AL$22&lt;=$C$24,IF(AL$22&lt;=$B$24,$B120,($C37-$B37)/($C$24-$B$24)),($D37-$C37)/($D$24-$C$24)),($E37-$D37)/($E$24-$D$24)),$F120)</f>
        <v>9.5516786349097202</v>
      </c>
      <c r="AM54" s="210">
        <f t="shared" si="82"/>
        <v>9.5516786349097202</v>
      </c>
      <c r="AN54" s="210">
        <f t="shared" si="82"/>
        <v>9.5516786349097202</v>
      </c>
      <c r="AO54" s="210">
        <f t="shared" si="82"/>
        <v>9.5516786349097202</v>
      </c>
      <c r="AP54" s="210">
        <f t="shared" si="82"/>
        <v>9.5516786349097202</v>
      </c>
      <c r="AQ54" s="210">
        <f t="shared" si="82"/>
        <v>9.5516786349097202</v>
      </c>
      <c r="AR54" s="210">
        <f t="shared" si="82"/>
        <v>9.5516786349097202</v>
      </c>
      <c r="AS54" s="210">
        <f t="shared" si="82"/>
        <v>9.5516786349097202</v>
      </c>
      <c r="AT54" s="210">
        <f t="shared" si="82"/>
        <v>9.5516786349097202</v>
      </c>
      <c r="AU54" s="210">
        <f t="shared" si="82"/>
        <v>9.5516786349097202</v>
      </c>
      <c r="AV54" s="210">
        <f t="shared" si="82"/>
        <v>9.5516786349097202</v>
      </c>
      <c r="AW54" s="210">
        <f t="shared" si="82"/>
        <v>9.5516786349097202</v>
      </c>
      <c r="AX54" s="210">
        <f t="shared" si="82"/>
        <v>9.5516786349097202</v>
      </c>
      <c r="AY54" s="210">
        <f t="shared" si="82"/>
        <v>9.5516786349097202</v>
      </c>
      <c r="AZ54" s="210">
        <f t="shared" si="82"/>
        <v>9.5516786349097202</v>
      </c>
      <c r="BA54" s="210">
        <f t="shared" si="82"/>
        <v>9.5516786349097202</v>
      </c>
      <c r="BB54" s="210">
        <f t="shared" si="82"/>
        <v>9.5516786349097202</v>
      </c>
      <c r="BC54" s="210">
        <f t="shared" si="82"/>
        <v>9.5516786349097202</v>
      </c>
      <c r="BD54" s="210">
        <f t="shared" si="82"/>
        <v>9.5516786349097202</v>
      </c>
      <c r="BE54" s="210">
        <f t="shared" si="82"/>
        <v>9.5516786349097202</v>
      </c>
      <c r="BF54" s="210">
        <f t="shared" si="82"/>
        <v>9.5516786349097202</v>
      </c>
      <c r="BG54" s="210">
        <f t="shared" si="82"/>
        <v>9.5516786349097202</v>
      </c>
      <c r="BH54" s="210">
        <f t="shared" si="82"/>
        <v>9.5516786349097202</v>
      </c>
      <c r="BI54" s="210">
        <f t="shared" si="82"/>
        <v>9.5516786349097202</v>
      </c>
      <c r="BJ54" s="210">
        <f t="shared" si="82"/>
        <v>9.5516786349097202</v>
      </c>
      <c r="BK54" s="210">
        <f t="shared" si="82"/>
        <v>236.3695317449988</v>
      </c>
      <c r="BL54" s="210">
        <f t="shared" si="82"/>
        <v>236.3695317449988</v>
      </c>
      <c r="BM54" s="210">
        <f t="shared" si="82"/>
        <v>236.3695317449988</v>
      </c>
      <c r="BN54" s="210">
        <f t="shared" si="82"/>
        <v>236.3695317449988</v>
      </c>
      <c r="BO54" s="210">
        <f t="shared" si="82"/>
        <v>236.3695317449988</v>
      </c>
      <c r="BP54" s="210">
        <f t="shared" si="82"/>
        <v>236.3695317449988</v>
      </c>
      <c r="BQ54" s="210">
        <f t="shared" si="82"/>
        <v>236.3695317449988</v>
      </c>
      <c r="BR54" s="210">
        <f t="shared" ref="BR54:DA54" si="83">IF(BR$22&lt;=$E$24,IF(BR$22&lt;=$D$24,IF(BR$22&lt;=$C$24,IF(BR$22&lt;=$B$24,$B120,($C37-$B37)/($C$24-$B$24)),($D37-$C37)/($D$24-$C$24)),($E37-$D37)/($E$24-$D$24)),$F120)</f>
        <v>236.3695317449988</v>
      </c>
      <c r="BS54" s="210">
        <f t="shared" si="83"/>
        <v>236.3695317449988</v>
      </c>
      <c r="BT54" s="210">
        <f t="shared" si="83"/>
        <v>236.3695317449988</v>
      </c>
      <c r="BU54" s="210">
        <f t="shared" si="83"/>
        <v>236.3695317449988</v>
      </c>
      <c r="BV54" s="210">
        <f t="shared" si="83"/>
        <v>236.3695317449988</v>
      </c>
      <c r="BW54" s="210">
        <f t="shared" si="83"/>
        <v>236.3695317449988</v>
      </c>
      <c r="BX54" s="210">
        <f t="shared" si="83"/>
        <v>236.3695317449988</v>
      </c>
      <c r="BY54" s="210">
        <f t="shared" si="83"/>
        <v>236.3695317449988</v>
      </c>
      <c r="BZ54" s="210">
        <f t="shared" si="83"/>
        <v>236.3695317449988</v>
      </c>
      <c r="CA54" s="210">
        <f t="shared" si="83"/>
        <v>236.3695317449988</v>
      </c>
      <c r="CB54" s="210">
        <f t="shared" si="83"/>
        <v>236.3695317449988</v>
      </c>
      <c r="CC54" s="210">
        <f t="shared" si="83"/>
        <v>236.3695317449988</v>
      </c>
      <c r="CD54" s="210">
        <f t="shared" si="83"/>
        <v>236.3695317449988</v>
      </c>
      <c r="CE54" s="210">
        <f t="shared" si="83"/>
        <v>236.3695317449988</v>
      </c>
      <c r="CF54" s="210">
        <f t="shared" si="83"/>
        <v>236.3695317449988</v>
      </c>
      <c r="CG54" s="210">
        <f t="shared" si="83"/>
        <v>236.3695317449988</v>
      </c>
      <c r="CH54" s="210">
        <f t="shared" si="83"/>
        <v>236.3695317449988</v>
      </c>
      <c r="CI54" s="210">
        <f t="shared" si="83"/>
        <v>236.3695317449988</v>
      </c>
      <c r="CJ54" s="210">
        <f t="shared" si="83"/>
        <v>1236.4802510641387</v>
      </c>
      <c r="CK54" s="210">
        <f t="shared" si="83"/>
        <v>1236.4802510641387</v>
      </c>
      <c r="CL54" s="210">
        <f t="shared" si="83"/>
        <v>1236.4802510641387</v>
      </c>
      <c r="CM54" s="210">
        <f t="shared" si="83"/>
        <v>1236.4802510641387</v>
      </c>
      <c r="CN54" s="210">
        <f t="shared" si="83"/>
        <v>1236.4802510641387</v>
      </c>
      <c r="CO54" s="210">
        <f t="shared" si="83"/>
        <v>1236.4802510641387</v>
      </c>
      <c r="CP54" s="210">
        <f t="shared" si="83"/>
        <v>1236.4802510641387</v>
      </c>
      <c r="CQ54" s="210">
        <f t="shared" si="83"/>
        <v>1236.4802510641387</v>
      </c>
      <c r="CR54" s="210">
        <f t="shared" si="83"/>
        <v>1236.4802510641387</v>
      </c>
      <c r="CS54" s="210">
        <f t="shared" si="83"/>
        <v>1236.4802510641387</v>
      </c>
      <c r="CT54" s="210">
        <f t="shared" si="83"/>
        <v>1236.4802510641387</v>
      </c>
      <c r="CU54" s="210">
        <f t="shared" si="83"/>
        <v>1236.4802510641387</v>
      </c>
      <c r="CV54" s="210">
        <f t="shared" si="83"/>
        <v>1236.4802510641387</v>
      </c>
      <c r="CW54" s="210">
        <f t="shared" si="83"/>
        <v>296.33</v>
      </c>
      <c r="CX54" s="210">
        <f t="shared" si="83"/>
        <v>296.33</v>
      </c>
      <c r="CY54" s="210">
        <f t="shared" si="83"/>
        <v>296.33</v>
      </c>
      <c r="CZ54" s="210">
        <f t="shared" si="83"/>
        <v>296.33</v>
      </c>
      <c r="DA54" s="210">
        <f t="shared" si="83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84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1637.8612483790453</v>
      </c>
      <c r="G59" s="204">
        <f t="shared" si="84"/>
        <v>1637.8612483790453</v>
      </c>
      <c r="H59" s="204">
        <f t="shared" si="84"/>
        <v>1637.8612483790453</v>
      </c>
      <c r="I59" s="204">
        <f t="shared" si="84"/>
        <v>1637.8612483790453</v>
      </c>
      <c r="J59" s="204">
        <f t="shared" si="84"/>
        <v>1637.8612483790453</v>
      </c>
      <c r="K59" s="204">
        <f t="shared" si="84"/>
        <v>1637.8612483790453</v>
      </c>
      <c r="L59" s="204">
        <f t="shared" si="84"/>
        <v>1637.8612483790453</v>
      </c>
      <c r="M59" s="204">
        <f t="shared" si="84"/>
        <v>1637.8612483790453</v>
      </c>
      <c r="N59" s="204">
        <f t="shared" si="84"/>
        <v>1637.8612483790453</v>
      </c>
      <c r="O59" s="204">
        <f t="shared" si="84"/>
        <v>1637.8612483790453</v>
      </c>
      <c r="P59" s="204">
        <f t="shared" si="84"/>
        <v>1637.8612483790453</v>
      </c>
      <c r="Q59" s="204">
        <f t="shared" si="84"/>
        <v>1637.8612483790453</v>
      </c>
      <c r="R59" s="204">
        <f t="shared" si="84"/>
        <v>1637.8612483790453</v>
      </c>
      <c r="S59" s="204">
        <f t="shared" si="84"/>
        <v>1637.8612483790453</v>
      </c>
      <c r="T59" s="204">
        <f t="shared" si="84"/>
        <v>1637.8612483790453</v>
      </c>
      <c r="U59" s="204">
        <f t="shared" si="84"/>
        <v>1637.8612483790453</v>
      </c>
      <c r="V59" s="204">
        <f t="shared" si="84"/>
        <v>1637.8612483790453</v>
      </c>
      <c r="W59" s="204">
        <f t="shared" si="84"/>
        <v>1637.8612483790453</v>
      </c>
      <c r="X59" s="204">
        <f t="shared" si="84"/>
        <v>1637.8612483790453</v>
      </c>
      <c r="Y59" s="204">
        <f t="shared" si="84"/>
        <v>1637.8612483790453</v>
      </c>
      <c r="Z59" s="204">
        <f t="shared" si="84"/>
        <v>1649.320293711618</v>
      </c>
      <c r="AA59" s="204">
        <f t="shared" si="84"/>
        <v>1695.1564750419091</v>
      </c>
      <c r="AB59" s="204">
        <f t="shared" si="84"/>
        <v>1740.9926563721999</v>
      </c>
      <c r="AC59" s="204">
        <f t="shared" si="84"/>
        <v>1786.828837702491</v>
      </c>
      <c r="AD59" s="204">
        <f t="shared" si="84"/>
        <v>1832.6650190327819</v>
      </c>
      <c r="AE59" s="204">
        <f t="shared" si="84"/>
        <v>1878.5012003630729</v>
      </c>
      <c r="AF59" s="204">
        <f t="shared" si="84"/>
        <v>1924.3373816933638</v>
      </c>
      <c r="AG59" s="204">
        <f t="shared" si="84"/>
        <v>1970.1735630236549</v>
      </c>
      <c r="AH59" s="204">
        <f t="shared" si="84"/>
        <v>2016.0097443539457</v>
      </c>
      <c r="AI59" s="204">
        <f t="shared" si="84"/>
        <v>2061.8459256842366</v>
      </c>
      <c r="AJ59" s="204">
        <f t="shared" si="84"/>
        <v>2107.6821070145279</v>
      </c>
      <c r="AK59" s="204">
        <f t="shared" si="84"/>
        <v>2153.5182883448188</v>
      </c>
      <c r="AL59" s="204">
        <f t="shared" ref="AL59:BQ59" si="85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2199.3544696751096</v>
      </c>
      <c r="AM59" s="204">
        <f t="shared" si="85"/>
        <v>2245.1906510054005</v>
      </c>
      <c r="AN59" s="204">
        <f t="shared" si="85"/>
        <v>2291.0268323356913</v>
      </c>
      <c r="AO59" s="204">
        <f t="shared" si="85"/>
        <v>2336.8630136659826</v>
      </c>
      <c r="AP59" s="204">
        <f t="shared" si="85"/>
        <v>2382.6991949962735</v>
      </c>
      <c r="AQ59" s="204">
        <f t="shared" si="85"/>
        <v>2428.5353763265643</v>
      </c>
      <c r="AR59" s="204">
        <f t="shared" si="85"/>
        <v>2474.3715576568557</v>
      </c>
      <c r="AS59" s="204">
        <f t="shared" si="85"/>
        <v>2520.2077389871465</v>
      </c>
      <c r="AT59" s="204">
        <f t="shared" si="85"/>
        <v>2566.0439203174374</v>
      </c>
      <c r="AU59" s="204">
        <f t="shared" si="85"/>
        <v>2611.8801016477282</v>
      </c>
      <c r="AV59" s="204">
        <f t="shared" si="85"/>
        <v>2657.7162829780191</v>
      </c>
      <c r="AW59" s="204">
        <f t="shared" si="85"/>
        <v>2703.5524643083104</v>
      </c>
      <c r="AX59" s="204">
        <f t="shared" si="85"/>
        <v>2749.3886456386012</v>
      </c>
      <c r="AY59" s="204">
        <f t="shared" si="85"/>
        <v>2795.2248269688926</v>
      </c>
      <c r="AZ59" s="204">
        <f t="shared" si="85"/>
        <v>2841.0610082991834</v>
      </c>
      <c r="BA59" s="204">
        <f t="shared" si="85"/>
        <v>2886.8971896294743</v>
      </c>
      <c r="BB59" s="204">
        <f t="shared" si="85"/>
        <v>2932.7333709597651</v>
      </c>
      <c r="BC59" s="204">
        <f t="shared" si="85"/>
        <v>2978.569552290056</v>
      </c>
      <c r="BD59" s="204">
        <f t="shared" si="85"/>
        <v>3024.4057336203468</v>
      </c>
      <c r="BE59" s="204">
        <f t="shared" si="85"/>
        <v>3070.2419149506381</v>
      </c>
      <c r="BF59" s="204">
        <f t="shared" si="85"/>
        <v>3116.078096280929</v>
      </c>
      <c r="BG59" s="204">
        <f t="shared" si="85"/>
        <v>3161.9142776112203</v>
      </c>
      <c r="BH59" s="204">
        <f t="shared" si="85"/>
        <v>3207.7504589415112</v>
      </c>
      <c r="BI59" s="204">
        <f t="shared" si="85"/>
        <v>3253.586640271802</v>
      </c>
      <c r="BJ59" s="204">
        <f t="shared" si="85"/>
        <v>3299.4228216020929</v>
      </c>
      <c r="BK59" s="204">
        <f t="shared" si="85"/>
        <v>3298.2774785243814</v>
      </c>
      <c r="BL59" s="204">
        <f t="shared" si="85"/>
        <v>3281.4716273106696</v>
      </c>
      <c r="BM59" s="204">
        <f t="shared" si="85"/>
        <v>3264.6657760969579</v>
      </c>
      <c r="BN59" s="204">
        <f t="shared" si="85"/>
        <v>3247.8599248832456</v>
      </c>
      <c r="BO59" s="204">
        <f t="shared" si="85"/>
        <v>3231.0540736695339</v>
      </c>
      <c r="BP59" s="204">
        <f t="shared" si="85"/>
        <v>3214.2482224558216</v>
      </c>
      <c r="BQ59" s="204">
        <f t="shared" si="85"/>
        <v>3197.4423712421099</v>
      </c>
      <c r="BR59" s="204">
        <f t="shared" ref="BR59:DA59" si="86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3180.6365200283981</v>
      </c>
      <c r="BS59" s="204">
        <f t="shared" si="86"/>
        <v>3163.8306688146859</v>
      </c>
      <c r="BT59" s="204">
        <f t="shared" si="86"/>
        <v>3147.0248176009741</v>
      </c>
      <c r="BU59" s="204">
        <f t="shared" si="86"/>
        <v>3130.2189663872618</v>
      </c>
      <c r="BV59" s="204">
        <f t="shared" si="86"/>
        <v>3113.4131151735501</v>
      </c>
      <c r="BW59" s="204">
        <f t="shared" si="86"/>
        <v>3096.6072639598383</v>
      </c>
      <c r="BX59" s="204">
        <f t="shared" si="86"/>
        <v>3079.8014127461261</v>
      </c>
      <c r="BY59" s="204">
        <f t="shared" si="86"/>
        <v>3062.9955615324143</v>
      </c>
      <c r="BZ59" s="204">
        <f t="shared" si="86"/>
        <v>3046.1897103187021</v>
      </c>
      <c r="CA59" s="204">
        <f t="shared" si="86"/>
        <v>3029.3838591049903</v>
      </c>
      <c r="CB59" s="204">
        <f t="shared" si="86"/>
        <v>3012.5780078912785</v>
      </c>
      <c r="CC59" s="204">
        <f t="shared" si="86"/>
        <v>2995.7721566775663</v>
      </c>
      <c r="CD59" s="204">
        <f t="shared" si="86"/>
        <v>2978.9663054638545</v>
      </c>
      <c r="CE59" s="204">
        <f t="shared" si="86"/>
        <v>2962.1604542501427</v>
      </c>
      <c r="CF59" s="204">
        <f t="shared" si="86"/>
        <v>2945.3546030364305</v>
      </c>
      <c r="CG59" s="204">
        <f t="shared" si="86"/>
        <v>2928.5487518227187</v>
      </c>
      <c r="CH59" s="204">
        <f t="shared" si="86"/>
        <v>2911.7429006090065</v>
      </c>
      <c r="CI59" s="204">
        <f t="shared" si="86"/>
        <v>2894.9370493952947</v>
      </c>
      <c r="CJ59" s="204">
        <f t="shared" si="86"/>
        <v>2831.5510465444236</v>
      </c>
      <c r="CK59" s="204">
        <f t="shared" si="86"/>
        <v>2752.6383264811666</v>
      </c>
      <c r="CL59" s="204">
        <f t="shared" si="86"/>
        <v>2673.7256064179091</v>
      </c>
      <c r="CM59" s="204">
        <f t="shared" si="86"/>
        <v>2594.8128863546522</v>
      </c>
      <c r="CN59" s="204">
        <f t="shared" si="86"/>
        <v>2515.9001662913947</v>
      </c>
      <c r="CO59" s="204">
        <f t="shared" si="86"/>
        <v>2436.9874462281377</v>
      </c>
      <c r="CP59" s="204">
        <f t="shared" si="86"/>
        <v>2358.0747261648803</v>
      </c>
      <c r="CQ59" s="204">
        <f t="shared" si="86"/>
        <v>2279.1620061016229</v>
      </c>
      <c r="CR59" s="204">
        <f t="shared" si="86"/>
        <v>2200.2492860383659</v>
      </c>
      <c r="CS59" s="204">
        <f t="shared" si="86"/>
        <v>2121.3365659751084</v>
      </c>
      <c r="CT59" s="204">
        <f t="shared" si="86"/>
        <v>2042.4238459118515</v>
      </c>
      <c r="CU59" s="204">
        <f t="shared" si="86"/>
        <v>1963.511125848594</v>
      </c>
      <c r="CV59" s="204">
        <f t="shared" si="86"/>
        <v>1884.5984057853368</v>
      </c>
      <c r="CW59" s="204">
        <f t="shared" si="86"/>
        <v>1852.0038657378939</v>
      </c>
      <c r="CX59" s="204">
        <f t="shared" si="86"/>
        <v>1958.363865737894</v>
      </c>
      <c r="CY59" s="204">
        <f t="shared" si="86"/>
        <v>2064.7238657378939</v>
      </c>
      <c r="CZ59" s="204">
        <f t="shared" si="86"/>
        <v>2171.083865737894</v>
      </c>
      <c r="DA59" s="204">
        <f t="shared" si="86"/>
        <v>2277.4438657378942</v>
      </c>
    </row>
    <row r="60" spans="1:105" s="204" customFormat="1">
      <c r="A60" s="204" t="str">
        <f>Income!A73</f>
        <v>Own crops sold</v>
      </c>
      <c r="F60" s="204">
        <f t="shared" ref="F60:AK60" si="87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6745.975100024677</v>
      </c>
      <c r="G60" s="204">
        <f t="shared" si="87"/>
        <v>6405.7151000246768</v>
      </c>
      <c r="H60" s="204">
        <f t="shared" si="87"/>
        <v>6065.4551000246765</v>
      </c>
      <c r="I60" s="204">
        <f t="shared" si="87"/>
        <v>5725.1951000246763</v>
      </c>
      <c r="J60" s="204">
        <f t="shared" si="87"/>
        <v>5384.935100024677</v>
      </c>
      <c r="K60" s="204">
        <f t="shared" si="87"/>
        <v>5044.6751000246768</v>
      </c>
      <c r="L60" s="204">
        <f t="shared" si="87"/>
        <v>4704.4151000246766</v>
      </c>
      <c r="M60" s="204">
        <f t="shared" si="87"/>
        <v>4364.1551000246764</v>
      </c>
      <c r="N60" s="204">
        <f t="shared" si="87"/>
        <v>4023.8951000246761</v>
      </c>
      <c r="O60" s="204">
        <f t="shared" si="87"/>
        <v>3683.6351000246764</v>
      </c>
      <c r="P60" s="204">
        <f t="shared" si="87"/>
        <v>3343.3751000246762</v>
      </c>
      <c r="Q60" s="204">
        <f t="shared" si="87"/>
        <v>3003.1151000246764</v>
      </c>
      <c r="R60" s="204">
        <f t="shared" si="87"/>
        <v>2662.8551000246762</v>
      </c>
      <c r="S60" s="204">
        <f t="shared" si="87"/>
        <v>2322.5951000246764</v>
      </c>
      <c r="T60" s="204">
        <f t="shared" si="87"/>
        <v>1982.3351000246762</v>
      </c>
      <c r="U60" s="204">
        <f t="shared" si="87"/>
        <v>1642.0751000246762</v>
      </c>
      <c r="V60" s="204">
        <f t="shared" si="87"/>
        <v>1301.8151000246762</v>
      </c>
      <c r="W60" s="204">
        <f t="shared" si="87"/>
        <v>961.55510002467622</v>
      </c>
      <c r="X60" s="204">
        <f t="shared" si="87"/>
        <v>621.29510002467623</v>
      </c>
      <c r="Y60" s="204">
        <f t="shared" si="87"/>
        <v>281.03510002467635</v>
      </c>
      <c r="Z60" s="204">
        <f t="shared" si="87"/>
        <v>36.116582508940994</v>
      </c>
      <c r="AA60" s="204">
        <f t="shared" si="87"/>
        <v>77.222512445999527</v>
      </c>
      <c r="AB60" s="204">
        <f t="shared" si="87"/>
        <v>118.32844238305807</v>
      </c>
      <c r="AC60" s="204">
        <f t="shared" si="87"/>
        <v>159.43437232011661</v>
      </c>
      <c r="AD60" s="204">
        <f t="shared" si="87"/>
        <v>200.54030225717517</v>
      </c>
      <c r="AE60" s="204">
        <f t="shared" si="87"/>
        <v>241.6462321942337</v>
      </c>
      <c r="AF60" s="204">
        <f t="shared" si="87"/>
        <v>282.75216213129227</v>
      </c>
      <c r="AG60" s="204">
        <f t="shared" si="87"/>
        <v>323.8580920683508</v>
      </c>
      <c r="AH60" s="204">
        <f t="shared" si="87"/>
        <v>364.96402200540933</v>
      </c>
      <c r="AI60" s="204">
        <f t="shared" si="87"/>
        <v>406.06995194246787</v>
      </c>
      <c r="AJ60" s="204">
        <f t="shared" si="87"/>
        <v>447.1758818795264</v>
      </c>
      <c r="AK60" s="204">
        <f t="shared" si="87"/>
        <v>488.28181181658493</v>
      </c>
      <c r="AL60" s="204">
        <f t="shared" ref="AL60:BQ60" si="88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529.38774175364347</v>
      </c>
      <c r="AM60" s="204">
        <f t="shared" si="88"/>
        <v>570.49367169070194</v>
      </c>
      <c r="AN60" s="204">
        <f t="shared" si="88"/>
        <v>611.59960162776053</v>
      </c>
      <c r="AO60" s="204">
        <f t="shared" si="88"/>
        <v>652.70553156481901</v>
      </c>
      <c r="AP60" s="204">
        <f t="shared" si="88"/>
        <v>693.8114615018776</v>
      </c>
      <c r="AQ60" s="204">
        <f t="shared" si="88"/>
        <v>734.91739143893608</v>
      </c>
      <c r="AR60" s="204">
        <f t="shared" si="88"/>
        <v>776.02332137599467</v>
      </c>
      <c r="AS60" s="204">
        <f t="shared" si="88"/>
        <v>817.12925131305326</v>
      </c>
      <c r="AT60" s="204">
        <f t="shared" si="88"/>
        <v>858.23518125011174</v>
      </c>
      <c r="AU60" s="204">
        <f t="shared" si="88"/>
        <v>899.34111118717033</v>
      </c>
      <c r="AV60" s="204">
        <f t="shared" si="88"/>
        <v>940.4470411242288</v>
      </c>
      <c r="AW60" s="204">
        <f t="shared" si="88"/>
        <v>981.55297106128739</v>
      </c>
      <c r="AX60" s="204">
        <f t="shared" si="88"/>
        <v>1022.6589009983459</v>
      </c>
      <c r="AY60" s="204">
        <f t="shared" si="88"/>
        <v>1063.7648309354045</v>
      </c>
      <c r="AZ60" s="204">
        <f t="shared" si="88"/>
        <v>1104.8707608724631</v>
      </c>
      <c r="BA60" s="204">
        <f t="shared" si="88"/>
        <v>1145.9766908095216</v>
      </c>
      <c r="BB60" s="204">
        <f t="shared" si="88"/>
        <v>1187.08262074658</v>
      </c>
      <c r="BC60" s="204">
        <f t="shared" si="88"/>
        <v>1228.1885506836386</v>
      </c>
      <c r="BD60" s="204">
        <f t="shared" si="88"/>
        <v>1269.2944806206972</v>
      </c>
      <c r="BE60" s="204">
        <f t="shared" si="88"/>
        <v>1310.4004105577558</v>
      </c>
      <c r="BF60" s="204">
        <f t="shared" si="88"/>
        <v>1351.5063404948141</v>
      </c>
      <c r="BG60" s="204">
        <f t="shared" si="88"/>
        <v>1392.6122704318727</v>
      </c>
      <c r="BH60" s="204">
        <f t="shared" si="88"/>
        <v>1433.7182003689313</v>
      </c>
      <c r="BI60" s="204">
        <f t="shared" si="88"/>
        <v>1474.8241303059899</v>
      </c>
      <c r="BJ60" s="204">
        <f t="shared" si="88"/>
        <v>1515.9300602430485</v>
      </c>
      <c r="BK60" s="204">
        <f t="shared" si="88"/>
        <v>1806.2517029471269</v>
      </c>
      <c r="BL60" s="204">
        <f t="shared" si="88"/>
        <v>2179.6452499068791</v>
      </c>
      <c r="BM60" s="204">
        <f t="shared" si="88"/>
        <v>2553.0387968666309</v>
      </c>
      <c r="BN60" s="204">
        <f t="shared" si="88"/>
        <v>2926.4323438263827</v>
      </c>
      <c r="BO60" s="204">
        <f t="shared" si="88"/>
        <v>3299.825890786135</v>
      </c>
      <c r="BP60" s="204">
        <f t="shared" si="88"/>
        <v>3673.2194377458873</v>
      </c>
      <c r="BQ60" s="204">
        <f t="shared" si="88"/>
        <v>4046.6129847056391</v>
      </c>
      <c r="BR60" s="204">
        <f t="shared" ref="BR60:CZ60" si="89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4420.0065316653909</v>
      </c>
      <c r="BS60" s="204">
        <f t="shared" si="89"/>
        <v>4793.4000786251427</v>
      </c>
      <c r="BT60" s="204">
        <f t="shared" si="89"/>
        <v>5166.7936255848945</v>
      </c>
      <c r="BU60" s="204">
        <f t="shared" si="89"/>
        <v>5540.1871725446472</v>
      </c>
      <c r="BV60" s="204">
        <f t="shared" si="89"/>
        <v>5913.5807195043981</v>
      </c>
      <c r="BW60" s="204">
        <f t="shared" si="89"/>
        <v>6286.9742664641508</v>
      </c>
      <c r="BX60" s="204">
        <f t="shared" si="89"/>
        <v>6660.3678134239026</v>
      </c>
      <c r="BY60" s="204">
        <f t="shared" si="89"/>
        <v>7033.7613603836544</v>
      </c>
      <c r="BZ60" s="204">
        <f t="shared" si="89"/>
        <v>7407.1549073434062</v>
      </c>
      <c r="CA60" s="204">
        <f t="shared" si="89"/>
        <v>7780.548454303158</v>
      </c>
      <c r="CB60" s="204">
        <f t="shared" si="89"/>
        <v>8153.9420012629107</v>
      </c>
      <c r="CC60" s="204">
        <f t="shared" si="89"/>
        <v>8527.3355482226634</v>
      </c>
      <c r="CD60" s="204">
        <f t="shared" si="89"/>
        <v>8900.7290951824143</v>
      </c>
      <c r="CE60" s="204">
        <f t="shared" si="89"/>
        <v>9274.122642142167</v>
      </c>
      <c r="CF60" s="204">
        <f t="shared" si="89"/>
        <v>9647.5161891019179</v>
      </c>
      <c r="CG60" s="204">
        <f t="shared" si="89"/>
        <v>10020.909736061671</v>
      </c>
      <c r="CH60" s="204">
        <f t="shared" si="89"/>
        <v>10394.303283021423</v>
      </c>
      <c r="CI60" s="204">
        <f t="shared" si="89"/>
        <v>10767.696829981174</v>
      </c>
      <c r="CJ60" s="204">
        <f t="shared" si="89"/>
        <v>11486.344854495277</v>
      </c>
      <c r="CK60" s="204">
        <f t="shared" si="89"/>
        <v>12320.077704860827</v>
      </c>
      <c r="CL60" s="204">
        <f t="shared" si="89"/>
        <v>13153.810555226377</v>
      </c>
      <c r="CM60" s="204">
        <f t="shared" si="89"/>
        <v>13987.543405591929</v>
      </c>
      <c r="CN60" s="204">
        <f t="shared" si="89"/>
        <v>14821.276255957478</v>
      </c>
      <c r="CO60" s="204">
        <f t="shared" si="89"/>
        <v>15655.009106323028</v>
      </c>
      <c r="CP60" s="204">
        <f t="shared" si="89"/>
        <v>16488.74195668858</v>
      </c>
      <c r="CQ60" s="204">
        <f t="shared" si="89"/>
        <v>17322.474807054128</v>
      </c>
      <c r="CR60" s="204">
        <f t="shared" si="89"/>
        <v>18156.20765741968</v>
      </c>
      <c r="CS60" s="204">
        <f t="shared" si="89"/>
        <v>18989.940507785232</v>
      </c>
      <c r="CT60" s="204">
        <f t="shared" si="89"/>
        <v>19823.67335815078</v>
      </c>
      <c r="CU60" s="204">
        <f t="shared" si="89"/>
        <v>20657.406208516331</v>
      </c>
      <c r="CV60" s="204">
        <f t="shared" si="89"/>
        <v>21491.139058881883</v>
      </c>
      <c r="CW60" s="204">
        <f t="shared" si="89"/>
        <v>22297.653696656045</v>
      </c>
      <c r="CX60" s="204">
        <f t="shared" si="89"/>
        <v>23022.513696656046</v>
      </c>
      <c r="CY60" s="204">
        <f t="shared" si="89"/>
        <v>23747.373696656046</v>
      </c>
      <c r="CZ60" s="204">
        <f t="shared" si="89"/>
        <v>24472.233696656047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25197.093696656048</v>
      </c>
    </row>
    <row r="61" spans="1:105" s="204" customFormat="1">
      <c r="A61" s="204" t="str">
        <f>Income!A74</f>
        <v>Animal products consumed</v>
      </c>
      <c r="F61" s="204">
        <f t="shared" ref="F61:AK61" si="90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600.96174511333197</v>
      </c>
      <c r="G61" s="204">
        <f t="shared" si="90"/>
        <v>600.96174511333197</v>
      </c>
      <c r="H61" s="204">
        <f t="shared" si="90"/>
        <v>600.96174511333197</v>
      </c>
      <c r="I61" s="204">
        <f t="shared" si="90"/>
        <v>600.96174511333197</v>
      </c>
      <c r="J61" s="204">
        <f t="shared" si="90"/>
        <v>600.96174511333197</v>
      </c>
      <c r="K61" s="204">
        <f t="shared" si="90"/>
        <v>600.96174511333197</v>
      </c>
      <c r="L61" s="204">
        <f t="shared" si="90"/>
        <v>600.96174511333197</v>
      </c>
      <c r="M61" s="204">
        <f t="shared" si="90"/>
        <v>600.96174511333197</v>
      </c>
      <c r="N61" s="204">
        <f t="shared" si="90"/>
        <v>600.96174511333197</v>
      </c>
      <c r="O61" s="204">
        <f t="shared" si="90"/>
        <v>600.96174511333197</v>
      </c>
      <c r="P61" s="204">
        <f t="shared" si="90"/>
        <v>600.96174511333197</v>
      </c>
      <c r="Q61" s="204">
        <f t="shared" si="90"/>
        <v>600.96174511333197</v>
      </c>
      <c r="R61" s="204">
        <f t="shared" si="90"/>
        <v>600.96174511333197</v>
      </c>
      <c r="S61" s="204">
        <f t="shared" si="90"/>
        <v>600.96174511333197</v>
      </c>
      <c r="T61" s="204">
        <f t="shared" si="90"/>
        <v>600.96174511333197</v>
      </c>
      <c r="U61" s="204">
        <f t="shared" si="90"/>
        <v>600.96174511333197</v>
      </c>
      <c r="V61" s="204">
        <f t="shared" si="90"/>
        <v>600.96174511333197</v>
      </c>
      <c r="W61" s="204">
        <f t="shared" si="90"/>
        <v>600.96174511333197</v>
      </c>
      <c r="X61" s="204">
        <f t="shared" si="90"/>
        <v>600.96174511333197</v>
      </c>
      <c r="Y61" s="204">
        <f t="shared" si="90"/>
        <v>600.96174511333197</v>
      </c>
      <c r="Z61" s="204">
        <f t="shared" si="90"/>
        <v>604.34946671826106</v>
      </c>
      <c r="AA61" s="204">
        <f t="shared" si="90"/>
        <v>617.90035313797716</v>
      </c>
      <c r="AB61" s="204">
        <f t="shared" si="90"/>
        <v>631.45123955769327</v>
      </c>
      <c r="AC61" s="204">
        <f t="shared" si="90"/>
        <v>645.00212597740949</v>
      </c>
      <c r="AD61" s="204">
        <f t="shared" si="90"/>
        <v>658.5530123971256</v>
      </c>
      <c r="AE61" s="204">
        <f t="shared" si="90"/>
        <v>672.10389881684182</v>
      </c>
      <c r="AF61" s="204">
        <f t="shared" si="90"/>
        <v>685.65478523655793</v>
      </c>
      <c r="AG61" s="204">
        <f t="shared" si="90"/>
        <v>699.20567165627403</v>
      </c>
      <c r="AH61" s="204">
        <f t="shared" si="90"/>
        <v>712.75655807599026</v>
      </c>
      <c r="AI61" s="204">
        <f t="shared" si="90"/>
        <v>726.30744449570636</v>
      </c>
      <c r="AJ61" s="204">
        <f t="shared" si="90"/>
        <v>739.85833091542258</v>
      </c>
      <c r="AK61" s="204">
        <f t="shared" si="90"/>
        <v>753.40921733513869</v>
      </c>
      <c r="AL61" s="204">
        <f t="shared" ref="AL61:BQ61" si="91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766.9601037548548</v>
      </c>
      <c r="AM61" s="204">
        <f t="shared" si="91"/>
        <v>780.51099017457102</v>
      </c>
      <c r="AN61" s="204">
        <f t="shared" si="91"/>
        <v>794.06187659428713</v>
      </c>
      <c r="AO61" s="204">
        <f t="shared" si="91"/>
        <v>807.61276301400335</v>
      </c>
      <c r="AP61" s="204">
        <f t="shared" si="91"/>
        <v>821.16364943371946</v>
      </c>
      <c r="AQ61" s="204">
        <f t="shared" si="91"/>
        <v>834.71453585343556</v>
      </c>
      <c r="AR61" s="204">
        <f t="shared" si="91"/>
        <v>848.26542227315178</v>
      </c>
      <c r="AS61" s="204">
        <f t="shared" si="91"/>
        <v>861.81630869286801</v>
      </c>
      <c r="AT61" s="204">
        <f t="shared" si="91"/>
        <v>875.36719511258411</v>
      </c>
      <c r="AU61" s="204">
        <f t="shared" si="91"/>
        <v>888.91808153230022</v>
      </c>
      <c r="AV61" s="204">
        <f t="shared" si="91"/>
        <v>902.46896795201633</v>
      </c>
      <c r="AW61" s="204">
        <f t="shared" si="91"/>
        <v>916.01985437173255</v>
      </c>
      <c r="AX61" s="204">
        <f t="shared" si="91"/>
        <v>929.57074079144877</v>
      </c>
      <c r="AY61" s="204">
        <f t="shared" si="91"/>
        <v>943.12162721116488</v>
      </c>
      <c r="AZ61" s="204">
        <f t="shared" si="91"/>
        <v>956.67251363088099</v>
      </c>
      <c r="BA61" s="204">
        <f t="shared" si="91"/>
        <v>970.22340005059709</v>
      </c>
      <c r="BB61" s="204">
        <f t="shared" si="91"/>
        <v>983.77428647031331</v>
      </c>
      <c r="BC61" s="204">
        <f t="shared" si="91"/>
        <v>997.32517289002953</v>
      </c>
      <c r="BD61" s="204">
        <f t="shared" si="91"/>
        <v>1010.8760593097456</v>
      </c>
      <c r="BE61" s="204">
        <f t="shared" si="91"/>
        <v>1024.4269457294617</v>
      </c>
      <c r="BF61" s="204">
        <f t="shared" si="91"/>
        <v>1037.9778321491779</v>
      </c>
      <c r="BG61" s="204">
        <f t="shared" si="91"/>
        <v>1051.528718568894</v>
      </c>
      <c r="BH61" s="204">
        <f t="shared" si="91"/>
        <v>1065.0796049886103</v>
      </c>
      <c r="BI61" s="204">
        <f t="shared" si="91"/>
        <v>1078.6304914083264</v>
      </c>
      <c r="BJ61" s="204">
        <f t="shared" si="91"/>
        <v>1092.1813778280425</v>
      </c>
      <c r="BK61" s="204">
        <f t="shared" si="91"/>
        <v>1120.2010472602888</v>
      </c>
      <c r="BL61" s="204">
        <f t="shared" si="91"/>
        <v>1153.0436443633782</v>
      </c>
      <c r="BM61" s="204">
        <f t="shared" si="91"/>
        <v>1185.8862414664677</v>
      </c>
      <c r="BN61" s="204">
        <f t="shared" si="91"/>
        <v>1218.7288385695572</v>
      </c>
      <c r="BO61" s="204">
        <f t="shared" si="91"/>
        <v>1251.5714356726467</v>
      </c>
      <c r="BP61" s="204">
        <f t="shared" si="91"/>
        <v>1284.4140327757361</v>
      </c>
      <c r="BQ61" s="204">
        <f t="shared" si="91"/>
        <v>1317.2566298788256</v>
      </c>
      <c r="BR61" s="204">
        <f t="shared" ref="BR61:DA61" si="92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1350.0992269819151</v>
      </c>
      <c r="BS61" s="204">
        <f t="shared" si="92"/>
        <v>1382.9418240850046</v>
      </c>
      <c r="BT61" s="204">
        <f t="shared" si="92"/>
        <v>1415.784421188094</v>
      </c>
      <c r="BU61" s="204">
        <f t="shared" si="92"/>
        <v>1448.6270182911835</v>
      </c>
      <c r="BV61" s="204">
        <f t="shared" si="92"/>
        <v>1481.469615394273</v>
      </c>
      <c r="BW61" s="204">
        <f t="shared" si="92"/>
        <v>1514.3122124973625</v>
      </c>
      <c r="BX61" s="204">
        <f t="shared" si="92"/>
        <v>1547.1548096004519</v>
      </c>
      <c r="BY61" s="204">
        <f t="shared" si="92"/>
        <v>1579.9974067035414</v>
      </c>
      <c r="BZ61" s="204">
        <f t="shared" si="92"/>
        <v>1612.8400038066309</v>
      </c>
      <c r="CA61" s="204">
        <f t="shared" si="92"/>
        <v>1645.6826009097203</v>
      </c>
      <c r="CB61" s="204">
        <f t="shared" si="92"/>
        <v>1678.5251980128101</v>
      </c>
      <c r="CC61" s="204">
        <f t="shared" si="92"/>
        <v>1711.3677951158993</v>
      </c>
      <c r="CD61" s="204">
        <f t="shared" si="92"/>
        <v>1744.210392218989</v>
      </c>
      <c r="CE61" s="204">
        <f t="shared" si="92"/>
        <v>1777.0529893220782</v>
      </c>
      <c r="CF61" s="204">
        <f t="shared" si="92"/>
        <v>1809.8955864251679</v>
      </c>
      <c r="CG61" s="204">
        <f t="shared" si="92"/>
        <v>1842.7381835282572</v>
      </c>
      <c r="CH61" s="204">
        <f t="shared" si="92"/>
        <v>1875.5807806313469</v>
      </c>
      <c r="CI61" s="204">
        <f t="shared" si="92"/>
        <v>1908.4233777344361</v>
      </c>
      <c r="CJ61" s="204">
        <f t="shared" si="92"/>
        <v>1931.9480119848367</v>
      </c>
      <c r="CK61" s="204">
        <f t="shared" si="92"/>
        <v>1952.3666586176739</v>
      </c>
      <c r="CL61" s="204">
        <f t="shared" si="92"/>
        <v>1972.7853052505111</v>
      </c>
      <c r="CM61" s="204">
        <f t="shared" si="92"/>
        <v>1993.2039518833485</v>
      </c>
      <c r="CN61" s="204">
        <f t="shared" si="92"/>
        <v>2013.6225985161857</v>
      </c>
      <c r="CO61" s="204">
        <f t="shared" si="92"/>
        <v>2034.0412451490231</v>
      </c>
      <c r="CP61" s="204">
        <f t="shared" si="92"/>
        <v>2054.4598917818603</v>
      </c>
      <c r="CQ61" s="204">
        <f t="shared" si="92"/>
        <v>2074.8785384146977</v>
      </c>
      <c r="CR61" s="204">
        <f t="shared" si="92"/>
        <v>2095.2971850475346</v>
      </c>
      <c r="CS61" s="204">
        <f t="shared" si="92"/>
        <v>2115.715831680372</v>
      </c>
      <c r="CT61" s="204">
        <f t="shared" si="92"/>
        <v>2136.1344783132095</v>
      </c>
      <c r="CU61" s="204">
        <f t="shared" si="92"/>
        <v>2156.5531249460464</v>
      </c>
      <c r="CV61" s="204">
        <f t="shared" si="92"/>
        <v>2176.9717715788838</v>
      </c>
      <c r="CW61" s="204">
        <f t="shared" si="92"/>
        <v>2194.393506553512</v>
      </c>
      <c r="CX61" s="204">
        <f t="shared" si="92"/>
        <v>2202.824506553512</v>
      </c>
      <c r="CY61" s="204">
        <f t="shared" si="92"/>
        <v>2211.2555065535121</v>
      </c>
      <c r="CZ61" s="204">
        <f t="shared" si="92"/>
        <v>2219.6865065535117</v>
      </c>
      <c r="DA61" s="204">
        <f t="shared" si="92"/>
        <v>2228.1175065535117</v>
      </c>
    </row>
    <row r="62" spans="1:105" s="204" customFormat="1">
      <c r="A62" s="204" t="str">
        <f>Income!A75</f>
        <v>Animal products sold</v>
      </c>
      <c r="F62" s="204">
        <f t="shared" ref="F62:AK62" si="93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93"/>
        <v>0</v>
      </c>
      <c r="H62" s="204">
        <f t="shared" si="93"/>
        <v>0</v>
      </c>
      <c r="I62" s="204">
        <f t="shared" si="93"/>
        <v>0</v>
      </c>
      <c r="J62" s="204">
        <f t="shared" si="93"/>
        <v>0</v>
      </c>
      <c r="K62" s="204">
        <f t="shared" si="93"/>
        <v>0</v>
      </c>
      <c r="L62" s="204">
        <f t="shared" si="93"/>
        <v>0</v>
      </c>
      <c r="M62" s="204">
        <f t="shared" si="93"/>
        <v>0</v>
      </c>
      <c r="N62" s="204">
        <f t="shared" si="93"/>
        <v>0</v>
      </c>
      <c r="O62" s="204">
        <f t="shared" si="93"/>
        <v>0</v>
      </c>
      <c r="P62" s="204">
        <f t="shared" si="93"/>
        <v>0</v>
      </c>
      <c r="Q62" s="204">
        <f t="shared" si="93"/>
        <v>0</v>
      </c>
      <c r="R62" s="204">
        <f t="shared" si="93"/>
        <v>0</v>
      </c>
      <c r="S62" s="204">
        <f t="shared" si="93"/>
        <v>0</v>
      </c>
      <c r="T62" s="204">
        <f t="shared" si="93"/>
        <v>0</v>
      </c>
      <c r="U62" s="204">
        <f t="shared" si="93"/>
        <v>0</v>
      </c>
      <c r="V62" s="204">
        <f t="shared" si="93"/>
        <v>0</v>
      </c>
      <c r="W62" s="204">
        <f t="shared" si="93"/>
        <v>0</v>
      </c>
      <c r="X62" s="204">
        <f t="shared" si="93"/>
        <v>0</v>
      </c>
      <c r="Y62" s="204">
        <f t="shared" si="93"/>
        <v>0</v>
      </c>
      <c r="Z62" s="204">
        <f t="shared" si="93"/>
        <v>0</v>
      </c>
      <c r="AA62" s="204">
        <f t="shared" si="93"/>
        <v>0</v>
      </c>
      <c r="AB62" s="204">
        <f t="shared" si="93"/>
        <v>0</v>
      </c>
      <c r="AC62" s="204">
        <f t="shared" si="93"/>
        <v>0</v>
      </c>
      <c r="AD62" s="204">
        <f t="shared" si="93"/>
        <v>0</v>
      </c>
      <c r="AE62" s="204">
        <f t="shared" si="93"/>
        <v>0</v>
      </c>
      <c r="AF62" s="204">
        <f t="shared" si="93"/>
        <v>0</v>
      </c>
      <c r="AG62" s="204">
        <f t="shared" si="93"/>
        <v>0</v>
      </c>
      <c r="AH62" s="204">
        <f t="shared" si="93"/>
        <v>0</v>
      </c>
      <c r="AI62" s="204">
        <f t="shared" si="93"/>
        <v>0</v>
      </c>
      <c r="AJ62" s="204">
        <f t="shared" si="93"/>
        <v>0</v>
      </c>
      <c r="AK62" s="204">
        <f t="shared" si="93"/>
        <v>0</v>
      </c>
      <c r="AL62" s="204">
        <f t="shared" ref="AL62:BQ62" si="94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94"/>
        <v>0</v>
      </c>
      <c r="AN62" s="204">
        <f t="shared" si="94"/>
        <v>0</v>
      </c>
      <c r="AO62" s="204">
        <f t="shared" si="94"/>
        <v>0</v>
      </c>
      <c r="AP62" s="204">
        <f t="shared" si="94"/>
        <v>0</v>
      </c>
      <c r="AQ62" s="204">
        <f t="shared" si="94"/>
        <v>0</v>
      </c>
      <c r="AR62" s="204">
        <f t="shared" si="94"/>
        <v>0</v>
      </c>
      <c r="AS62" s="204">
        <f t="shared" si="94"/>
        <v>0</v>
      </c>
      <c r="AT62" s="204">
        <f t="shared" si="94"/>
        <v>0</v>
      </c>
      <c r="AU62" s="204">
        <f t="shared" si="94"/>
        <v>0</v>
      </c>
      <c r="AV62" s="204">
        <f t="shared" si="94"/>
        <v>0</v>
      </c>
      <c r="AW62" s="204">
        <f t="shared" si="94"/>
        <v>0</v>
      </c>
      <c r="AX62" s="204">
        <f t="shared" si="94"/>
        <v>0</v>
      </c>
      <c r="AY62" s="204">
        <f t="shared" si="94"/>
        <v>0</v>
      </c>
      <c r="AZ62" s="204">
        <f t="shared" si="94"/>
        <v>0</v>
      </c>
      <c r="BA62" s="204">
        <f t="shared" si="94"/>
        <v>0</v>
      </c>
      <c r="BB62" s="204">
        <f t="shared" si="94"/>
        <v>0</v>
      </c>
      <c r="BC62" s="204">
        <f t="shared" si="94"/>
        <v>0</v>
      </c>
      <c r="BD62" s="204">
        <f t="shared" si="94"/>
        <v>0</v>
      </c>
      <c r="BE62" s="204">
        <f t="shared" si="94"/>
        <v>0</v>
      </c>
      <c r="BF62" s="204">
        <f t="shared" si="94"/>
        <v>0</v>
      </c>
      <c r="BG62" s="204">
        <f t="shared" si="94"/>
        <v>0</v>
      </c>
      <c r="BH62" s="204">
        <f t="shared" si="94"/>
        <v>0</v>
      </c>
      <c r="BI62" s="204">
        <f t="shared" si="94"/>
        <v>0</v>
      </c>
      <c r="BJ62" s="204">
        <f t="shared" si="94"/>
        <v>0</v>
      </c>
      <c r="BK62" s="204">
        <f t="shared" si="94"/>
        <v>0</v>
      </c>
      <c r="BL62" s="204">
        <f t="shared" si="94"/>
        <v>0</v>
      </c>
      <c r="BM62" s="204">
        <f t="shared" si="94"/>
        <v>0</v>
      </c>
      <c r="BN62" s="204">
        <f t="shared" si="94"/>
        <v>0</v>
      </c>
      <c r="BO62" s="204">
        <f t="shared" si="94"/>
        <v>0</v>
      </c>
      <c r="BP62" s="204">
        <f t="shared" si="94"/>
        <v>0</v>
      </c>
      <c r="BQ62" s="204">
        <f t="shared" si="94"/>
        <v>0</v>
      </c>
      <c r="BR62" s="204">
        <f t="shared" ref="BR62:DA62" si="95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95"/>
        <v>0</v>
      </c>
      <c r="BT62" s="204">
        <f t="shared" si="95"/>
        <v>0</v>
      </c>
      <c r="BU62" s="204">
        <f t="shared" si="95"/>
        <v>0</v>
      </c>
      <c r="BV62" s="204">
        <f t="shared" si="95"/>
        <v>0</v>
      </c>
      <c r="BW62" s="204">
        <f t="shared" si="95"/>
        <v>0</v>
      </c>
      <c r="BX62" s="204">
        <f t="shared" si="95"/>
        <v>0</v>
      </c>
      <c r="BY62" s="204">
        <f t="shared" si="95"/>
        <v>0</v>
      </c>
      <c r="BZ62" s="204">
        <f t="shared" si="95"/>
        <v>0</v>
      </c>
      <c r="CA62" s="204">
        <f t="shared" si="95"/>
        <v>0</v>
      </c>
      <c r="CB62" s="204">
        <f t="shared" si="95"/>
        <v>0</v>
      </c>
      <c r="CC62" s="204">
        <f t="shared" si="95"/>
        <v>0</v>
      </c>
      <c r="CD62" s="204">
        <f t="shared" si="95"/>
        <v>0</v>
      </c>
      <c r="CE62" s="204">
        <f t="shared" si="95"/>
        <v>0</v>
      </c>
      <c r="CF62" s="204">
        <f t="shared" si="95"/>
        <v>0</v>
      </c>
      <c r="CG62" s="204">
        <f t="shared" si="95"/>
        <v>0</v>
      </c>
      <c r="CH62" s="204">
        <f t="shared" si="95"/>
        <v>0</v>
      </c>
      <c r="CI62" s="204">
        <f t="shared" si="95"/>
        <v>0</v>
      </c>
      <c r="CJ62" s="204">
        <f t="shared" si="95"/>
        <v>0</v>
      </c>
      <c r="CK62" s="204">
        <f t="shared" si="95"/>
        <v>0</v>
      </c>
      <c r="CL62" s="204">
        <f t="shared" si="95"/>
        <v>0</v>
      </c>
      <c r="CM62" s="204">
        <f t="shared" si="95"/>
        <v>0</v>
      </c>
      <c r="CN62" s="204">
        <f t="shared" si="95"/>
        <v>0</v>
      </c>
      <c r="CO62" s="204">
        <f t="shared" si="95"/>
        <v>0</v>
      </c>
      <c r="CP62" s="204">
        <f t="shared" si="95"/>
        <v>0</v>
      </c>
      <c r="CQ62" s="204">
        <f t="shared" si="95"/>
        <v>0</v>
      </c>
      <c r="CR62" s="204">
        <f t="shared" si="95"/>
        <v>0</v>
      </c>
      <c r="CS62" s="204">
        <f t="shared" si="95"/>
        <v>0</v>
      </c>
      <c r="CT62" s="204">
        <f t="shared" si="95"/>
        <v>0</v>
      </c>
      <c r="CU62" s="204">
        <f t="shared" si="95"/>
        <v>0</v>
      </c>
      <c r="CV62" s="204">
        <f t="shared" si="95"/>
        <v>0</v>
      </c>
      <c r="CW62" s="204">
        <f t="shared" si="95"/>
        <v>0</v>
      </c>
      <c r="CX62" s="204">
        <f t="shared" si="95"/>
        <v>0</v>
      </c>
      <c r="CY62" s="204">
        <f t="shared" si="95"/>
        <v>0</v>
      </c>
      <c r="CZ62" s="204">
        <f t="shared" si="95"/>
        <v>0</v>
      </c>
      <c r="DA62" s="204">
        <f t="shared" si="95"/>
        <v>0</v>
      </c>
    </row>
    <row r="63" spans="1:105" s="204" customFormat="1">
      <c r="A63" s="204" t="str">
        <f>Income!A76</f>
        <v>Animals sold</v>
      </c>
      <c r="F63" s="204">
        <f t="shared" ref="F63:BQ63" si="96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3045.4403600511423</v>
      </c>
      <c r="G63" s="204">
        <f t="shared" si="96"/>
        <v>3045.4403600511423</v>
      </c>
      <c r="H63" s="204">
        <f t="shared" si="96"/>
        <v>3045.4403600511423</v>
      </c>
      <c r="I63" s="204">
        <f t="shared" si="96"/>
        <v>3045.4403600511423</v>
      </c>
      <c r="J63" s="204">
        <f t="shared" si="96"/>
        <v>3045.4403600511423</v>
      </c>
      <c r="K63" s="204">
        <f t="shared" si="96"/>
        <v>3045.4403600511423</v>
      </c>
      <c r="L63" s="204">
        <f t="shared" ref="L63:L69" si="97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3045.4403600511423</v>
      </c>
      <c r="M63" s="204">
        <f t="shared" si="96"/>
        <v>3045.4403600511423</v>
      </c>
      <c r="N63" s="204">
        <f t="shared" si="96"/>
        <v>3045.4403600511423</v>
      </c>
      <c r="O63" s="204">
        <f t="shared" si="96"/>
        <v>3045.4403600511423</v>
      </c>
      <c r="P63" s="204">
        <f t="shared" si="96"/>
        <v>3045.4403600511423</v>
      </c>
      <c r="Q63" s="204">
        <f t="shared" si="96"/>
        <v>3045.4403600511423</v>
      </c>
      <c r="R63" s="204">
        <f t="shared" si="96"/>
        <v>3045.4403600511423</v>
      </c>
      <c r="S63" s="204">
        <f t="shared" si="96"/>
        <v>3045.4403600511423</v>
      </c>
      <c r="T63" s="204">
        <f t="shared" si="96"/>
        <v>3045.4403600511423</v>
      </c>
      <c r="U63" s="204">
        <f t="shared" si="96"/>
        <v>3045.4403600511423</v>
      </c>
      <c r="V63" s="204">
        <f t="shared" si="96"/>
        <v>3045.4403600511423</v>
      </c>
      <c r="W63" s="204">
        <f t="shared" si="96"/>
        <v>3045.4403600511423</v>
      </c>
      <c r="X63" s="204">
        <f t="shared" si="96"/>
        <v>3045.4403600511423</v>
      </c>
      <c r="Y63" s="204">
        <f t="shared" si="96"/>
        <v>3045.4403600511423</v>
      </c>
      <c r="Z63" s="204">
        <f t="shared" si="96"/>
        <v>3093.4066427018624</v>
      </c>
      <c r="AA63" s="204">
        <f t="shared" si="96"/>
        <v>3285.271773304743</v>
      </c>
      <c r="AB63" s="204">
        <f t="shared" si="96"/>
        <v>3477.1369039076239</v>
      </c>
      <c r="AC63" s="204">
        <f t="shared" si="96"/>
        <v>3669.0020345105045</v>
      </c>
      <c r="AD63" s="204">
        <f t="shared" si="96"/>
        <v>3860.8671651133855</v>
      </c>
      <c r="AE63" s="204">
        <f t="shared" si="96"/>
        <v>4052.732295716266</v>
      </c>
      <c r="AF63" s="204">
        <f t="shared" si="96"/>
        <v>4244.5974263191465</v>
      </c>
      <c r="AG63" s="204">
        <f t="shared" si="96"/>
        <v>4436.462556922027</v>
      </c>
      <c r="AH63" s="204">
        <f t="shared" si="96"/>
        <v>4628.3276875249085</v>
      </c>
      <c r="AI63" s="204">
        <f t="shared" si="96"/>
        <v>4820.192818127789</v>
      </c>
      <c r="AJ63" s="204">
        <f t="shared" si="96"/>
        <v>5012.0579487306695</v>
      </c>
      <c r="AK63" s="204">
        <f t="shared" si="96"/>
        <v>5203.92307933355</v>
      </c>
      <c r="AL63" s="204">
        <f t="shared" si="96"/>
        <v>5395.7882099364306</v>
      </c>
      <c r="AM63" s="204">
        <f t="shared" si="96"/>
        <v>5587.6533405393111</v>
      </c>
      <c r="AN63" s="204">
        <f t="shared" si="96"/>
        <v>5779.5184711421916</v>
      </c>
      <c r="AO63" s="204">
        <f t="shared" si="96"/>
        <v>5971.3836017450731</v>
      </c>
      <c r="AP63" s="204">
        <f t="shared" si="96"/>
        <v>6163.2487323479536</v>
      </c>
      <c r="AQ63" s="204">
        <f t="shared" si="96"/>
        <v>6355.1138629508341</v>
      </c>
      <c r="AR63" s="204">
        <f t="shared" si="96"/>
        <v>6546.9789935537156</v>
      </c>
      <c r="AS63" s="204">
        <f t="shared" si="96"/>
        <v>6738.8441241565961</v>
      </c>
      <c r="AT63" s="204">
        <f t="shared" si="96"/>
        <v>6930.7092547594766</v>
      </c>
      <c r="AU63" s="204">
        <f t="shared" si="96"/>
        <v>7122.5743853623571</v>
      </c>
      <c r="AV63" s="204">
        <f t="shared" si="96"/>
        <v>7314.4395159652377</v>
      </c>
      <c r="AW63" s="204">
        <f t="shared" si="96"/>
        <v>7506.3046465681182</v>
      </c>
      <c r="AX63" s="204">
        <f t="shared" si="96"/>
        <v>7698.1697771709996</v>
      </c>
      <c r="AY63" s="204">
        <f t="shared" si="96"/>
        <v>7890.0349077738801</v>
      </c>
      <c r="AZ63" s="204">
        <f t="shared" si="96"/>
        <v>8081.9000383767607</v>
      </c>
      <c r="BA63" s="204">
        <f t="shared" si="96"/>
        <v>8273.7651689796403</v>
      </c>
      <c r="BB63" s="204">
        <f t="shared" si="96"/>
        <v>8465.6302995825208</v>
      </c>
      <c r="BC63" s="204">
        <f t="shared" si="96"/>
        <v>8657.4954301854013</v>
      </c>
      <c r="BD63" s="204">
        <f t="shared" si="96"/>
        <v>8849.3605607882837</v>
      </c>
      <c r="BE63" s="204">
        <f t="shared" si="96"/>
        <v>9041.2256913911642</v>
      </c>
      <c r="BF63" s="204">
        <f t="shared" si="96"/>
        <v>9233.0908219940447</v>
      </c>
      <c r="BG63" s="204">
        <f t="shared" si="96"/>
        <v>9424.9559525969253</v>
      </c>
      <c r="BH63" s="204">
        <f t="shared" si="96"/>
        <v>9616.8210831998058</v>
      </c>
      <c r="BI63" s="204">
        <f t="shared" si="96"/>
        <v>9808.6862138026881</v>
      </c>
      <c r="BJ63" s="204">
        <f t="shared" si="96"/>
        <v>10000.551344405569</v>
      </c>
      <c r="BK63" s="204">
        <f t="shared" si="96"/>
        <v>10400.974833562939</v>
      </c>
      <c r="BL63" s="204">
        <f t="shared" si="96"/>
        <v>10870.91777557181</v>
      </c>
      <c r="BM63" s="204">
        <f t="shared" si="96"/>
        <v>11340.860717580679</v>
      </c>
      <c r="BN63" s="204">
        <f t="shared" si="96"/>
        <v>11810.803659589548</v>
      </c>
      <c r="BO63" s="204">
        <f t="shared" si="96"/>
        <v>12280.746601598417</v>
      </c>
      <c r="BP63" s="204">
        <f t="shared" si="96"/>
        <v>12750.689543607286</v>
      </c>
      <c r="BQ63" s="204">
        <f t="shared" si="96"/>
        <v>13220.632485616155</v>
      </c>
      <c r="BR63" s="204">
        <f t="shared" ref="BR63:DA63" si="98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13690.575427625026</v>
      </c>
      <c r="BS63" s="204">
        <f t="shared" si="98"/>
        <v>14160.518369633895</v>
      </c>
      <c r="BT63" s="204">
        <f t="shared" si="98"/>
        <v>14630.461311642764</v>
      </c>
      <c r="BU63" s="204">
        <f t="shared" si="98"/>
        <v>15100.404253651635</v>
      </c>
      <c r="BV63" s="204">
        <f t="shared" si="98"/>
        <v>15570.347195660503</v>
      </c>
      <c r="BW63" s="204">
        <f t="shared" si="98"/>
        <v>16040.290137669374</v>
      </c>
      <c r="BX63" s="204">
        <f t="shared" si="98"/>
        <v>16510.233079678241</v>
      </c>
      <c r="BY63" s="204">
        <f t="shared" si="98"/>
        <v>16980.176021687112</v>
      </c>
      <c r="BZ63" s="204">
        <f t="shared" si="98"/>
        <v>17450.118963695983</v>
      </c>
      <c r="CA63" s="204">
        <f t="shared" si="98"/>
        <v>17920.06190570485</v>
      </c>
      <c r="CB63" s="204">
        <f t="shared" si="98"/>
        <v>18390.004847713721</v>
      </c>
      <c r="CC63" s="204">
        <f t="shared" si="98"/>
        <v>18859.947789722588</v>
      </c>
      <c r="CD63" s="204">
        <f t="shared" si="98"/>
        <v>19329.890731731459</v>
      </c>
      <c r="CE63" s="204">
        <f t="shared" si="98"/>
        <v>19799.83367374033</v>
      </c>
      <c r="CF63" s="204">
        <f t="shared" si="98"/>
        <v>20269.776615749197</v>
      </c>
      <c r="CG63" s="204">
        <f t="shared" si="98"/>
        <v>20739.719557758068</v>
      </c>
      <c r="CH63" s="204">
        <f t="shared" si="98"/>
        <v>21209.662499766935</v>
      </c>
      <c r="CI63" s="204">
        <f t="shared" si="98"/>
        <v>21679.605441775806</v>
      </c>
      <c r="CJ63" s="204">
        <f t="shared" si="98"/>
        <v>22326.403185017585</v>
      </c>
      <c r="CK63" s="204">
        <f t="shared" si="98"/>
        <v>23032.152528670336</v>
      </c>
      <c r="CL63" s="204">
        <f t="shared" si="98"/>
        <v>23737.901872323087</v>
      </c>
      <c r="CM63" s="204">
        <f t="shared" si="98"/>
        <v>24443.651215975839</v>
      </c>
      <c r="CN63" s="204">
        <f t="shared" si="98"/>
        <v>25149.40055962859</v>
      </c>
      <c r="CO63" s="204">
        <f t="shared" si="98"/>
        <v>25855.149903281341</v>
      </c>
      <c r="CP63" s="204">
        <f t="shared" si="98"/>
        <v>26560.899246934092</v>
      </c>
      <c r="CQ63" s="204">
        <f t="shared" si="98"/>
        <v>27266.648590586843</v>
      </c>
      <c r="CR63" s="204">
        <f t="shared" si="98"/>
        <v>27972.397934239594</v>
      </c>
      <c r="CS63" s="204">
        <f t="shared" si="98"/>
        <v>28678.147277892345</v>
      </c>
      <c r="CT63" s="204">
        <f t="shared" si="98"/>
        <v>29383.896621545096</v>
      </c>
      <c r="CU63" s="204">
        <f t="shared" si="98"/>
        <v>30089.645965197848</v>
      </c>
      <c r="CV63" s="204">
        <f t="shared" si="98"/>
        <v>30795.395308850595</v>
      </c>
      <c r="CW63" s="204">
        <f t="shared" si="98"/>
        <v>31324.70731659016</v>
      </c>
      <c r="CX63" s="204">
        <f t="shared" si="98"/>
        <v>31324.70731659016</v>
      </c>
      <c r="CY63" s="204">
        <f t="shared" si="98"/>
        <v>31324.70731659016</v>
      </c>
      <c r="CZ63" s="204">
        <f t="shared" si="98"/>
        <v>31324.70731659016</v>
      </c>
      <c r="DA63" s="204">
        <f t="shared" si="98"/>
        <v>31324.70731659016</v>
      </c>
    </row>
    <row r="64" spans="1:105" s="204" customFormat="1">
      <c r="A64" s="204" t="str">
        <f>Income!A77</f>
        <v>Wild foods consumed and sold</v>
      </c>
      <c r="F64" s="204">
        <f t="shared" ref="F64:BQ64" si="99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9"/>
        <v>0</v>
      </c>
      <c r="H64" s="204">
        <f t="shared" si="99"/>
        <v>0</v>
      </c>
      <c r="I64" s="204">
        <f t="shared" si="99"/>
        <v>0</v>
      </c>
      <c r="J64" s="204">
        <f t="shared" si="99"/>
        <v>0</v>
      </c>
      <c r="K64" s="204">
        <f t="shared" si="99"/>
        <v>0</v>
      </c>
      <c r="L64" s="204">
        <f t="shared" si="97"/>
        <v>0</v>
      </c>
      <c r="M64" s="204">
        <f t="shared" si="99"/>
        <v>0</v>
      </c>
      <c r="N64" s="204">
        <f t="shared" si="99"/>
        <v>0</v>
      </c>
      <c r="O64" s="204">
        <f t="shared" si="99"/>
        <v>0</v>
      </c>
      <c r="P64" s="204">
        <f t="shared" si="99"/>
        <v>0</v>
      </c>
      <c r="Q64" s="204">
        <f t="shared" si="99"/>
        <v>0</v>
      </c>
      <c r="R64" s="204">
        <f t="shared" si="99"/>
        <v>0</v>
      </c>
      <c r="S64" s="204">
        <f t="shared" si="99"/>
        <v>0</v>
      </c>
      <c r="T64" s="204">
        <f t="shared" si="99"/>
        <v>0</v>
      </c>
      <c r="U64" s="204">
        <f t="shared" si="99"/>
        <v>0</v>
      </c>
      <c r="V64" s="204">
        <f t="shared" si="99"/>
        <v>0</v>
      </c>
      <c r="W64" s="204">
        <f t="shared" si="99"/>
        <v>0</v>
      </c>
      <c r="X64" s="204">
        <f t="shared" si="99"/>
        <v>0</v>
      </c>
      <c r="Y64" s="204">
        <f t="shared" si="99"/>
        <v>0</v>
      </c>
      <c r="Z64" s="204">
        <f t="shared" si="99"/>
        <v>0.83019212022481648</v>
      </c>
      <c r="AA64" s="204">
        <f t="shared" si="99"/>
        <v>4.1509606011240825</v>
      </c>
      <c r="AB64" s="204">
        <f t="shared" si="99"/>
        <v>7.471729082023348</v>
      </c>
      <c r="AC64" s="204">
        <f t="shared" si="99"/>
        <v>10.792497562922614</v>
      </c>
      <c r="AD64" s="204">
        <f t="shared" si="99"/>
        <v>14.113266043821881</v>
      </c>
      <c r="AE64" s="204">
        <f t="shared" si="99"/>
        <v>17.434034524721145</v>
      </c>
      <c r="AF64" s="204">
        <f t="shared" si="99"/>
        <v>20.754803005620413</v>
      </c>
      <c r="AG64" s="204">
        <f t="shared" si="99"/>
        <v>24.075571486519678</v>
      </c>
      <c r="AH64" s="204">
        <f t="shared" si="99"/>
        <v>27.396339967418943</v>
      </c>
      <c r="AI64" s="204">
        <f t="shared" si="99"/>
        <v>30.717108448318211</v>
      </c>
      <c r="AJ64" s="204">
        <f t="shared" si="99"/>
        <v>34.037876929217475</v>
      </c>
      <c r="AK64" s="204">
        <f t="shared" si="99"/>
        <v>37.358645410116743</v>
      </c>
      <c r="AL64" s="204">
        <f t="shared" si="99"/>
        <v>40.679413891016004</v>
      </c>
      <c r="AM64" s="204">
        <f t="shared" si="99"/>
        <v>44.000182371915272</v>
      </c>
      <c r="AN64" s="204">
        <f t="shared" si="99"/>
        <v>47.320950852814541</v>
      </c>
      <c r="AO64" s="204">
        <f t="shared" si="99"/>
        <v>50.641719333713802</v>
      </c>
      <c r="AP64" s="204">
        <f t="shared" si="99"/>
        <v>53.96248781461307</v>
      </c>
      <c r="AQ64" s="204">
        <f t="shared" si="99"/>
        <v>57.283256295512338</v>
      </c>
      <c r="AR64" s="204">
        <f t="shared" si="99"/>
        <v>60.604024776411606</v>
      </c>
      <c r="AS64" s="204">
        <f t="shared" si="99"/>
        <v>63.924793257310867</v>
      </c>
      <c r="AT64" s="204">
        <f t="shared" si="99"/>
        <v>67.245561738210128</v>
      </c>
      <c r="AU64" s="204">
        <f t="shared" si="99"/>
        <v>70.566330219109403</v>
      </c>
      <c r="AV64" s="204">
        <f t="shared" si="99"/>
        <v>73.887098700008664</v>
      </c>
      <c r="AW64" s="204">
        <f t="shared" si="99"/>
        <v>77.207867180907925</v>
      </c>
      <c r="AX64" s="204">
        <f t="shared" si="99"/>
        <v>80.528635661807201</v>
      </c>
      <c r="AY64" s="204">
        <f t="shared" si="99"/>
        <v>83.849404142706462</v>
      </c>
      <c r="AZ64" s="204">
        <f t="shared" si="99"/>
        <v>87.170172623605737</v>
      </c>
      <c r="BA64" s="204">
        <f t="shared" si="99"/>
        <v>90.490941104504998</v>
      </c>
      <c r="BB64" s="204">
        <f t="shared" si="99"/>
        <v>93.811709585404259</v>
      </c>
      <c r="BC64" s="204">
        <f t="shared" si="99"/>
        <v>97.132478066303534</v>
      </c>
      <c r="BD64" s="204">
        <f t="shared" si="99"/>
        <v>100.4532465472028</v>
      </c>
      <c r="BE64" s="204">
        <f t="shared" si="99"/>
        <v>103.77401502810206</v>
      </c>
      <c r="BF64" s="204">
        <f t="shared" si="99"/>
        <v>107.09478350900133</v>
      </c>
      <c r="BG64" s="204">
        <f t="shared" si="99"/>
        <v>110.41555198990059</v>
      </c>
      <c r="BH64" s="204">
        <f t="shared" si="99"/>
        <v>113.73632047079985</v>
      </c>
      <c r="BI64" s="204">
        <f t="shared" si="99"/>
        <v>117.05708895169913</v>
      </c>
      <c r="BJ64" s="204">
        <f t="shared" si="99"/>
        <v>120.37785743259839</v>
      </c>
      <c r="BK64" s="204">
        <f t="shared" si="99"/>
        <v>120.12531982119404</v>
      </c>
      <c r="BL64" s="204">
        <f t="shared" si="99"/>
        <v>118.68168017902184</v>
      </c>
      <c r="BM64" s="204">
        <f t="shared" si="99"/>
        <v>117.23804053684964</v>
      </c>
      <c r="BN64" s="204">
        <f t="shared" si="99"/>
        <v>115.79440089467744</v>
      </c>
      <c r="BO64" s="204">
        <f t="shared" si="99"/>
        <v>114.35076125250522</v>
      </c>
      <c r="BP64" s="204">
        <f t="shared" si="99"/>
        <v>112.90712161033302</v>
      </c>
      <c r="BQ64" s="204">
        <f t="shared" si="99"/>
        <v>111.46348196816082</v>
      </c>
      <c r="BR64" s="204">
        <f t="shared" ref="BR64:DA64" si="100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110.01984232598862</v>
      </c>
      <c r="BS64" s="204">
        <f t="shared" si="100"/>
        <v>108.5762026838164</v>
      </c>
      <c r="BT64" s="204">
        <f t="shared" si="100"/>
        <v>107.1325630416442</v>
      </c>
      <c r="BU64" s="204">
        <f t="shared" si="100"/>
        <v>105.688923399472</v>
      </c>
      <c r="BV64" s="204">
        <f t="shared" si="100"/>
        <v>104.2452837572998</v>
      </c>
      <c r="BW64" s="204">
        <f t="shared" si="100"/>
        <v>102.8016441151276</v>
      </c>
      <c r="BX64" s="204">
        <f t="shared" si="100"/>
        <v>101.35800447295539</v>
      </c>
      <c r="BY64" s="204">
        <f t="shared" si="100"/>
        <v>99.914364830783185</v>
      </c>
      <c r="BZ64" s="204">
        <f t="shared" si="100"/>
        <v>98.470725188610984</v>
      </c>
      <c r="CA64" s="204">
        <f t="shared" si="100"/>
        <v>97.027085546438769</v>
      </c>
      <c r="CB64" s="204">
        <f t="shared" si="100"/>
        <v>95.583445904266569</v>
      </c>
      <c r="CC64" s="204">
        <f t="shared" si="100"/>
        <v>94.139806262094368</v>
      </c>
      <c r="CD64" s="204">
        <f t="shared" si="100"/>
        <v>92.696166619922167</v>
      </c>
      <c r="CE64" s="204">
        <f t="shared" si="100"/>
        <v>91.252526977749966</v>
      </c>
      <c r="CF64" s="204">
        <f t="shared" si="100"/>
        <v>89.808887335577765</v>
      </c>
      <c r="CG64" s="204">
        <f t="shared" si="100"/>
        <v>88.36524769340555</v>
      </c>
      <c r="CH64" s="204">
        <f t="shared" si="100"/>
        <v>86.921608051233349</v>
      </c>
      <c r="CI64" s="204">
        <f t="shared" si="100"/>
        <v>85.477968409061134</v>
      </c>
      <c r="CJ64" s="204">
        <f t="shared" si="100"/>
        <v>80.388333026378191</v>
      </c>
      <c r="CK64" s="204">
        <f t="shared" si="100"/>
        <v>74.083365730191673</v>
      </c>
      <c r="CL64" s="204">
        <f t="shared" si="100"/>
        <v>67.77839843400514</v>
      </c>
      <c r="CM64" s="204">
        <f t="shared" si="100"/>
        <v>61.473431137818622</v>
      </c>
      <c r="CN64" s="204">
        <f t="shared" si="100"/>
        <v>55.168463841632096</v>
      </c>
      <c r="CO64" s="204">
        <f t="shared" si="100"/>
        <v>48.863496545445571</v>
      </c>
      <c r="CP64" s="204">
        <f t="shared" si="100"/>
        <v>42.558529249259045</v>
      </c>
      <c r="CQ64" s="204">
        <f t="shared" si="100"/>
        <v>36.25356195307252</v>
      </c>
      <c r="CR64" s="204">
        <f t="shared" si="100"/>
        <v>29.948594656885994</v>
      </c>
      <c r="CS64" s="204">
        <f t="shared" si="100"/>
        <v>23.643627360699469</v>
      </c>
      <c r="CT64" s="204">
        <f t="shared" si="100"/>
        <v>17.338660064512936</v>
      </c>
      <c r="CU64" s="204">
        <f t="shared" si="100"/>
        <v>11.033692768326418</v>
      </c>
      <c r="CV64" s="204">
        <f t="shared" si="100"/>
        <v>4.7287254721398853</v>
      </c>
      <c r="CW64" s="204">
        <f t="shared" si="100"/>
        <v>13.047499999999971</v>
      </c>
      <c r="CX64" s="204">
        <f t="shared" si="100"/>
        <v>65.237499999999855</v>
      </c>
      <c r="CY64" s="204">
        <f t="shared" si="100"/>
        <v>117.42749999999974</v>
      </c>
      <c r="CZ64" s="204">
        <f t="shared" si="100"/>
        <v>169.61749999999961</v>
      </c>
      <c r="DA64" s="204">
        <f t="shared" si="100"/>
        <v>221.80749999999949</v>
      </c>
    </row>
    <row r="65" spans="1:105" s="204" customFormat="1">
      <c r="A65" s="204" t="str">
        <f>Income!A78</f>
        <v>Labour - casual</v>
      </c>
      <c r="F65" s="204">
        <f t="shared" ref="F65:BQ65" si="101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5317.1555759881148</v>
      </c>
      <c r="G65" s="204">
        <f t="shared" si="101"/>
        <v>5317.1555759881148</v>
      </c>
      <c r="H65" s="204">
        <f t="shared" si="101"/>
        <v>5317.1555759881148</v>
      </c>
      <c r="I65" s="204">
        <f t="shared" si="101"/>
        <v>5317.1555759881148</v>
      </c>
      <c r="J65" s="204">
        <f t="shared" si="101"/>
        <v>5317.1555759881148</v>
      </c>
      <c r="K65" s="204">
        <f t="shared" si="101"/>
        <v>5317.1555759881148</v>
      </c>
      <c r="L65" s="204">
        <f t="shared" si="97"/>
        <v>5317.1555759881148</v>
      </c>
      <c r="M65" s="204">
        <f t="shared" si="101"/>
        <v>5317.1555759881148</v>
      </c>
      <c r="N65" s="204">
        <f t="shared" si="101"/>
        <v>5317.1555759881148</v>
      </c>
      <c r="O65" s="204">
        <f t="shared" si="101"/>
        <v>5317.1555759881148</v>
      </c>
      <c r="P65" s="204">
        <f t="shared" si="101"/>
        <v>5317.1555759881148</v>
      </c>
      <c r="Q65" s="204">
        <f t="shared" si="101"/>
        <v>5317.1555759881148</v>
      </c>
      <c r="R65" s="204">
        <f t="shared" si="101"/>
        <v>5317.1555759881148</v>
      </c>
      <c r="S65" s="204">
        <f t="shared" si="101"/>
        <v>5317.1555759881148</v>
      </c>
      <c r="T65" s="204">
        <f t="shared" si="101"/>
        <v>5317.1555759881148</v>
      </c>
      <c r="U65" s="204">
        <f t="shared" si="101"/>
        <v>5317.1555759881148</v>
      </c>
      <c r="V65" s="204">
        <f t="shared" si="101"/>
        <v>5317.1555759881148</v>
      </c>
      <c r="W65" s="204">
        <f t="shared" si="101"/>
        <v>5317.1555759881148</v>
      </c>
      <c r="X65" s="204">
        <f t="shared" si="101"/>
        <v>5317.1555759881148</v>
      </c>
      <c r="Y65" s="204">
        <f t="shared" si="101"/>
        <v>5317.1555759881148</v>
      </c>
      <c r="Z65" s="204">
        <f t="shared" si="101"/>
        <v>5297.7049783431694</v>
      </c>
      <c r="AA65" s="204">
        <f t="shared" si="101"/>
        <v>5219.9025877633885</v>
      </c>
      <c r="AB65" s="204">
        <f t="shared" si="101"/>
        <v>5142.1001971836076</v>
      </c>
      <c r="AC65" s="204">
        <f t="shared" si="101"/>
        <v>5064.2978066038268</v>
      </c>
      <c r="AD65" s="204">
        <f t="shared" si="101"/>
        <v>4986.4954160240468</v>
      </c>
      <c r="AE65" s="204">
        <f t="shared" si="101"/>
        <v>4908.6930254442659</v>
      </c>
      <c r="AF65" s="204">
        <f t="shared" si="101"/>
        <v>4830.890634864485</v>
      </c>
      <c r="AG65" s="204">
        <f t="shared" si="101"/>
        <v>4753.0882442847042</v>
      </c>
      <c r="AH65" s="204">
        <f t="shared" si="101"/>
        <v>4675.2858537049233</v>
      </c>
      <c r="AI65" s="204">
        <f t="shared" si="101"/>
        <v>4597.4834631251424</v>
      </c>
      <c r="AJ65" s="204">
        <f t="shared" si="101"/>
        <v>4519.6810725453615</v>
      </c>
      <c r="AK65" s="204">
        <f t="shared" si="101"/>
        <v>4441.8786819655807</v>
      </c>
      <c r="AL65" s="204">
        <f t="shared" si="101"/>
        <v>4364.0762913857998</v>
      </c>
      <c r="AM65" s="204">
        <f t="shared" si="101"/>
        <v>4286.2739008060189</v>
      </c>
      <c r="AN65" s="204">
        <f t="shared" si="101"/>
        <v>4208.471510226238</v>
      </c>
      <c r="AO65" s="204">
        <f t="shared" si="101"/>
        <v>4130.6691196464571</v>
      </c>
      <c r="AP65" s="204">
        <f t="shared" si="101"/>
        <v>4052.8667290666763</v>
      </c>
      <c r="AQ65" s="204">
        <f t="shared" si="101"/>
        <v>3975.0643384868954</v>
      </c>
      <c r="AR65" s="204">
        <f t="shared" si="101"/>
        <v>3897.261947907115</v>
      </c>
      <c r="AS65" s="204">
        <f t="shared" si="101"/>
        <v>3819.4595573273341</v>
      </c>
      <c r="AT65" s="204">
        <f t="shared" si="101"/>
        <v>3741.6571667475532</v>
      </c>
      <c r="AU65" s="204">
        <f t="shared" si="101"/>
        <v>3663.8547761677723</v>
      </c>
      <c r="AV65" s="204">
        <f t="shared" si="101"/>
        <v>3586.0523855879919</v>
      </c>
      <c r="AW65" s="204">
        <f t="shared" si="101"/>
        <v>3508.249995008211</v>
      </c>
      <c r="AX65" s="204">
        <f t="shared" si="101"/>
        <v>3430.4476044284302</v>
      </c>
      <c r="AY65" s="204">
        <f t="shared" si="101"/>
        <v>3352.6452138486493</v>
      </c>
      <c r="AZ65" s="204">
        <f t="shared" si="101"/>
        <v>3274.8428232688684</v>
      </c>
      <c r="BA65" s="204">
        <f t="shared" si="101"/>
        <v>3197.0404326890875</v>
      </c>
      <c r="BB65" s="204">
        <f t="shared" si="101"/>
        <v>3119.2380421093067</v>
      </c>
      <c r="BC65" s="204">
        <f t="shared" si="101"/>
        <v>3041.4356515295258</v>
      </c>
      <c r="BD65" s="204">
        <f t="shared" si="101"/>
        <v>2963.6332609497449</v>
      </c>
      <c r="BE65" s="204">
        <f t="shared" si="101"/>
        <v>2885.830870369964</v>
      </c>
      <c r="BF65" s="204">
        <f t="shared" si="101"/>
        <v>2808.0284797901836</v>
      </c>
      <c r="BG65" s="204">
        <f t="shared" si="101"/>
        <v>2730.2260892104027</v>
      </c>
      <c r="BH65" s="204">
        <f t="shared" si="101"/>
        <v>2652.4236986306219</v>
      </c>
      <c r="BI65" s="204">
        <f t="shared" si="101"/>
        <v>2574.621308050841</v>
      </c>
      <c r="BJ65" s="204">
        <f t="shared" si="101"/>
        <v>2496.8189174710601</v>
      </c>
      <c r="BK65" s="204">
        <f t="shared" si="101"/>
        <v>4191.8150107150504</v>
      </c>
      <c r="BL65" s="204">
        <f t="shared" si="101"/>
        <v>6477.7439319002988</v>
      </c>
      <c r="BM65" s="204">
        <f t="shared" si="101"/>
        <v>8763.6728530855471</v>
      </c>
      <c r="BN65" s="204">
        <f t="shared" si="101"/>
        <v>11049.601774270795</v>
      </c>
      <c r="BO65" s="204">
        <f t="shared" si="101"/>
        <v>13335.530695456042</v>
      </c>
      <c r="BP65" s="204">
        <f t="shared" si="101"/>
        <v>15621.45961664129</v>
      </c>
      <c r="BQ65" s="204">
        <f t="shared" si="101"/>
        <v>17907.388537826537</v>
      </c>
      <c r="BR65" s="204">
        <f t="shared" ref="BR65:DA65" si="102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20193.317459011785</v>
      </c>
      <c r="BS65" s="204">
        <f t="shared" si="102"/>
        <v>22479.246380197033</v>
      </c>
      <c r="BT65" s="204">
        <f t="shared" si="102"/>
        <v>24765.175301382282</v>
      </c>
      <c r="BU65" s="204">
        <f t="shared" si="102"/>
        <v>27051.104222567526</v>
      </c>
      <c r="BV65" s="204">
        <f t="shared" si="102"/>
        <v>29337.033143752775</v>
      </c>
      <c r="BW65" s="204">
        <f t="shared" si="102"/>
        <v>31622.962064938023</v>
      </c>
      <c r="BX65" s="204">
        <f t="shared" si="102"/>
        <v>33908.890986123275</v>
      </c>
      <c r="BY65" s="204">
        <f t="shared" si="102"/>
        <v>36194.81990730852</v>
      </c>
      <c r="BZ65" s="204">
        <f t="shared" si="102"/>
        <v>38480.748828493764</v>
      </c>
      <c r="CA65" s="204">
        <f t="shared" si="102"/>
        <v>40766.677749679016</v>
      </c>
      <c r="CB65" s="204">
        <f t="shared" si="102"/>
        <v>43052.606670864261</v>
      </c>
      <c r="CC65" s="204">
        <f t="shared" si="102"/>
        <v>45338.535592049513</v>
      </c>
      <c r="CD65" s="204">
        <f t="shared" si="102"/>
        <v>47624.464513234758</v>
      </c>
      <c r="CE65" s="204">
        <f t="shared" si="102"/>
        <v>49910.39343442001</v>
      </c>
      <c r="CF65" s="204">
        <f t="shared" si="102"/>
        <v>52196.322355605254</v>
      </c>
      <c r="CG65" s="204">
        <f t="shared" si="102"/>
        <v>54482.251276790499</v>
      </c>
      <c r="CH65" s="204">
        <f t="shared" si="102"/>
        <v>56768.180197975751</v>
      </c>
      <c r="CI65" s="204">
        <f t="shared" si="102"/>
        <v>59054.109119160996</v>
      </c>
      <c r="CJ65" s="204">
        <f t="shared" si="102"/>
        <v>56313.05849670968</v>
      </c>
      <c r="CK65" s="204">
        <f t="shared" si="102"/>
        <v>51896.348026379514</v>
      </c>
      <c r="CL65" s="204">
        <f t="shared" si="102"/>
        <v>47479.63755604934</v>
      </c>
      <c r="CM65" s="204">
        <f t="shared" si="102"/>
        <v>43062.927085719173</v>
      </c>
      <c r="CN65" s="204">
        <f t="shared" si="102"/>
        <v>38646.216615388999</v>
      </c>
      <c r="CO65" s="204">
        <f t="shared" si="102"/>
        <v>34229.506145058825</v>
      </c>
      <c r="CP65" s="204">
        <f t="shared" si="102"/>
        <v>29812.795674728655</v>
      </c>
      <c r="CQ65" s="204">
        <f t="shared" si="102"/>
        <v>25396.085204398485</v>
      </c>
      <c r="CR65" s="204">
        <f t="shared" si="102"/>
        <v>20979.374734068311</v>
      </c>
      <c r="CS65" s="204">
        <f t="shared" si="102"/>
        <v>16562.664263738145</v>
      </c>
      <c r="CT65" s="204">
        <f t="shared" si="102"/>
        <v>12145.953793407971</v>
      </c>
      <c r="CU65" s="204">
        <f t="shared" si="102"/>
        <v>7729.243323077797</v>
      </c>
      <c r="CV65" s="204">
        <f t="shared" si="102"/>
        <v>3312.5328527476304</v>
      </c>
      <c r="CW65" s="204">
        <f t="shared" si="102"/>
        <v>0</v>
      </c>
      <c r="CX65" s="204">
        <f t="shared" si="102"/>
        <v>0</v>
      </c>
      <c r="CY65" s="204">
        <f t="shared" si="102"/>
        <v>0</v>
      </c>
      <c r="CZ65" s="204">
        <f t="shared" si="102"/>
        <v>0</v>
      </c>
      <c r="DA65" s="204">
        <f t="shared" si="102"/>
        <v>0</v>
      </c>
    </row>
    <row r="66" spans="1:105" s="204" customFormat="1">
      <c r="A66" s="204" t="str">
        <f>Income!A79</f>
        <v>Labour - formal emp</v>
      </c>
      <c r="F66" s="204">
        <f t="shared" ref="F66:BQ66" si="103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103"/>
        <v>0</v>
      </c>
      <c r="H66" s="204">
        <f t="shared" si="103"/>
        <v>0</v>
      </c>
      <c r="I66" s="204">
        <f t="shared" si="103"/>
        <v>0</v>
      </c>
      <c r="J66" s="204">
        <f t="shared" si="103"/>
        <v>0</v>
      </c>
      <c r="K66" s="204">
        <f t="shared" si="103"/>
        <v>0</v>
      </c>
      <c r="L66" s="204">
        <f t="shared" si="97"/>
        <v>0</v>
      </c>
      <c r="M66" s="204">
        <f t="shared" si="103"/>
        <v>0</v>
      </c>
      <c r="N66" s="204">
        <f t="shared" si="103"/>
        <v>0</v>
      </c>
      <c r="O66" s="204">
        <f t="shared" si="103"/>
        <v>0</v>
      </c>
      <c r="P66" s="204">
        <f t="shared" si="103"/>
        <v>0</v>
      </c>
      <c r="Q66" s="204">
        <f t="shared" si="103"/>
        <v>0</v>
      </c>
      <c r="R66" s="204">
        <f t="shared" si="103"/>
        <v>0</v>
      </c>
      <c r="S66" s="204">
        <f t="shared" si="103"/>
        <v>0</v>
      </c>
      <c r="T66" s="204">
        <f t="shared" si="103"/>
        <v>0</v>
      </c>
      <c r="U66" s="204">
        <f t="shared" si="103"/>
        <v>0</v>
      </c>
      <c r="V66" s="204">
        <f t="shared" si="103"/>
        <v>0</v>
      </c>
      <c r="W66" s="204">
        <f t="shared" si="103"/>
        <v>0</v>
      </c>
      <c r="X66" s="204">
        <f t="shared" si="103"/>
        <v>0</v>
      </c>
      <c r="Y66" s="204">
        <f t="shared" si="103"/>
        <v>0</v>
      </c>
      <c r="Z66" s="204">
        <f t="shared" si="103"/>
        <v>0</v>
      </c>
      <c r="AA66" s="204">
        <f t="shared" si="103"/>
        <v>0</v>
      </c>
      <c r="AB66" s="204">
        <f t="shared" si="103"/>
        <v>0</v>
      </c>
      <c r="AC66" s="204">
        <f t="shared" si="103"/>
        <v>0</v>
      </c>
      <c r="AD66" s="204">
        <f t="shared" si="103"/>
        <v>0</v>
      </c>
      <c r="AE66" s="204">
        <f t="shared" si="103"/>
        <v>0</v>
      </c>
      <c r="AF66" s="204">
        <f t="shared" si="103"/>
        <v>0</v>
      </c>
      <c r="AG66" s="204">
        <f t="shared" si="103"/>
        <v>0</v>
      </c>
      <c r="AH66" s="204">
        <f t="shared" si="103"/>
        <v>0</v>
      </c>
      <c r="AI66" s="204">
        <f t="shared" si="103"/>
        <v>0</v>
      </c>
      <c r="AJ66" s="204">
        <f t="shared" si="103"/>
        <v>0</v>
      </c>
      <c r="AK66" s="204">
        <f t="shared" si="103"/>
        <v>0</v>
      </c>
      <c r="AL66" s="204">
        <f t="shared" si="103"/>
        <v>0</v>
      </c>
      <c r="AM66" s="204">
        <f t="shared" si="103"/>
        <v>0</v>
      </c>
      <c r="AN66" s="204">
        <f t="shared" si="103"/>
        <v>0</v>
      </c>
      <c r="AO66" s="204">
        <f t="shared" si="103"/>
        <v>0</v>
      </c>
      <c r="AP66" s="204">
        <f t="shared" si="103"/>
        <v>0</v>
      </c>
      <c r="AQ66" s="204">
        <f t="shared" si="103"/>
        <v>0</v>
      </c>
      <c r="AR66" s="204">
        <f t="shared" si="103"/>
        <v>0</v>
      </c>
      <c r="AS66" s="204">
        <f t="shared" si="103"/>
        <v>0</v>
      </c>
      <c r="AT66" s="204">
        <f t="shared" si="103"/>
        <v>0</v>
      </c>
      <c r="AU66" s="204">
        <f t="shared" si="103"/>
        <v>0</v>
      </c>
      <c r="AV66" s="204">
        <f t="shared" si="103"/>
        <v>0</v>
      </c>
      <c r="AW66" s="204">
        <f t="shared" si="103"/>
        <v>0</v>
      </c>
      <c r="AX66" s="204">
        <f t="shared" si="103"/>
        <v>0</v>
      </c>
      <c r="AY66" s="204">
        <f t="shared" si="103"/>
        <v>0</v>
      </c>
      <c r="AZ66" s="204">
        <f t="shared" si="103"/>
        <v>0</v>
      </c>
      <c r="BA66" s="204">
        <f t="shared" si="103"/>
        <v>0</v>
      </c>
      <c r="BB66" s="204">
        <f t="shared" si="103"/>
        <v>0</v>
      </c>
      <c r="BC66" s="204">
        <f t="shared" si="103"/>
        <v>0</v>
      </c>
      <c r="BD66" s="204">
        <f t="shared" si="103"/>
        <v>0</v>
      </c>
      <c r="BE66" s="204">
        <f t="shared" si="103"/>
        <v>0</v>
      </c>
      <c r="BF66" s="204">
        <f t="shared" si="103"/>
        <v>0</v>
      </c>
      <c r="BG66" s="204">
        <f t="shared" si="103"/>
        <v>0</v>
      </c>
      <c r="BH66" s="204">
        <f t="shared" si="103"/>
        <v>0</v>
      </c>
      <c r="BI66" s="204">
        <f t="shared" si="103"/>
        <v>0</v>
      </c>
      <c r="BJ66" s="204">
        <f t="shared" si="103"/>
        <v>0</v>
      </c>
      <c r="BK66" s="204">
        <f t="shared" si="103"/>
        <v>846.28964325715583</v>
      </c>
      <c r="BL66" s="204">
        <f t="shared" si="103"/>
        <v>1974.6758342666969</v>
      </c>
      <c r="BM66" s="204">
        <f t="shared" si="103"/>
        <v>3103.0620252762383</v>
      </c>
      <c r="BN66" s="204">
        <f t="shared" si="103"/>
        <v>4231.4482162857794</v>
      </c>
      <c r="BO66" s="204">
        <f t="shared" si="103"/>
        <v>5359.8344072953205</v>
      </c>
      <c r="BP66" s="204">
        <f t="shared" si="103"/>
        <v>6488.2205983048616</v>
      </c>
      <c r="BQ66" s="204">
        <f t="shared" si="103"/>
        <v>7616.6067893144027</v>
      </c>
      <c r="BR66" s="204">
        <f t="shared" ref="BR66:DA66" si="104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8744.9929803239429</v>
      </c>
      <c r="BS66" s="204">
        <f t="shared" si="104"/>
        <v>9873.3791713334849</v>
      </c>
      <c r="BT66" s="204">
        <f t="shared" si="104"/>
        <v>11001.765362343025</v>
      </c>
      <c r="BU66" s="204">
        <f t="shared" si="104"/>
        <v>12130.151553352567</v>
      </c>
      <c r="BV66" s="204">
        <f t="shared" si="104"/>
        <v>13258.537744362107</v>
      </c>
      <c r="BW66" s="204">
        <f t="shared" si="104"/>
        <v>14386.923935371649</v>
      </c>
      <c r="BX66" s="204">
        <f t="shared" si="104"/>
        <v>15515.31012638119</v>
      </c>
      <c r="BY66" s="204">
        <f t="shared" si="104"/>
        <v>16643.696317390732</v>
      </c>
      <c r="BZ66" s="204">
        <f t="shared" si="104"/>
        <v>17772.082508400272</v>
      </c>
      <c r="CA66" s="204">
        <f t="shared" si="104"/>
        <v>18900.468699409812</v>
      </c>
      <c r="CB66" s="204">
        <f t="shared" si="104"/>
        <v>20028.854890419356</v>
      </c>
      <c r="CC66" s="204">
        <f t="shared" si="104"/>
        <v>21157.241081428896</v>
      </c>
      <c r="CD66" s="204">
        <f t="shared" si="104"/>
        <v>22285.627272438436</v>
      </c>
      <c r="CE66" s="204">
        <f t="shared" si="104"/>
        <v>23414.013463447976</v>
      </c>
      <c r="CF66" s="204">
        <f t="shared" si="104"/>
        <v>24542.39965445752</v>
      </c>
      <c r="CG66" s="204">
        <f t="shared" si="104"/>
        <v>25670.78584546706</v>
      </c>
      <c r="CH66" s="204">
        <f t="shared" si="104"/>
        <v>26799.172036476601</v>
      </c>
      <c r="CI66" s="204">
        <f t="shared" si="104"/>
        <v>27927.558227486141</v>
      </c>
      <c r="CJ66" s="204">
        <f t="shared" si="104"/>
        <v>35220.710525938521</v>
      </c>
      <c r="CK66" s="204">
        <f t="shared" si="104"/>
        <v>44568.784860205174</v>
      </c>
      <c r="CL66" s="204">
        <f t="shared" si="104"/>
        <v>53916.859194471828</v>
      </c>
      <c r="CM66" s="204">
        <f t="shared" si="104"/>
        <v>63264.933528738489</v>
      </c>
      <c r="CN66" s="204">
        <f t="shared" si="104"/>
        <v>72613.007863005143</v>
      </c>
      <c r="CO66" s="204">
        <f t="shared" si="104"/>
        <v>81961.082197271797</v>
      </c>
      <c r="CP66" s="204">
        <f t="shared" si="104"/>
        <v>91309.156531538451</v>
      </c>
      <c r="CQ66" s="204">
        <f t="shared" si="104"/>
        <v>100657.2308658051</v>
      </c>
      <c r="CR66" s="204">
        <f t="shared" si="104"/>
        <v>110005.30520007176</v>
      </c>
      <c r="CS66" s="204">
        <f t="shared" si="104"/>
        <v>119353.37953433841</v>
      </c>
      <c r="CT66" s="204">
        <f t="shared" si="104"/>
        <v>128701.45386860507</v>
      </c>
      <c r="CU66" s="204">
        <f t="shared" si="104"/>
        <v>138049.52820287173</v>
      </c>
      <c r="CV66" s="204">
        <f t="shared" si="104"/>
        <v>147397.60253713839</v>
      </c>
      <c r="CW66" s="204">
        <f t="shared" si="104"/>
        <v>155076.58328783835</v>
      </c>
      <c r="CX66" s="204">
        <f t="shared" si="104"/>
        <v>157748.28328783836</v>
      </c>
      <c r="CY66" s="204">
        <f t="shared" si="104"/>
        <v>160419.98328783837</v>
      </c>
      <c r="CZ66" s="204">
        <f t="shared" si="104"/>
        <v>163091.68328783836</v>
      </c>
      <c r="DA66" s="204">
        <f t="shared" si="104"/>
        <v>165763.38328783837</v>
      </c>
    </row>
    <row r="67" spans="1:105" s="204" customFormat="1">
      <c r="A67" s="204" t="str">
        <f>Income!A81</f>
        <v>Self - employment</v>
      </c>
      <c r="F67" s="204">
        <f t="shared" ref="F67:BQ67" si="105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105"/>
        <v>0</v>
      </c>
      <c r="H67" s="204">
        <f t="shared" si="105"/>
        <v>0</v>
      </c>
      <c r="I67" s="204">
        <f t="shared" si="105"/>
        <v>0</v>
      </c>
      <c r="J67" s="204">
        <f t="shared" si="105"/>
        <v>0</v>
      </c>
      <c r="K67" s="204">
        <f t="shared" si="105"/>
        <v>0</v>
      </c>
      <c r="L67" s="204">
        <f t="shared" si="97"/>
        <v>0</v>
      </c>
      <c r="M67" s="204">
        <f t="shared" si="105"/>
        <v>0</v>
      </c>
      <c r="N67" s="204">
        <f t="shared" si="105"/>
        <v>0</v>
      </c>
      <c r="O67" s="204">
        <f t="shared" si="105"/>
        <v>0</v>
      </c>
      <c r="P67" s="204">
        <f t="shared" si="105"/>
        <v>0</v>
      </c>
      <c r="Q67" s="204">
        <f t="shared" si="105"/>
        <v>0</v>
      </c>
      <c r="R67" s="204">
        <f t="shared" si="105"/>
        <v>0</v>
      </c>
      <c r="S67" s="204">
        <f t="shared" si="105"/>
        <v>0</v>
      </c>
      <c r="T67" s="204">
        <f t="shared" si="105"/>
        <v>0</v>
      </c>
      <c r="U67" s="204">
        <f t="shared" si="105"/>
        <v>0</v>
      </c>
      <c r="V67" s="204">
        <f t="shared" si="105"/>
        <v>0</v>
      </c>
      <c r="W67" s="204">
        <f t="shared" si="105"/>
        <v>0</v>
      </c>
      <c r="X67" s="204">
        <f t="shared" si="105"/>
        <v>0</v>
      </c>
      <c r="Y67" s="204">
        <f t="shared" si="105"/>
        <v>0</v>
      </c>
      <c r="Z67" s="204">
        <f t="shared" si="105"/>
        <v>0</v>
      </c>
      <c r="AA67" s="204">
        <f t="shared" si="105"/>
        <v>0</v>
      </c>
      <c r="AB67" s="204">
        <f t="shared" si="105"/>
        <v>0</v>
      </c>
      <c r="AC67" s="204">
        <f t="shared" si="105"/>
        <v>0</v>
      </c>
      <c r="AD67" s="204">
        <f t="shared" si="105"/>
        <v>0</v>
      </c>
      <c r="AE67" s="204">
        <f t="shared" si="105"/>
        <v>0</v>
      </c>
      <c r="AF67" s="204">
        <f t="shared" si="105"/>
        <v>0</v>
      </c>
      <c r="AG67" s="204">
        <f t="shared" si="105"/>
        <v>0</v>
      </c>
      <c r="AH67" s="204">
        <f t="shared" si="105"/>
        <v>0</v>
      </c>
      <c r="AI67" s="204">
        <f t="shared" si="105"/>
        <v>0</v>
      </c>
      <c r="AJ67" s="204">
        <f t="shared" si="105"/>
        <v>0</v>
      </c>
      <c r="AK67" s="204">
        <f t="shared" si="105"/>
        <v>0</v>
      </c>
      <c r="AL67" s="204">
        <f t="shared" si="105"/>
        <v>0</v>
      </c>
      <c r="AM67" s="204">
        <f t="shared" si="105"/>
        <v>0</v>
      </c>
      <c r="AN67" s="204">
        <f t="shared" si="105"/>
        <v>0</v>
      </c>
      <c r="AO67" s="204">
        <f t="shared" si="105"/>
        <v>0</v>
      </c>
      <c r="AP67" s="204">
        <f t="shared" si="105"/>
        <v>0</v>
      </c>
      <c r="AQ67" s="204">
        <f t="shared" si="105"/>
        <v>0</v>
      </c>
      <c r="AR67" s="204">
        <f t="shared" si="105"/>
        <v>0</v>
      </c>
      <c r="AS67" s="204">
        <f t="shared" si="105"/>
        <v>0</v>
      </c>
      <c r="AT67" s="204">
        <f t="shared" si="105"/>
        <v>0</v>
      </c>
      <c r="AU67" s="204">
        <f t="shared" si="105"/>
        <v>0</v>
      </c>
      <c r="AV67" s="204">
        <f t="shared" si="105"/>
        <v>0</v>
      </c>
      <c r="AW67" s="204">
        <f t="shared" si="105"/>
        <v>0</v>
      </c>
      <c r="AX67" s="204">
        <f t="shared" si="105"/>
        <v>0</v>
      </c>
      <c r="AY67" s="204">
        <f t="shared" si="105"/>
        <v>0</v>
      </c>
      <c r="AZ67" s="204">
        <f t="shared" si="105"/>
        <v>0</v>
      </c>
      <c r="BA67" s="204">
        <f t="shared" si="105"/>
        <v>0</v>
      </c>
      <c r="BB67" s="204">
        <f t="shared" si="105"/>
        <v>0</v>
      </c>
      <c r="BC67" s="204">
        <f t="shared" si="105"/>
        <v>0</v>
      </c>
      <c r="BD67" s="204">
        <f t="shared" si="105"/>
        <v>0</v>
      </c>
      <c r="BE67" s="204">
        <f t="shared" si="105"/>
        <v>0</v>
      </c>
      <c r="BF67" s="204">
        <f t="shared" si="105"/>
        <v>0</v>
      </c>
      <c r="BG67" s="204">
        <f t="shared" si="105"/>
        <v>0</v>
      </c>
      <c r="BH67" s="204">
        <f t="shared" si="105"/>
        <v>0</v>
      </c>
      <c r="BI67" s="204">
        <f t="shared" si="105"/>
        <v>0</v>
      </c>
      <c r="BJ67" s="204">
        <f t="shared" si="105"/>
        <v>0</v>
      </c>
      <c r="BK67" s="204">
        <f t="shared" si="105"/>
        <v>0</v>
      </c>
      <c r="BL67" s="204">
        <f t="shared" si="105"/>
        <v>0</v>
      </c>
      <c r="BM67" s="204">
        <f t="shared" si="105"/>
        <v>0</v>
      </c>
      <c r="BN67" s="204">
        <f t="shared" si="105"/>
        <v>0</v>
      </c>
      <c r="BO67" s="204">
        <f t="shared" si="105"/>
        <v>0</v>
      </c>
      <c r="BP67" s="204">
        <f t="shared" si="105"/>
        <v>0</v>
      </c>
      <c r="BQ67" s="204">
        <f t="shared" si="105"/>
        <v>0</v>
      </c>
      <c r="BR67" s="204">
        <f t="shared" ref="BR67:DA67" si="106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106"/>
        <v>0</v>
      </c>
      <c r="BT67" s="204">
        <f t="shared" si="106"/>
        <v>0</v>
      </c>
      <c r="BU67" s="204">
        <f t="shared" si="106"/>
        <v>0</v>
      </c>
      <c r="BV67" s="204">
        <f t="shared" si="106"/>
        <v>0</v>
      </c>
      <c r="BW67" s="204">
        <f t="shared" si="106"/>
        <v>0</v>
      </c>
      <c r="BX67" s="204">
        <f t="shared" si="106"/>
        <v>0</v>
      </c>
      <c r="BY67" s="204">
        <f t="shared" si="106"/>
        <v>0</v>
      </c>
      <c r="BZ67" s="204">
        <f t="shared" si="106"/>
        <v>0</v>
      </c>
      <c r="CA67" s="204">
        <f t="shared" si="106"/>
        <v>0</v>
      </c>
      <c r="CB67" s="204">
        <f t="shared" si="106"/>
        <v>0</v>
      </c>
      <c r="CC67" s="204">
        <f t="shared" si="106"/>
        <v>0</v>
      </c>
      <c r="CD67" s="204">
        <f t="shared" si="106"/>
        <v>0</v>
      </c>
      <c r="CE67" s="204">
        <f t="shared" si="106"/>
        <v>0</v>
      </c>
      <c r="CF67" s="204">
        <f t="shared" si="106"/>
        <v>0</v>
      </c>
      <c r="CG67" s="204">
        <f t="shared" si="106"/>
        <v>0</v>
      </c>
      <c r="CH67" s="204">
        <f t="shared" si="106"/>
        <v>0</v>
      </c>
      <c r="CI67" s="204">
        <f t="shared" si="106"/>
        <v>0</v>
      </c>
      <c r="CJ67" s="204">
        <f t="shared" si="106"/>
        <v>0</v>
      </c>
      <c r="CK67" s="204">
        <f t="shared" si="106"/>
        <v>0</v>
      </c>
      <c r="CL67" s="204">
        <f t="shared" si="106"/>
        <v>0</v>
      </c>
      <c r="CM67" s="204">
        <f t="shared" si="106"/>
        <v>0</v>
      </c>
      <c r="CN67" s="204">
        <f t="shared" si="106"/>
        <v>0</v>
      </c>
      <c r="CO67" s="204">
        <f t="shared" si="106"/>
        <v>0</v>
      </c>
      <c r="CP67" s="204">
        <f t="shared" si="106"/>
        <v>0</v>
      </c>
      <c r="CQ67" s="204">
        <f t="shared" si="106"/>
        <v>0</v>
      </c>
      <c r="CR67" s="204">
        <f t="shared" si="106"/>
        <v>0</v>
      </c>
      <c r="CS67" s="204">
        <f t="shared" si="106"/>
        <v>0</v>
      </c>
      <c r="CT67" s="204">
        <f t="shared" si="106"/>
        <v>0</v>
      </c>
      <c r="CU67" s="204">
        <f t="shared" si="106"/>
        <v>0</v>
      </c>
      <c r="CV67" s="204">
        <f t="shared" si="106"/>
        <v>0</v>
      </c>
      <c r="CW67" s="204">
        <f t="shared" si="106"/>
        <v>207.38249999999999</v>
      </c>
      <c r="CX67" s="204">
        <f t="shared" si="106"/>
        <v>1036.9124999999999</v>
      </c>
      <c r="CY67" s="204">
        <f t="shared" si="106"/>
        <v>1866.4424999999999</v>
      </c>
      <c r="CZ67" s="204">
        <f t="shared" si="106"/>
        <v>2695.9724999999999</v>
      </c>
      <c r="DA67" s="204">
        <f t="shared" si="106"/>
        <v>3525.5025000000001</v>
      </c>
    </row>
    <row r="68" spans="1:105" s="204" customFormat="1">
      <c r="A68" s="204" t="str">
        <f>Income!A82</f>
        <v>Small business/petty trading</v>
      </c>
      <c r="F68" s="204">
        <f t="shared" ref="F68:BQ68" si="107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1575.0156205517019</v>
      </c>
      <c r="G68" s="204">
        <f t="shared" si="107"/>
        <v>1575.0156205517019</v>
      </c>
      <c r="H68" s="204">
        <f t="shared" si="107"/>
        <v>1575.0156205517019</v>
      </c>
      <c r="I68" s="204">
        <f t="shared" si="107"/>
        <v>1575.0156205517019</v>
      </c>
      <c r="J68" s="204">
        <f t="shared" si="107"/>
        <v>1575.0156205517019</v>
      </c>
      <c r="K68" s="204">
        <f t="shared" si="107"/>
        <v>1575.0156205517019</v>
      </c>
      <c r="L68" s="204">
        <f t="shared" si="97"/>
        <v>1575.0156205517019</v>
      </c>
      <c r="M68" s="204">
        <f t="shared" si="107"/>
        <v>1575.0156205517019</v>
      </c>
      <c r="N68" s="204">
        <f t="shared" si="107"/>
        <v>1575.0156205517019</v>
      </c>
      <c r="O68" s="204">
        <f t="shared" si="107"/>
        <v>1575.0156205517019</v>
      </c>
      <c r="P68" s="204">
        <f t="shared" si="107"/>
        <v>1575.0156205517019</v>
      </c>
      <c r="Q68" s="204">
        <f t="shared" si="107"/>
        <v>1575.0156205517019</v>
      </c>
      <c r="R68" s="204">
        <f t="shared" si="107"/>
        <v>1575.0156205517019</v>
      </c>
      <c r="S68" s="204">
        <f t="shared" si="107"/>
        <v>1575.0156205517019</v>
      </c>
      <c r="T68" s="204">
        <f t="shared" si="107"/>
        <v>1575.0156205517019</v>
      </c>
      <c r="U68" s="204">
        <f t="shared" si="107"/>
        <v>1575.0156205517019</v>
      </c>
      <c r="V68" s="204">
        <f t="shared" si="107"/>
        <v>1575.0156205517019</v>
      </c>
      <c r="W68" s="204">
        <f t="shared" si="107"/>
        <v>1575.0156205517019</v>
      </c>
      <c r="X68" s="204">
        <f t="shared" si="107"/>
        <v>1575.0156205517019</v>
      </c>
      <c r="Y68" s="204">
        <f t="shared" si="107"/>
        <v>1575.0156205517019</v>
      </c>
      <c r="Z68" s="204">
        <f t="shared" si="107"/>
        <v>1572.0939306163177</v>
      </c>
      <c r="AA68" s="204">
        <f t="shared" si="107"/>
        <v>1560.4071708747811</v>
      </c>
      <c r="AB68" s="204">
        <f t="shared" si="107"/>
        <v>1548.7204111332446</v>
      </c>
      <c r="AC68" s="204">
        <f t="shared" si="107"/>
        <v>1537.033651391708</v>
      </c>
      <c r="AD68" s="204">
        <f t="shared" si="107"/>
        <v>1525.3468916501713</v>
      </c>
      <c r="AE68" s="204">
        <f t="shared" si="107"/>
        <v>1513.6601319086346</v>
      </c>
      <c r="AF68" s="204">
        <f t="shared" si="107"/>
        <v>1501.9733721670982</v>
      </c>
      <c r="AG68" s="204">
        <f t="shared" si="107"/>
        <v>1490.2866124255615</v>
      </c>
      <c r="AH68" s="204">
        <f t="shared" si="107"/>
        <v>1478.5998526840249</v>
      </c>
      <c r="AI68" s="204">
        <f t="shared" si="107"/>
        <v>1466.9130929424882</v>
      </c>
      <c r="AJ68" s="204">
        <f t="shared" si="107"/>
        <v>1455.2263332009518</v>
      </c>
      <c r="AK68" s="204">
        <f t="shared" si="107"/>
        <v>1443.5395734594151</v>
      </c>
      <c r="AL68" s="204">
        <f t="shared" si="107"/>
        <v>1431.8528137178785</v>
      </c>
      <c r="AM68" s="204">
        <f t="shared" si="107"/>
        <v>1420.166053976342</v>
      </c>
      <c r="AN68" s="204">
        <f t="shared" si="107"/>
        <v>1408.4792942348054</v>
      </c>
      <c r="AO68" s="204">
        <f t="shared" si="107"/>
        <v>1396.7925344932687</v>
      </c>
      <c r="AP68" s="204">
        <f t="shared" si="107"/>
        <v>1385.105774751732</v>
      </c>
      <c r="AQ68" s="204">
        <f t="shared" si="107"/>
        <v>1373.4190150101956</v>
      </c>
      <c r="AR68" s="204">
        <f t="shared" si="107"/>
        <v>1361.7322552686589</v>
      </c>
      <c r="AS68" s="204">
        <f t="shared" si="107"/>
        <v>1350.0454955271223</v>
      </c>
      <c r="AT68" s="204">
        <f t="shared" si="107"/>
        <v>1338.3587357855858</v>
      </c>
      <c r="AU68" s="204">
        <f t="shared" si="107"/>
        <v>1326.6719760440492</v>
      </c>
      <c r="AV68" s="204">
        <f t="shared" si="107"/>
        <v>1314.9852163025125</v>
      </c>
      <c r="AW68" s="204">
        <f t="shared" si="107"/>
        <v>1303.2984565609759</v>
      </c>
      <c r="AX68" s="204">
        <f t="shared" si="107"/>
        <v>1291.6116968194394</v>
      </c>
      <c r="AY68" s="204">
        <f t="shared" si="107"/>
        <v>1279.9249370779028</v>
      </c>
      <c r="AZ68" s="204">
        <f t="shared" si="107"/>
        <v>1268.2381773363661</v>
      </c>
      <c r="BA68" s="204">
        <f t="shared" si="107"/>
        <v>1256.5514175948297</v>
      </c>
      <c r="BB68" s="204">
        <f t="shared" si="107"/>
        <v>1244.864657853293</v>
      </c>
      <c r="BC68" s="204">
        <f t="shared" si="107"/>
        <v>1233.1778981117563</v>
      </c>
      <c r="BD68" s="204">
        <f t="shared" si="107"/>
        <v>1221.4911383702197</v>
      </c>
      <c r="BE68" s="204">
        <f t="shared" si="107"/>
        <v>1209.804378628683</v>
      </c>
      <c r="BF68" s="204">
        <f t="shared" si="107"/>
        <v>1198.1176188871466</v>
      </c>
      <c r="BG68" s="204">
        <f t="shared" si="107"/>
        <v>1186.4308591456099</v>
      </c>
      <c r="BH68" s="204">
        <f t="shared" si="107"/>
        <v>1174.7440994040733</v>
      </c>
      <c r="BI68" s="204">
        <f t="shared" si="107"/>
        <v>1163.0573396625368</v>
      </c>
      <c r="BJ68" s="204">
        <f t="shared" si="107"/>
        <v>1151.3705799210002</v>
      </c>
      <c r="BK68" s="204">
        <f t="shared" si="107"/>
        <v>1113.9954232860475</v>
      </c>
      <c r="BL68" s="204">
        <f t="shared" si="107"/>
        <v>1068.0574676866229</v>
      </c>
      <c r="BM68" s="204">
        <f t="shared" si="107"/>
        <v>1022.1195120871982</v>
      </c>
      <c r="BN68" s="204">
        <f t="shared" si="107"/>
        <v>976.18155648777361</v>
      </c>
      <c r="BO68" s="204">
        <f t="shared" si="107"/>
        <v>930.24360088834896</v>
      </c>
      <c r="BP68" s="204">
        <f t="shared" si="107"/>
        <v>884.30564528892432</v>
      </c>
      <c r="BQ68" s="204">
        <f t="shared" si="107"/>
        <v>838.36768968949968</v>
      </c>
      <c r="BR68" s="204">
        <f t="shared" ref="BR68:DA68" si="108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792.42973409007504</v>
      </c>
      <c r="BS68" s="204">
        <f t="shared" si="108"/>
        <v>746.4917784906504</v>
      </c>
      <c r="BT68" s="204">
        <f t="shared" si="108"/>
        <v>700.55382289122576</v>
      </c>
      <c r="BU68" s="204">
        <f t="shared" si="108"/>
        <v>654.61586729180112</v>
      </c>
      <c r="BV68" s="204">
        <f t="shared" si="108"/>
        <v>608.67791169237648</v>
      </c>
      <c r="BW68" s="204">
        <f t="shared" si="108"/>
        <v>562.73995609295184</v>
      </c>
      <c r="BX68" s="204">
        <f t="shared" si="108"/>
        <v>516.8020004935272</v>
      </c>
      <c r="BY68" s="204">
        <f t="shared" si="108"/>
        <v>470.86404489410256</v>
      </c>
      <c r="BZ68" s="204">
        <f t="shared" si="108"/>
        <v>424.92608929467792</v>
      </c>
      <c r="CA68" s="204">
        <f t="shared" si="108"/>
        <v>378.98813369525328</v>
      </c>
      <c r="CB68" s="204">
        <f t="shared" si="108"/>
        <v>333.05017809582864</v>
      </c>
      <c r="CC68" s="204">
        <f t="shared" si="108"/>
        <v>287.112222496404</v>
      </c>
      <c r="CD68" s="204">
        <f t="shared" si="108"/>
        <v>241.17426689697936</v>
      </c>
      <c r="CE68" s="204">
        <f t="shared" si="108"/>
        <v>195.23631129755472</v>
      </c>
      <c r="CF68" s="204">
        <f t="shared" si="108"/>
        <v>149.29835569813008</v>
      </c>
      <c r="CG68" s="204">
        <f t="shared" si="108"/>
        <v>103.36040009870544</v>
      </c>
      <c r="CH68" s="204">
        <f t="shared" si="108"/>
        <v>57.4224444992808</v>
      </c>
      <c r="CI68" s="204">
        <f t="shared" si="108"/>
        <v>11.48448889985616</v>
      </c>
      <c r="CJ68" s="204">
        <f t="shared" si="108"/>
        <v>3386.7715729497031</v>
      </c>
      <c r="CK68" s="204">
        <f t="shared" si="108"/>
        <v>7902.4670035493073</v>
      </c>
      <c r="CL68" s="204">
        <f t="shared" si="108"/>
        <v>12418.162434148911</v>
      </c>
      <c r="CM68" s="204">
        <f t="shared" si="108"/>
        <v>16933.857864748516</v>
      </c>
      <c r="CN68" s="204">
        <f t="shared" si="108"/>
        <v>21449.55329534812</v>
      </c>
      <c r="CO68" s="204">
        <f t="shared" si="108"/>
        <v>25965.248725947724</v>
      </c>
      <c r="CP68" s="204">
        <f t="shared" si="108"/>
        <v>30480.944156547328</v>
      </c>
      <c r="CQ68" s="204">
        <f t="shared" si="108"/>
        <v>34996.639587146929</v>
      </c>
      <c r="CR68" s="204">
        <f t="shared" si="108"/>
        <v>39512.335017746533</v>
      </c>
      <c r="CS68" s="204">
        <f t="shared" si="108"/>
        <v>44028.030448346137</v>
      </c>
      <c r="CT68" s="204">
        <f t="shared" si="108"/>
        <v>48543.725878945741</v>
      </c>
      <c r="CU68" s="204">
        <f t="shared" si="108"/>
        <v>53059.421309545345</v>
      </c>
      <c r="CV68" s="204">
        <f t="shared" si="108"/>
        <v>57575.116740144949</v>
      </c>
      <c r="CW68" s="204">
        <f t="shared" si="108"/>
        <v>62512.763313094656</v>
      </c>
      <c r="CX68" s="204">
        <f t="shared" si="108"/>
        <v>68716.263313094649</v>
      </c>
      <c r="CY68" s="204">
        <f t="shared" si="108"/>
        <v>74919.763313094649</v>
      </c>
      <c r="CZ68" s="204">
        <f t="shared" si="108"/>
        <v>81123.263313094649</v>
      </c>
      <c r="DA68" s="204">
        <f t="shared" si="108"/>
        <v>87326.763313094649</v>
      </c>
    </row>
    <row r="69" spans="1:105" s="204" customFormat="1">
      <c r="A69" s="204" t="str">
        <f>Income!A83</f>
        <v>Food transfer - official</v>
      </c>
      <c r="F69" s="204">
        <f t="shared" ref="F69:BQ70" si="109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2542.6668466728388</v>
      </c>
      <c r="G69" s="204">
        <f t="shared" si="109"/>
        <v>2542.6668466728388</v>
      </c>
      <c r="H69" s="204">
        <f t="shared" si="109"/>
        <v>2542.6668466728388</v>
      </c>
      <c r="I69" s="204">
        <f t="shared" si="109"/>
        <v>2542.6668466728388</v>
      </c>
      <c r="J69" s="204">
        <f t="shared" si="109"/>
        <v>2542.6668466728388</v>
      </c>
      <c r="K69" s="204">
        <f t="shared" si="109"/>
        <v>2542.6668466728388</v>
      </c>
      <c r="L69" s="204">
        <f t="shared" si="97"/>
        <v>2542.6668466728388</v>
      </c>
      <c r="M69" s="204">
        <f t="shared" si="109"/>
        <v>2542.6668466728388</v>
      </c>
      <c r="N69" s="204">
        <f t="shared" si="109"/>
        <v>2542.6668466728388</v>
      </c>
      <c r="O69" s="204">
        <f t="shared" si="109"/>
        <v>2542.6668466728388</v>
      </c>
      <c r="P69" s="204">
        <f t="shared" si="109"/>
        <v>2542.6668466728388</v>
      </c>
      <c r="Q69" s="204">
        <f t="shared" si="109"/>
        <v>2542.6668466728388</v>
      </c>
      <c r="R69" s="204">
        <f t="shared" si="109"/>
        <v>2542.6668466728388</v>
      </c>
      <c r="S69" s="204">
        <f t="shared" si="109"/>
        <v>2542.6668466728388</v>
      </c>
      <c r="T69" s="204">
        <f t="shared" si="109"/>
        <v>2542.6668466728388</v>
      </c>
      <c r="U69" s="204">
        <f t="shared" si="109"/>
        <v>2542.6668466728388</v>
      </c>
      <c r="V69" s="204">
        <f t="shared" si="109"/>
        <v>2542.6668466728388</v>
      </c>
      <c r="W69" s="204">
        <f t="shared" si="109"/>
        <v>2542.6668466728388</v>
      </c>
      <c r="X69" s="204">
        <f t="shared" si="109"/>
        <v>2542.6668466728388</v>
      </c>
      <c r="Y69" s="204">
        <f t="shared" si="109"/>
        <v>2542.6668466728388</v>
      </c>
      <c r="Z69" s="204">
        <f t="shared" si="109"/>
        <v>2543.0091212340621</v>
      </c>
      <c r="AA69" s="204">
        <f t="shared" si="109"/>
        <v>2544.3782194789546</v>
      </c>
      <c r="AB69" s="204">
        <f t="shared" si="109"/>
        <v>2545.7473177238476</v>
      </c>
      <c r="AC69" s="204">
        <f t="shared" si="109"/>
        <v>2547.1164159687405</v>
      </c>
      <c r="AD69" s="204">
        <f t="shared" si="109"/>
        <v>2548.4855142136335</v>
      </c>
      <c r="AE69" s="204">
        <f t="shared" si="109"/>
        <v>2549.8546124585259</v>
      </c>
      <c r="AF69" s="204">
        <f t="shared" si="109"/>
        <v>2551.2237107034189</v>
      </c>
      <c r="AG69" s="204">
        <f t="shared" si="109"/>
        <v>2552.5928089483118</v>
      </c>
      <c r="AH69" s="204">
        <f t="shared" si="109"/>
        <v>2553.9619071932048</v>
      </c>
      <c r="AI69" s="204">
        <f t="shared" si="109"/>
        <v>2555.3310054380972</v>
      </c>
      <c r="AJ69" s="204">
        <f t="shared" si="109"/>
        <v>2556.7001036829902</v>
      </c>
      <c r="AK69" s="204">
        <f t="shared" si="109"/>
        <v>2558.0692019278831</v>
      </c>
      <c r="AL69" s="204">
        <f t="shared" si="109"/>
        <v>2559.4383001727761</v>
      </c>
      <c r="AM69" s="204">
        <f t="shared" si="109"/>
        <v>2560.8073984176685</v>
      </c>
      <c r="AN69" s="204">
        <f t="shared" si="109"/>
        <v>2562.1764966625615</v>
      </c>
      <c r="AO69" s="204">
        <f t="shared" si="109"/>
        <v>2563.5455949074544</v>
      </c>
      <c r="AP69" s="204">
        <f t="shared" si="109"/>
        <v>2564.9146931523474</v>
      </c>
      <c r="AQ69" s="204">
        <f t="shared" si="109"/>
        <v>2566.2837913972398</v>
      </c>
      <c r="AR69" s="204">
        <f t="shared" si="109"/>
        <v>2567.6528896421328</v>
      </c>
      <c r="AS69" s="204">
        <f t="shared" si="109"/>
        <v>2569.0219878870257</v>
      </c>
      <c r="AT69" s="204">
        <f t="shared" si="109"/>
        <v>2570.3910861319182</v>
      </c>
      <c r="AU69" s="204">
        <f t="shared" si="109"/>
        <v>2571.7601843768111</v>
      </c>
      <c r="AV69" s="204">
        <f t="shared" si="109"/>
        <v>2573.1292826217041</v>
      </c>
      <c r="AW69" s="204">
        <f t="shared" si="109"/>
        <v>2574.498380866597</v>
      </c>
      <c r="AX69" s="204">
        <f t="shared" si="109"/>
        <v>2575.8674791114895</v>
      </c>
      <c r="AY69" s="204">
        <f t="shared" si="109"/>
        <v>2577.2365773563824</v>
      </c>
      <c r="AZ69" s="204">
        <f t="shared" si="109"/>
        <v>2578.6056756012754</v>
      </c>
      <c r="BA69" s="204">
        <f t="shared" si="109"/>
        <v>2579.9747738461683</v>
      </c>
      <c r="BB69" s="204">
        <f t="shared" si="109"/>
        <v>2581.3438720910608</v>
      </c>
      <c r="BC69" s="204">
        <f t="shared" si="109"/>
        <v>2582.7129703359537</v>
      </c>
      <c r="BD69" s="204">
        <f t="shared" si="109"/>
        <v>2584.0820685808467</v>
      </c>
      <c r="BE69" s="204">
        <f t="shared" si="109"/>
        <v>2585.4511668257396</v>
      </c>
      <c r="BF69" s="204">
        <f t="shared" si="109"/>
        <v>2586.8202650706321</v>
      </c>
      <c r="BG69" s="204">
        <f t="shared" si="109"/>
        <v>2588.189363315525</v>
      </c>
      <c r="BH69" s="204">
        <f t="shared" si="109"/>
        <v>2589.558461560418</v>
      </c>
      <c r="BI69" s="204">
        <f t="shared" si="109"/>
        <v>2590.9275598053109</v>
      </c>
      <c r="BJ69" s="204">
        <f t="shared" si="109"/>
        <v>2592.2966580502034</v>
      </c>
      <c r="BK69" s="204">
        <f t="shared" si="109"/>
        <v>2584.0818501819072</v>
      </c>
      <c r="BL69" s="204">
        <f t="shared" si="109"/>
        <v>2572.6724069425477</v>
      </c>
      <c r="BM69" s="204">
        <f t="shared" si="109"/>
        <v>2561.2629637031887</v>
      </c>
      <c r="BN69" s="204">
        <f t="shared" si="109"/>
        <v>2549.8535204638292</v>
      </c>
      <c r="BO69" s="204">
        <f t="shared" si="109"/>
        <v>2538.4440772244698</v>
      </c>
      <c r="BP69" s="204">
        <f t="shared" si="109"/>
        <v>2527.0346339851103</v>
      </c>
      <c r="BQ69" s="204">
        <f t="shared" si="109"/>
        <v>2515.6251907457508</v>
      </c>
      <c r="BR69" s="204">
        <f t="shared" ref="BR69:DA69" si="110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2504.2157475063918</v>
      </c>
      <c r="BS69" s="204">
        <f t="shared" si="110"/>
        <v>2492.8063042670324</v>
      </c>
      <c r="BT69" s="204">
        <f t="shared" si="110"/>
        <v>2481.3968610276729</v>
      </c>
      <c r="BU69" s="204">
        <f t="shared" si="110"/>
        <v>2469.9874177883135</v>
      </c>
      <c r="BV69" s="204">
        <f t="shared" si="110"/>
        <v>2458.577974548954</v>
      </c>
      <c r="BW69" s="204">
        <f t="shared" si="110"/>
        <v>2447.168531309595</v>
      </c>
      <c r="BX69" s="204">
        <f t="shared" si="110"/>
        <v>2435.7590880702355</v>
      </c>
      <c r="BY69" s="204">
        <f t="shared" si="110"/>
        <v>2424.3496448308761</v>
      </c>
      <c r="BZ69" s="204">
        <f t="shared" si="110"/>
        <v>2412.9402015915166</v>
      </c>
      <c r="CA69" s="204">
        <f t="shared" si="110"/>
        <v>2401.5307583521571</v>
      </c>
      <c r="CB69" s="204">
        <f t="shared" si="110"/>
        <v>2390.1213151127981</v>
      </c>
      <c r="CC69" s="204">
        <f t="shared" si="110"/>
        <v>2378.7118718734387</v>
      </c>
      <c r="CD69" s="204">
        <f t="shared" si="110"/>
        <v>2367.3024286340792</v>
      </c>
      <c r="CE69" s="204">
        <f t="shared" si="110"/>
        <v>2355.8929853947197</v>
      </c>
      <c r="CF69" s="204">
        <f t="shared" si="110"/>
        <v>2344.4835421553603</v>
      </c>
      <c r="CG69" s="204">
        <f t="shared" si="110"/>
        <v>2333.0740989160013</v>
      </c>
      <c r="CH69" s="204">
        <f t="shared" si="110"/>
        <v>2321.6646556766418</v>
      </c>
      <c r="CI69" s="204">
        <f t="shared" si="110"/>
        <v>2310.2552124372824</v>
      </c>
      <c r="CJ69" s="204">
        <f t="shared" si="110"/>
        <v>2201.6558144748296</v>
      </c>
      <c r="CK69" s="204">
        <f t="shared" si="110"/>
        <v>2060.6597649380128</v>
      </c>
      <c r="CL69" s="204">
        <f t="shared" si="110"/>
        <v>1919.6637154011955</v>
      </c>
      <c r="CM69" s="204">
        <f t="shared" si="110"/>
        <v>1778.6676658643787</v>
      </c>
      <c r="CN69" s="204">
        <f t="shared" si="110"/>
        <v>1637.6716163275617</v>
      </c>
      <c r="CO69" s="204">
        <f t="shared" si="110"/>
        <v>1496.6755667907446</v>
      </c>
      <c r="CP69" s="204">
        <f t="shared" si="110"/>
        <v>1355.6795172539275</v>
      </c>
      <c r="CQ69" s="204">
        <f t="shared" si="110"/>
        <v>1214.6834677171105</v>
      </c>
      <c r="CR69" s="204">
        <f t="shared" si="110"/>
        <v>1073.6874181802934</v>
      </c>
      <c r="CS69" s="204">
        <f t="shared" si="110"/>
        <v>932.69136864347638</v>
      </c>
      <c r="CT69" s="204">
        <f t="shared" si="110"/>
        <v>791.69531910665955</v>
      </c>
      <c r="CU69" s="204">
        <f t="shared" si="110"/>
        <v>650.6992695698425</v>
      </c>
      <c r="CV69" s="204">
        <f t="shared" si="110"/>
        <v>509.70322003302545</v>
      </c>
      <c r="CW69" s="204">
        <f t="shared" si="110"/>
        <v>407.63868288041289</v>
      </c>
      <c r="CX69" s="204">
        <f t="shared" si="110"/>
        <v>422.3686828804129</v>
      </c>
      <c r="CY69" s="204">
        <f t="shared" si="110"/>
        <v>437.09868288041287</v>
      </c>
      <c r="CZ69" s="204">
        <f t="shared" si="110"/>
        <v>451.82868288041288</v>
      </c>
      <c r="DA69" s="204">
        <f t="shared" si="110"/>
        <v>466.5586828804129</v>
      </c>
    </row>
    <row r="70" spans="1:105" s="204" customFormat="1">
      <c r="A70" s="204" t="str">
        <f>Income!A85</f>
        <v>Cash transfer - official</v>
      </c>
      <c r="F70" s="204">
        <f t="shared" si="109"/>
        <v>23585.858917761736</v>
      </c>
      <c r="G70" s="204">
        <f t="shared" si="109"/>
        <v>23585.858917761736</v>
      </c>
      <c r="H70" s="204">
        <f t="shared" si="109"/>
        <v>23585.858917761736</v>
      </c>
      <c r="I70" s="204">
        <f t="shared" si="109"/>
        <v>23585.858917761736</v>
      </c>
      <c r="J70" s="204">
        <f t="shared" si="109"/>
        <v>23585.858917761736</v>
      </c>
      <c r="K70" s="204">
        <f t="shared" si="109"/>
        <v>23585.858917761736</v>
      </c>
      <c r="L70" s="204">
        <f t="shared" si="109"/>
        <v>23585.858917761736</v>
      </c>
      <c r="M70" s="204">
        <f t="shared" si="109"/>
        <v>23585.858917761736</v>
      </c>
      <c r="N70" s="204">
        <f t="shared" si="109"/>
        <v>23585.858917761736</v>
      </c>
      <c r="O70" s="204">
        <f t="shared" si="109"/>
        <v>23585.858917761736</v>
      </c>
      <c r="P70" s="204">
        <f t="shared" si="109"/>
        <v>23585.858917761736</v>
      </c>
      <c r="Q70" s="204">
        <f t="shared" si="109"/>
        <v>23585.858917761736</v>
      </c>
      <c r="R70" s="204">
        <f t="shared" si="109"/>
        <v>23585.858917761736</v>
      </c>
      <c r="S70" s="204">
        <f t="shared" si="109"/>
        <v>23585.858917761736</v>
      </c>
      <c r="T70" s="204">
        <f t="shared" si="109"/>
        <v>23585.858917761736</v>
      </c>
      <c r="U70" s="204">
        <f t="shared" si="109"/>
        <v>23585.858917761736</v>
      </c>
      <c r="V70" s="204">
        <f t="shared" si="109"/>
        <v>23585.858917761736</v>
      </c>
      <c r="W70" s="204">
        <f t="shared" si="109"/>
        <v>23585.858917761736</v>
      </c>
      <c r="X70" s="204">
        <f t="shared" si="109"/>
        <v>23585.858917761736</v>
      </c>
      <c r="Y70" s="204">
        <f t="shared" si="109"/>
        <v>23585.858917761736</v>
      </c>
      <c r="Z70" s="204">
        <f t="shared" si="109"/>
        <v>23638.499904309072</v>
      </c>
      <c r="AA70" s="204">
        <f t="shared" si="109"/>
        <v>23849.063850498409</v>
      </c>
      <c r="AB70" s="204">
        <f t="shared" si="109"/>
        <v>24059.62779668775</v>
      </c>
      <c r="AC70" s="204">
        <f t="shared" si="109"/>
        <v>24270.191742877087</v>
      </c>
      <c r="AD70" s="204">
        <f t="shared" si="109"/>
        <v>24480.755689066427</v>
      </c>
      <c r="AE70" s="204">
        <f t="shared" si="109"/>
        <v>24691.319635255768</v>
      </c>
      <c r="AF70" s="204">
        <f t="shared" si="109"/>
        <v>24901.883581445105</v>
      </c>
      <c r="AG70" s="204">
        <f t="shared" si="109"/>
        <v>25112.447527634446</v>
      </c>
      <c r="AH70" s="204">
        <f t="shared" si="109"/>
        <v>25323.011473823783</v>
      </c>
      <c r="AI70" s="204">
        <f t="shared" si="109"/>
        <v>25533.575420013123</v>
      </c>
      <c r="AJ70" s="204">
        <f t="shared" si="109"/>
        <v>25744.139366202464</v>
      </c>
      <c r="AK70" s="204">
        <f t="shared" si="109"/>
        <v>25954.703312391801</v>
      </c>
      <c r="AL70" s="204">
        <f t="shared" si="109"/>
        <v>26165.267258581142</v>
      </c>
      <c r="AM70" s="204">
        <f t="shared" si="109"/>
        <v>26375.831204770482</v>
      </c>
      <c r="AN70" s="204">
        <f t="shared" si="109"/>
        <v>26586.395150959819</v>
      </c>
      <c r="AO70" s="204">
        <f t="shared" si="109"/>
        <v>26796.95909714916</v>
      </c>
      <c r="AP70" s="204">
        <f t="shared" si="109"/>
        <v>27007.523043338497</v>
      </c>
      <c r="AQ70" s="204">
        <f t="shared" si="109"/>
        <v>27218.086989527837</v>
      </c>
      <c r="AR70" s="204">
        <f t="shared" si="109"/>
        <v>27428.650935717174</v>
      </c>
      <c r="AS70" s="204">
        <f t="shared" si="109"/>
        <v>27639.214881906515</v>
      </c>
      <c r="AT70" s="204">
        <f t="shared" si="109"/>
        <v>27849.778828095856</v>
      </c>
      <c r="AU70" s="204">
        <f t="shared" si="109"/>
        <v>28060.342774285193</v>
      </c>
      <c r="AV70" s="204">
        <f t="shared" si="109"/>
        <v>28270.906720474533</v>
      </c>
      <c r="AW70" s="204">
        <f t="shared" si="109"/>
        <v>28481.470666663874</v>
      </c>
      <c r="AX70" s="204">
        <f t="shared" si="109"/>
        <v>28692.034612853211</v>
      </c>
      <c r="AY70" s="204">
        <f t="shared" si="109"/>
        <v>28902.598559042552</v>
      </c>
      <c r="AZ70" s="204">
        <f t="shared" si="109"/>
        <v>29113.162505231889</v>
      </c>
      <c r="BA70" s="204">
        <f t="shared" si="109"/>
        <v>29323.726451421229</v>
      </c>
      <c r="BB70" s="204">
        <f t="shared" si="109"/>
        <v>29534.290397610566</v>
      </c>
      <c r="BC70" s="204">
        <f t="shared" si="109"/>
        <v>29744.854343799907</v>
      </c>
      <c r="BD70" s="204">
        <f t="shared" si="109"/>
        <v>29955.418289989248</v>
      </c>
      <c r="BE70" s="204">
        <f t="shared" si="109"/>
        <v>30165.982236178585</v>
      </c>
      <c r="BF70" s="204">
        <f t="shared" si="109"/>
        <v>30376.546182367925</v>
      </c>
      <c r="BG70" s="204">
        <f t="shared" si="109"/>
        <v>30587.110128557266</v>
      </c>
      <c r="BH70" s="204">
        <f t="shared" si="109"/>
        <v>30797.674074746603</v>
      </c>
      <c r="BI70" s="204">
        <f t="shared" si="109"/>
        <v>31008.238020935943</v>
      </c>
      <c r="BJ70" s="204">
        <f t="shared" si="109"/>
        <v>31218.80196712528</v>
      </c>
      <c r="BK70" s="204">
        <f t="shared" si="109"/>
        <v>30613.596194962764</v>
      </c>
      <c r="BL70" s="204">
        <f t="shared" si="109"/>
        <v>29736.467183349629</v>
      </c>
      <c r="BM70" s="204">
        <f t="shared" si="109"/>
        <v>28859.33817173649</v>
      </c>
      <c r="BN70" s="204">
        <f t="shared" si="109"/>
        <v>27982.209160123355</v>
      </c>
      <c r="BO70" s="204">
        <f t="shared" si="109"/>
        <v>27105.08014851022</v>
      </c>
      <c r="BP70" s="204">
        <f t="shared" si="109"/>
        <v>26227.951136897082</v>
      </c>
      <c r="BQ70" s="204">
        <f t="shared" si="109"/>
        <v>25350.822125283947</v>
      </c>
      <c r="BR70" s="204">
        <f t="shared" ref="BR70:DA70" si="111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24473.693113670808</v>
      </c>
      <c r="BS70" s="204">
        <f t="shared" si="111"/>
        <v>23596.564102057673</v>
      </c>
      <c r="BT70" s="204">
        <f t="shared" si="111"/>
        <v>22719.435090444538</v>
      </c>
      <c r="BU70" s="204">
        <f t="shared" si="111"/>
        <v>21842.3060788314</v>
      </c>
      <c r="BV70" s="204">
        <f t="shared" si="111"/>
        <v>20965.177067218261</v>
      </c>
      <c r="BW70" s="204">
        <f t="shared" si="111"/>
        <v>20088.048055605126</v>
      </c>
      <c r="BX70" s="204">
        <f t="shared" si="111"/>
        <v>19210.919043991991</v>
      </c>
      <c r="BY70" s="204">
        <f t="shared" si="111"/>
        <v>18333.790032378856</v>
      </c>
      <c r="BZ70" s="204">
        <f t="shared" si="111"/>
        <v>17456.661020765718</v>
      </c>
      <c r="CA70" s="204">
        <f t="shared" si="111"/>
        <v>16579.532009152579</v>
      </c>
      <c r="CB70" s="204">
        <f t="shared" si="111"/>
        <v>15702.402997539446</v>
      </c>
      <c r="CC70" s="204">
        <f t="shared" si="111"/>
        <v>14825.273985926309</v>
      </c>
      <c r="CD70" s="204">
        <f t="shared" si="111"/>
        <v>13948.144974313171</v>
      </c>
      <c r="CE70" s="204">
        <f t="shared" si="111"/>
        <v>13071.015962700036</v>
      </c>
      <c r="CF70" s="204">
        <f t="shared" si="111"/>
        <v>12193.886951086901</v>
      </c>
      <c r="CG70" s="204">
        <f t="shared" si="111"/>
        <v>11316.757939473762</v>
      </c>
      <c r="CH70" s="204">
        <f t="shared" si="111"/>
        <v>10439.628927860627</v>
      </c>
      <c r="CI70" s="204">
        <f t="shared" si="111"/>
        <v>9562.4999162474887</v>
      </c>
      <c r="CJ70" s="204">
        <f t="shared" si="111"/>
        <v>9449.9410257457384</v>
      </c>
      <c r="CK70" s="204">
        <f t="shared" si="111"/>
        <v>9592.2388422811182</v>
      </c>
      <c r="CL70" s="204">
        <f t="shared" si="111"/>
        <v>9734.5366588164961</v>
      </c>
      <c r="CM70" s="204">
        <f t="shared" si="111"/>
        <v>9876.8344753518741</v>
      </c>
      <c r="CN70" s="204">
        <f t="shared" si="111"/>
        <v>10019.132291887252</v>
      </c>
      <c r="CO70" s="204">
        <f t="shared" si="111"/>
        <v>10161.430108422632</v>
      </c>
      <c r="CP70" s="204">
        <f t="shared" si="111"/>
        <v>10303.72792495801</v>
      </c>
      <c r="CQ70" s="204">
        <f t="shared" si="111"/>
        <v>10446.025741493388</v>
      </c>
      <c r="CR70" s="204">
        <f t="shared" si="111"/>
        <v>10588.323558028767</v>
      </c>
      <c r="CS70" s="204">
        <f t="shared" si="111"/>
        <v>10730.621374564145</v>
      </c>
      <c r="CT70" s="204">
        <f t="shared" si="111"/>
        <v>10872.919191099523</v>
      </c>
      <c r="CU70" s="204">
        <f t="shared" si="111"/>
        <v>11015.217007634903</v>
      </c>
      <c r="CV70" s="204">
        <f t="shared" si="111"/>
        <v>11157.514824170281</v>
      </c>
      <c r="CW70" s="204">
        <f t="shared" si="111"/>
        <v>10982.280686571814</v>
      </c>
      <c r="CX70" s="204">
        <f t="shared" si="111"/>
        <v>9854.450686571814</v>
      </c>
      <c r="CY70" s="204">
        <f t="shared" si="111"/>
        <v>8726.6206865718141</v>
      </c>
      <c r="CZ70" s="204">
        <f t="shared" si="111"/>
        <v>7598.7906865718141</v>
      </c>
      <c r="DA70" s="204">
        <f t="shared" si="111"/>
        <v>6470.9606865718142</v>
      </c>
    </row>
    <row r="71" spans="1:105" s="204" customFormat="1">
      <c r="A71" s="204" t="str">
        <f>Income!A86</f>
        <v>Cash transfer - gifts</v>
      </c>
      <c r="F71" s="204">
        <f t="shared" ref="F71:BQ71" si="112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12"/>
        <v>0</v>
      </c>
      <c r="H71" s="204">
        <f t="shared" si="112"/>
        <v>0</v>
      </c>
      <c r="I71" s="204">
        <f t="shared" si="112"/>
        <v>0</v>
      </c>
      <c r="J71" s="204">
        <f t="shared" si="112"/>
        <v>0</v>
      </c>
      <c r="K71" s="204">
        <f t="shared" si="112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12"/>
        <v>0</v>
      </c>
      <c r="N71" s="204">
        <f t="shared" si="112"/>
        <v>0</v>
      </c>
      <c r="O71" s="204">
        <f t="shared" si="112"/>
        <v>0</v>
      </c>
      <c r="P71" s="204">
        <f t="shared" si="112"/>
        <v>0</v>
      </c>
      <c r="Q71" s="204">
        <f t="shared" si="112"/>
        <v>0</v>
      </c>
      <c r="R71" s="204">
        <f t="shared" si="112"/>
        <v>0</v>
      </c>
      <c r="S71" s="204">
        <f t="shared" si="112"/>
        <v>0</v>
      </c>
      <c r="T71" s="204">
        <f t="shared" si="112"/>
        <v>0</v>
      </c>
      <c r="U71" s="204">
        <f t="shared" si="112"/>
        <v>0</v>
      </c>
      <c r="V71" s="204">
        <f t="shared" si="112"/>
        <v>0</v>
      </c>
      <c r="W71" s="204">
        <f t="shared" si="112"/>
        <v>0</v>
      </c>
      <c r="X71" s="204">
        <f t="shared" si="112"/>
        <v>0</v>
      </c>
      <c r="Y71" s="204">
        <f t="shared" si="112"/>
        <v>0</v>
      </c>
      <c r="Z71" s="204">
        <f t="shared" si="112"/>
        <v>2.3879196587274301</v>
      </c>
      <c r="AA71" s="204">
        <f t="shared" si="112"/>
        <v>11.93959829363715</v>
      </c>
      <c r="AB71" s="204">
        <f t="shared" si="112"/>
        <v>21.491276928546871</v>
      </c>
      <c r="AC71" s="204">
        <f t="shared" si="112"/>
        <v>31.042955563456591</v>
      </c>
      <c r="AD71" s="204">
        <f t="shared" si="112"/>
        <v>40.594634198366307</v>
      </c>
      <c r="AE71" s="204">
        <f t="shared" si="112"/>
        <v>50.146312833276028</v>
      </c>
      <c r="AF71" s="204">
        <f t="shared" si="112"/>
        <v>59.697991468185748</v>
      </c>
      <c r="AG71" s="204">
        <f t="shared" si="112"/>
        <v>69.249670103095468</v>
      </c>
      <c r="AH71" s="204">
        <f t="shared" si="112"/>
        <v>78.801348738005188</v>
      </c>
      <c r="AI71" s="204">
        <f t="shared" si="112"/>
        <v>88.353027372914909</v>
      </c>
      <c r="AJ71" s="204">
        <f t="shared" si="112"/>
        <v>97.904706007824629</v>
      </c>
      <c r="AK71" s="204">
        <f t="shared" si="112"/>
        <v>107.45638464273435</v>
      </c>
      <c r="AL71" s="204">
        <f t="shared" si="112"/>
        <v>117.00806327764407</v>
      </c>
      <c r="AM71" s="204">
        <f t="shared" si="112"/>
        <v>126.55974191255379</v>
      </c>
      <c r="AN71" s="204">
        <f t="shared" si="112"/>
        <v>136.11142054746352</v>
      </c>
      <c r="AO71" s="204">
        <f t="shared" si="112"/>
        <v>145.66309918237323</v>
      </c>
      <c r="AP71" s="204">
        <f t="shared" si="112"/>
        <v>155.21477781728296</v>
      </c>
      <c r="AQ71" s="204">
        <f t="shared" si="112"/>
        <v>164.76645645219267</v>
      </c>
      <c r="AR71" s="204">
        <f t="shared" si="112"/>
        <v>174.31813508710241</v>
      </c>
      <c r="AS71" s="204">
        <f t="shared" si="112"/>
        <v>183.86981372201211</v>
      </c>
      <c r="AT71" s="204">
        <f t="shared" si="112"/>
        <v>193.42149235692185</v>
      </c>
      <c r="AU71" s="204">
        <f t="shared" si="112"/>
        <v>202.97317099183155</v>
      </c>
      <c r="AV71" s="204">
        <f t="shared" si="112"/>
        <v>212.52484962674129</v>
      </c>
      <c r="AW71" s="204">
        <f t="shared" si="112"/>
        <v>222.07652826165099</v>
      </c>
      <c r="AX71" s="204">
        <f t="shared" si="112"/>
        <v>231.62820689656073</v>
      </c>
      <c r="AY71" s="204">
        <f t="shared" si="112"/>
        <v>241.17988553147043</v>
      </c>
      <c r="AZ71" s="204">
        <f t="shared" si="112"/>
        <v>250.73156416638017</v>
      </c>
      <c r="BA71" s="204">
        <f t="shared" si="112"/>
        <v>260.28324280128987</v>
      </c>
      <c r="BB71" s="204">
        <f t="shared" si="112"/>
        <v>269.83492143619958</v>
      </c>
      <c r="BC71" s="204">
        <f t="shared" si="112"/>
        <v>279.38660007110934</v>
      </c>
      <c r="BD71" s="204">
        <f t="shared" si="112"/>
        <v>288.93827870601905</v>
      </c>
      <c r="BE71" s="204">
        <f t="shared" si="112"/>
        <v>298.48995734092875</v>
      </c>
      <c r="BF71" s="204">
        <f t="shared" si="112"/>
        <v>308.04163597583846</v>
      </c>
      <c r="BG71" s="204">
        <f t="shared" si="112"/>
        <v>317.59331461074822</v>
      </c>
      <c r="BH71" s="204">
        <f t="shared" si="112"/>
        <v>327.14499324565793</v>
      </c>
      <c r="BI71" s="204">
        <f t="shared" si="112"/>
        <v>336.69667188056764</v>
      </c>
      <c r="BJ71" s="204">
        <f t="shared" si="112"/>
        <v>346.24835051547734</v>
      </c>
      <c r="BK71" s="204">
        <f t="shared" si="112"/>
        <v>525.91341898295389</v>
      </c>
      <c r="BL71" s="204">
        <f t="shared" si="112"/>
        <v>762.28295072795277</v>
      </c>
      <c r="BM71" s="204">
        <f t="shared" si="112"/>
        <v>998.65248247295153</v>
      </c>
      <c r="BN71" s="204">
        <f t="shared" si="112"/>
        <v>1235.0220142179503</v>
      </c>
      <c r="BO71" s="204">
        <f t="shared" si="112"/>
        <v>1471.3915459629491</v>
      </c>
      <c r="BP71" s="204">
        <f t="shared" si="112"/>
        <v>1707.7610777079478</v>
      </c>
      <c r="BQ71" s="204">
        <f t="shared" si="112"/>
        <v>1944.1306094529466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2180.5001411979456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2416.8696729429439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2653.2392046879431</v>
      </c>
      <c r="BU71" s="204">
        <f t="shared" ref="BU71:DA71" si="113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2889.6087364329414</v>
      </c>
      <c r="BV71" s="204">
        <f t="shared" si="113"/>
        <v>3125.9782681779407</v>
      </c>
      <c r="BW71" s="204">
        <f t="shared" si="113"/>
        <v>3362.3477999229399</v>
      </c>
      <c r="BX71" s="204">
        <f t="shared" si="113"/>
        <v>3598.7173316679382</v>
      </c>
      <c r="BY71" s="204">
        <f t="shared" si="113"/>
        <v>3835.0868634129374</v>
      </c>
      <c r="BZ71" s="204">
        <f t="shared" si="113"/>
        <v>4071.4563951579357</v>
      </c>
      <c r="CA71" s="204">
        <f t="shared" si="113"/>
        <v>4307.825926902935</v>
      </c>
      <c r="CB71" s="204">
        <f t="shared" si="113"/>
        <v>4544.1954586479333</v>
      </c>
      <c r="CC71" s="204">
        <f t="shared" si="113"/>
        <v>4780.5649903929316</v>
      </c>
      <c r="CD71" s="204">
        <f t="shared" si="113"/>
        <v>5016.9345221379308</v>
      </c>
      <c r="CE71" s="204">
        <f t="shared" si="113"/>
        <v>5253.30405388293</v>
      </c>
      <c r="CF71" s="204">
        <f t="shared" si="113"/>
        <v>5489.6735856279283</v>
      </c>
      <c r="CG71" s="204">
        <f t="shared" si="113"/>
        <v>5726.0431173729276</v>
      </c>
      <c r="CH71" s="204">
        <f t="shared" si="113"/>
        <v>5962.4126491179259</v>
      </c>
      <c r="CI71" s="204">
        <f t="shared" si="113"/>
        <v>6198.7821808629251</v>
      </c>
      <c r="CJ71" s="204">
        <f t="shared" si="113"/>
        <v>7185.234752097278</v>
      </c>
      <c r="CK71" s="204">
        <f t="shared" si="113"/>
        <v>8421.7150031614165</v>
      </c>
      <c r="CL71" s="204">
        <f t="shared" si="113"/>
        <v>9658.1952542255549</v>
      </c>
      <c r="CM71" s="204">
        <f t="shared" si="113"/>
        <v>10894.675505289695</v>
      </c>
      <c r="CN71" s="204">
        <f t="shared" si="113"/>
        <v>12131.155756353834</v>
      </c>
      <c r="CO71" s="204">
        <f t="shared" si="113"/>
        <v>13367.636007417972</v>
      </c>
      <c r="CP71" s="204">
        <f t="shared" si="113"/>
        <v>14604.11625848211</v>
      </c>
      <c r="CQ71" s="204">
        <f t="shared" si="113"/>
        <v>15840.596509546249</v>
      </c>
      <c r="CR71" s="204">
        <f t="shared" si="113"/>
        <v>17077.076760610387</v>
      </c>
      <c r="CS71" s="204">
        <f t="shared" si="113"/>
        <v>18313.557011674526</v>
      </c>
      <c r="CT71" s="204">
        <f t="shared" si="113"/>
        <v>19550.037262738664</v>
      </c>
      <c r="CU71" s="204">
        <f t="shared" si="113"/>
        <v>20786.517513802803</v>
      </c>
      <c r="CV71" s="204">
        <f t="shared" si="113"/>
        <v>22022.997764866945</v>
      </c>
      <c r="CW71" s="204">
        <f t="shared" si="113"/>
        <v>23024.440453165047</v>
      </c>
      <c r="CX71" s="204">
        <f t="shared" si="113"/>
        <v>23320.770453165045</v>
      </c>
      <c r="CY71" s="204">
        <f t="shared" si="113"/>
        <v>23617.100453165047</v>
      </c>
      <c r="CZ71" s="204">
        <f t="shared" si="113"/>
        <v>23913.430453165045</v>
      </c>
      <c r="DA71" s="204">
        <f t="shared" si="113"/>
        <v>24209.760453165047</v>
      </c>
    </row>
    <row r="72" spans="1:105" s="204" customFormat="1">
      <c r="A72" s="204" t="str">
        <f>Income!A88</f>
        <v>TOTAL</v>
      </c>
      <c r="F72" s="204">
        <f>SUM(F59:F71)</f>
        <v>45050.93541454259</v>
      </c>
      <c r="G72" s="204">
        <f t="shared" ref="G72:BR72" si="114">SUM(G59:G71)</f>
        <v>44710.675414542595</v>
      </c>
      <c r="H72" s="204">
        <f t="shared" si="114"/>
        <v>44370.415414542585</v>
      </c>
      <c r="I72" s="204">
        <f t="shared" si="114"/>
        <v>44030.155414542591</v>
      </c>
      <c r="J72" s="204">
        <f t="shared" si="114"/>
        <v>43689.895414542581</v>
      </c>
      <c r="K72" s="204">
        <f t="shared" si="114"/>
        <v>43349.635414542587</v>
      </c>
      <c r="L72" s="204">
        <f t="shared" si="114"/>
        <v>43009.375414542592</v>
      </c>
      <c r="M72" s="204">
        <f t="shared" si="114"/>
        <v>42669.115414542583</v>
      </c>
      <c r="N72" s="204">
        <f t="shared" si="114"/>
        <v>42328.855414542588</v>
      </c>
      <c r="O72" s="204">
        <f t="shared" si="114"/>
        <v>41988.595414542593</v>
      </c>
      <c r="P72" s="204">
        <f t="shared" si="114"/>
        <v>41648.335414542584</v>
      </c>
      <c r="Q72" s="204">
        <f t="shared" si="114"/>
        <v>41308.075414542589</v>
      </c>
      <c r="R72" s="204">
        <f t="shared" si="114"/>
        <v>40967.81541454258</v>
      </c>
      <c r="S72" s="204">
        <f t="shared" si="114"/>
        <v>40627.555414542585</v>
      </c>
      <c r="T72" s="204">
        <f t="shared" si="114"/>
        <v>40287.29541454259</v>
      </c>
      <c r="U72" s="204">
        <f t="shared" si="114"/>
        <v>39947.035414542588</v>
      </c>
      <c r="V72" s="204">
        <f t="shared" si="114"/>
        <v>39606.775414542586</v>
      </c>
      <c r="W72" s="204">
        <f t="shared" si="114"/>
        <v>39266.515414542584</v>
      </c>
      <c r="X72" s="204">
        <f t="shared" si="114"/>
        <v>38926.255414542589</v>
      </c>
      <c r="Y72" s="204">
        <f t="shared" si="114"/>
        <v>38585.995414542587</v>
      </c>
      <c r="Z72" s="204">
        <f t="shared" si="114"/>
        <v>38437.719031922257</v>
      </c>
      <c r="AA72" s="204">
        <f t="shared" si="114"/>
        <v>38865.393501440929</v>
      </c>
      <c r="AB72" s="204">
        <f t="shared" si="114"/>
        <v>39293.067970959593</v>
      </c>
      <c r="AC72" s="204">
        <f t="shared" si="114"/>
        <v>39720.742440478258</v>
      </c>
      <c r="AD72" s="204">
        <f t="shared" si="114"/>
        <v>40148.416909996929</v>
      </c>
      <c r="AE72" s="204">
        <f t="shared" si="114"/>
        <v>40576.091379515608</v>
      </c>
      <c r="AF72" s="204">
        <f t="shared" si="114"/>
        <v>41003.765849034273</v>
      </c>
      <c r="AG72" s="204">
        <f t="shared" si="114"/>
        <v>41431.440318552945</v>
      </c>
      <c r="AH72" s="204">
        <f t="shared" si="114"/>
        <v>41859.114788071616</v>
      </c>
      <c r="AI72" s="204">
        <f t="shared" si="114"/>
        <v>42286.789257590281</v>
      </c>
      <c r="AJ72" s="204">
        <f t="shared" si="114"/>
        <v>42714.463727108952</v>
      </c>
      <c r="AK72" s="204">
        <f t="shared" si="114"/>
        <v>43142.138196627624</v>
      </c>
      <c r="AL72" s="204">
        <f t="shared" si="114"/>
        <v>43569.812666146296</v>
      </c>
      <c r="AM72" s="204">
        <f t="shared" si="114"/>
        <v>43997.487135664967</v>
      </c>
      <c r="AN72" s="204">
        <f t="shared" si="114"/>
        <v>44425.161605183632</v>
      </c>
      <c r="AO72" s="204">
        <f t="shared" si="114"/>
        <v>44852.836074702311</v>
      </c>
      <c r="AP72" s="204">
        <f t="shared" si="114"/>
        <v>45280.510544220968</v>
      </c>
      <c r="AQ72" s="204">
        <f t="shared" si="114"/>
        <v>45708.18501373964</v>
      </c>
      <c r="AR72" s="204">
        <f t="shared" si="114"/>
        <v>46135.859483258311</v>
      </c>
      <c r="AS72" s="204">
        <f t="shared" si="114"/>
        <v>46563.533952776983</v>
      </c>
      <c r="AT72" s="204">
        <f t="shared" si="114"/>
        <v>46991.208422295655</v>
      </c>
      <c r="AU72" s="204">
        <f t="shared" si="114"/>
        <v>47418.882891814319</v>
      </c>
      <c r="AV72" s="204">
        <f t="shared" si="114"/>
        <v>47846.557361332991</v>
      </c>
      <c r="AW72" s="204">
        <f t="shared" si="114"/>
        <v>48274.231830851662</v>
      </c>
      <c r="AX72" s="204">
        <f t="shared" si="114"/>
        <v>48701.906300370334</v>
      </c>
      <c r="AY72" s="204">
        <f t="shared" si="114"/>
        <v>49129.580769889006</v>
      </c>
      <c r="AZ72" s="204">
        <f t="shared" si="114"/>
        <v>49557.25523940767</v>
      </c>
      <c r="BA72" s="204">
        <f t="shared" si="114"/>
        <v>49984.929708926349</v>
      </c>
      <c r="BB72" s="204">
        <f t="shared" si="114"/>
        <v>50412.604178445014</v>
      </c>
      <c r="BC72" s="204">
        <f t="shared" si="114"/>
        <v>50840.278647963678</v>
      </c>
      <c r="BD72" s="204">
        <f t="shared" si="114"/>
        <v>51267.95311748235</v>
      </c>
      <c r="BE72" s="204">
        <f t="shared" si="114"/>
        <v>51695.627587001021</v>
      </c>
      <c r="BF72" s="204">
        <f t="shared" si="114"/>
        <v>52123.302056519693</v>
      </c>
      <c r="BG72" s="204">
        <f t="shared" si="114"/>
        <v>52550.976526038365</v>
      </c>
      <c r="BH72" s="204">
        <f t="shared" si="114"/>
        <v>52978.650995557036</v>
      </c>
      <c r="BI72" s="204">
        <f t="shared" si="114"/>
        <v>53406.325465075708</v>
      </c>
      <c r="BJ72" s="204">
        <f t="shared" si="114"/>
        <v>53833.999934594372</v>
      </c>
      <c r="BK72" s="204">
        <f t="shared" si="114"/>
        <v>56621.521923501808</v>
      </c>
      <c r="BL72" s="204">
        <f t="shared" si="114"/>
        <v>60195.659752205509</v>
      </c>
      <c r="BM72" s="204">
        <f t="shared" si="114"/>
        <v>63769.797580909195</v>
      </c>
      <c r="BN72" s="204">
        <f t="shared" si="114"/>
        <v>67343.935409612895</v>
      </c>
      <c r="BO72" s="204">
        <f t="shared" si="114"/>
        <v>70918.073238316603</v>
      </c>
      <c r="BP72" s="204">
        <f t="shared" si="114"/>
        <v>74492.211067020282</v>
      </c>
      <c r="BQ72" s="204">
        <f t="shared" si="114"/>
        <v>78066.348895723975</v>
      </c>
      <c r="BR72" s="204">
        <f t="shared" si="114"/>
        <v>81640.486724427668</v>
      </c>
      <c r="BS72" s="204">
        <f t="shared" ref="BS72:DA72" si="115">SUM(BS59:BS71)</f>
        <v>85214.624553131362</v>
      </c>
      <c r="BT72" s="204">
        <f t="shared" si="115"/>
        <v>88788.762381835055</v>
      </c>
      <c r="BU72" s="204">
        <f t="shared" si="115"/>
        <v>92362.900210538763</v>
      </c>
      <c r="BV72" s="204">
        <f t="shared" si="115"/>
        <v>95937.038039242441</v>
      </c>
      <c r="BW72" s="204">
        <f t="shared" si="115"/>
        <v>99511.175867946135</v>
      </c>
      <c r="BX72" s="204">
        <f t="shared" si="115"/>
        <v>103085.31369664983</v>
      </c>
      <c r="BY72" s="204">
        <f t="shared" si="115"/>
        <v>106659.45152535352</v>
      </c>
      <c r="BZ72" s="204">
        <f t="shared" si="115"/>
        <v>110233.58935405721</v>
      </c>
      <c r="CA72" s="204">
        <f t="shared" si="115"/>
        <v>113807.72718276092</v>
      </c>
      <c r="CB72" s="204">
        <f t="shared" si="115"/>
        <v>117381.86501146463</v>
      </c>
      <c r="CC72" s="204">
        <f t="shared" si="115"/>
        <v>120956.00284016829</v>
      </c>
      <c r="CD72" s="204">
        <f t="shared" si="115"/>
        <v>124530.140668872</v>
      </c>
      <c r="CE72" s="204">
        <f t="shared" si="115"/>
        <v>128104.27849757569</v>
      </c>
      <c r="CF72" s="204">
        <f t="shared" si="115"/>
        <v>131678.4163262794</v>
      </c>
      <c r="CG72" s="204">
        <f t="shared" si="115"/>
        <v>135252.55415498308</v>
      </c>
      <c r="CH72" s="204">
        <f t="shared" si="115"/>
        <v>138826.69198368679</v>
      </c>
      <c r="CI72" s="204">
        <f t="shared" si="115"/>
        <v>142400.8298123905</v>
      </c>
      <c r="CJ72" s="204">
        <f t="shared" si="115"/>
        <v>152414.00761898427</v>
      </c>
      <c r="CK72" s="204">
        <f t="shared" si="115"/>
        <v>164573.53208487472</v>
      </c>
      <c r="CL72" s="204">
        <f t="shared" si="115"/>
        <v>176733.05655076524</v>
      </c>
      <c r="CM72" s="204">
        <f t="shared" si="115"/>
        <v>188892.58101665572</v>
      </c>
      <c r="CN72" s="204">
        <f t="shared" si="115"/>
        <v>201052.10548254621</v>
      </c>
      <c r="CO72" s="204">
        <f t="shared" si="115"/>
        <v>213211.62994843669</v>
      </c>
      <c r="CP72" s="204">
        <f t="shared" si="115"/>
        <v>225371.15441432715</v>
      </c>
      <c r="CQ72" s="204">
        <f t="shared" si="115"/>
        <v>237530.67888021763</v>
      </c>
      <c r="CR72" s="204">
        <f t="shared" si="115"/>
        <v>249690.20334610812</v>
      </c>
      <c r="CS72" s="204">
        <f t="shared" si="115"/>
        <v>261849.72781199863</v>
      </c>
      <c r="CT72" s="204">
        <f t="shared" si="115"/>
        <v>274009.25227788906</v>
      </c>
      <c r="CU72" s="204">
        <f t="shared" si="115"/>
        <v>286168.77674377954</v>
      </c>
      <c r="CV72" s="204">
        <f t="shared" si="115"/>
        <v>298328.30120967003</v>
      </c>
      <c r="CW72" s="204">
        <f t="shared" si="115"/>
        <v>309892.89480908791</v>
      </c>
      <c r="CX72" s="204">
        <f t="shared" si="115"/>
        <v>319672.69580908795</v>
      </c>
      <c r="CY72" s="204">
        <f t="shared" si="115"/>
        <v>329452.49680908793</v>
      </c>
      <c r="CZ72" s="204">
        <f t="shared" si="115"/>
        <v>339232.2978090879</v>
      </c>
      <c r="DA72" s="204">
        <f t="shared" si="115"/>
        <v>349012.09880908794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78" spans="1:105">
      <c r="A78" s="202"/>
    </row>
    <row r="79" spans="1:105">
      <c r="A79" s="202"/>
    </row>
    <row r="80" spans="1:105">
      <c r="A80" s="202"/>
    </row>
    <row r="81" spans="1:15">
      <c r="A81" s="202"/>
    </row>
    <row r="96" spans="1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39.5</v>
      </c>
      <c r="D107" s="214">
        <f>C23</f>
        <v>73</v>
      </c>
      <c r="E107" s="214">
        <f>D23</f>
        <v>89.5</v>
      </c>
      <c r="F107" s="214">
        <f>E23</f>
        <v>100</v>
      </c>
      <c r="AD107" s="201" t="s">
        <v>117</v>
      </c>
    </row>
    <row r="108" spans="1:31">
      <c r="A108" s="213" t="str">
        <f t="shared" ref="A108:A120" si="116">A42</f>
        <v>Own crops Consumed</v>
      </c>
      <c r="B108" s="212">
        <v>0</v>
      </c>
      <c r="C108" s="212">
        <f>AD42</f>
        <v>45.83618133029097</v>
      </c>
      <c r="D108" s="212">
        <f>BU42</f>
        <v>-16.805851213711957</v>
      </c>
      <c r="E108" s="212">
        <f>CR42</f>
        <v>-78.91272006325724</v>
      </c>
      <c r="F108" s="212">
        <f xml:space="preserve"> 0.0529*F107^2 - 5.8907*F107 + 166.43</f>
        <v>106.36000000000007</v>
      </c>
    </row>
    <row r="109" spans="1:31">
      <c r="A109" s="213" t="str">
        <f t="shared" si="116"/>
        <v>Own crops sold</v>
      </c>
      <c r="B109" s="212">
        <f xml:space="preserve"> 0.2249*B107^2 + 18.644*B107 + 340.26</f>
        <v>340.26</v>
      </c>
      <c r="C109" s="212">
        <f>AD43</f>
        <v>41.105929937058541</v>
      </c>
      <c r="D109" s="212">
        <f t="shared" ref="D109:D120" si="117">BU43</f>
        <v>373.39354695975197</v>
      </c>
      <c r="E109" s="212">
        <f t="shared" ref="E109:E120" si="118">CR43</f>
        <v>833.73285036555046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16"/>
        <v>Animal products consumed</v>
      </c>
      <c r="B110" s="212">
        <v>0</v>
      </c>
      <c r="C110" s="212">
        <f t="shared" ref="C110:C120" si="119">AD44</f>
        <v>13.550886419716154</v>
      </c>
      <c r="D110" s="212">
        <f t="shared" si="117"/>
        <v>32.842597103089481</v>
      </c>
      <c r="E110" s="212">
        <f t="shared" si="118"/>
        <v>20.418646632837273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151980.58169727266</v>
      </c>
    </row>
    <row r="111" spans="1:31">
      <c r="A111" s="213" t="str">
        <f t="shared" si="116"/>
        <v>Animal products sold</v>
      </c>
      <c r="B111" s="212">
        <v>0</v>
      </c>
      <c r="C111" s="212">
        <f t="shared" si="119"/>
        <v>0</v>
      </c>
      <c r="D111" s="212">
        <f t="shared" si="117"/>
        <v>0</v>
      </c>
      <c r="E111" s="212">
        <f t="shared" si="118"/>
        <v>0</v>
      </c>
      <c r="F111" s="212">
        <v>0</v>
      </c>
      <c r="AD111" s="217" t="s">
        <v>119</v>
      </c>
      <c r="AE111" s="212">
        <f>AE109/AE110</f>
        <v>8.7844390881508694E-2</v>
      </c>
    </row>
    <row r="112" spans="1:31">
      <c r="A112" s="213" t="str">
        <f t="shared" si="116"/>
        <v>Animals sold</v>
      </c>
      <c r="B112" s="212">
        <v>0</v>
      </c>
      <c r="C112" s="212">
        <f t="shared" si="119"/>
        <v>191.8651306028807</v>
      </c>
      <c r="D112" s="212">
        <f t="shared" si="117"/>
        <v>469.94294200886941</v>
      </c>
      <c r="E112" s="212">
        <f t="shared" si="118"/>
        <v>705.74934365275089</v>
      </c>
      <c r="F112" s="212">
        <v>0</v>
      </c>
    </row>
    <row r="113" spans="1:31">
      <c r="A113" s="213" t="str">
        <f t="shared" si="116"/>
        <v>Wild foods consumed and sold</v>
      </c>
      <c r="B113" s="212">
        <v>0</v>
      </c>
      <c r="C113" s="212">
        <f t="shared" si="119"/>
        <v>3.3207684808992659</v>
      </c>
      <c r="D113" s="212">
        <f t="shared" si="117"/>
        <v>-1.4436396421722042</v>
      </c>
      <c r="E113" s="212">
        <f t="shared" si="118"/>
        <v>-6.3049672961865255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16"/>
        <v>Labour - casual</v>
      </c>
      <c r="B114" s="212">
        <v>0</v>
      </c>
      <c r="C114" s="212">
        <f t="shared" si="119"/>
        <v>-77.80239057978082</v>
      </c>
      <c r="D114" s="212">
        <f t="shared" si="117"/>
        <v>2285.9289211852479</v>
      </c>
      <c r="E114" s="212">
        <f t="shared" si="118"/>
        <v>-4416.7104703301711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16"/>
        <v>Labour - formal emp</v>
      </c>
      <c r="B115" s="212">
        <v>0</v>
      </c>
      <c r="C115" s="212">
        <f t="shared" si="119"/>
        <v>0</v>
      </c>
      <c r="D115" s="212">
        <f t="shared" si="117"/>
        <v>1128.3861910095411</v>
      </c>
      <c r="E115" s="212">
        <f t="shared" si="118"/>
        <v>9348.0743342666556</v>
      </c>
      <c r="F115" s="212">
        <f xml:space="preserve"> -2.582*F107^2 + 352.49*F107 - 6757.3</f>
        <v>2671.7</v>
      </c>
    </row>
    <row r="116" spans="1:31">
      <c r="A116" s="213" t="str">
        <f t="shared" si="116"/>
        <v>Self - employment</v>
      </c>
      <c r="B116" s="212">
        <v>0</v>
      </c>
      <c r="C116" s="212">
        <f t="shared" si="119"/>
        <v>0</v>
      </c>
      <c r="D116" s="212">
        <f t="shared" si="117"/>
        <v>0</v>
      </c>
      <c r="E116" s="212">
        <f t="shared" si="118"/>
        <v>0</v>
      </c>
      <c r="F116" s="212">
        <f xml:space="preserve"> 0.025*F107^2 - 2.8902*F107 + 868.55</f>
        <v>829.53</v>
      </c>
    </row>
    <row r="117" spans="1:31">
      <c r="A117" s="213" t="str">
        <f t="shared" si="116"/>
        <v>Small business/petty trading</v>
      </c>
      <c r="B117" s="212">
        <v>0</v>
      </c>
      <c r="C117" s="212">
        <f t="shared" si="119"/>
        <v>-11.6867597415366</v>
      </c>
      <c r="D117" s="212">
        <f t="shared" si="117"/>
        <v>-45.93795559942464</v>
      </c>
      <c r="E117" s="212">
        <f t="shared" si="118"/>
        <v>4515.6954305996042</v>
      </c>
      <c r="F117" s="212">
        <f xml:space="preserve"> 1.6289*F107^2 - 121.84*F107 + 2098.5</f>
        <v>6203.5</v>
      </c>
    </row>
    <row r="118" spans="1:31">
      <c r="A118" s="213" t="str">
        <f t="shared" si="116"/>
        <v>Food transfer - official</v>
      </c>
      <c r="B118" s="212">
        <f xml:space="preserve"> 0</f>
        <v>0</v>
      </c>
      <c r="C118" s="212">
        <f t="shared" si="119"/>
        <v>1.3690982448928206</v>
      </c>
      <c r="D118" s="212">
        <f t="shared" si="117"/>
        <v>-11.409443239359371</v>
      </c>
      <c r="E118" s="212">
        <f t="shared" si="118"/>
        <v>-140.99604953681703</v>
      </c>
      <c r="F118" s="212">
        <f>0.0411*F107^2 - 5.0851*F107 + 112.24</f>
        <v>14.730000000000004</v>
      </c>
    </row>
    <row r="119" spans="1:31">
      <c r="A119" s="213" t="str">
        <f t="shared" si="116"/>
        <v>Cash transfer - official</v>
      </c>
      <c r="B119" s="212">
        <v>0</v>
      </c>
      <c r="C119" s="212">
        <f t="shared" si="119"/>
        <v>210.56394618933919</v>
      </c>
      <c r="D119" s="212">
        <f t="shared" si="117"/>
        <v>-877.12901161313641</v>
      </c>
      <c r="E119" s="212">
        <f t="shared" si="118"/>
        <v>142.29781653537847</v>
      </c>
      <c r="F119" s="212">
        <f xml:space="preserve"> -0.4727*F107^2 + 44.988*F107 - 899.63</f>
        <v>-1127.83</v>
      </c>
    </row>
    <row r="120" spans="1:31">
      <c r="A120" s="213" t="str">
        <f t="shared" si="116"/>
        <v>Cash transfer - gifts</v>
      </c>
      <c r="B120" s="212">
        <v>0</v>
      </c>
      <c r="C120" s="212">
        <f t="shared" si="119"/>
        <v>9.5516786349097202</v>
      </c>
      <c r="D120" s="212">
        <f t="shared" si="117"/>
        <v>236.3695317449988</v>
      </c>
      <c r="E120" s="212">
        <f t="shared" si="118"/>
        <v>1236.4802510641387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2016-06-02T06:22:34Z</dcterms:modified>
  <cp:category/>
</cp:coreProperties>
</file>