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60" windowHeight="166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0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0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0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<sst xmlns="http://schemas.openxmlformats.org/spreadsheetml/2006/main" count="790" uniqueCount="145">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</sst>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0.343833780821918</c:v>
                </c:pt>
                <c:pt idx="2" formatCode="0.0%">
                  <c:v>0.343833780821918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0.0159900373599004</c:v>
                </c:pt>
                <c:pt idx="2" formatCode="0.0%">
                  <c:v>0.0165317269695396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0.00540784557907845</c:v>
                </c:pt>
                <c:pt idx="2" formatCode="0.0%">
                  <c:v>0.00540784557907845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0.0788609589041096</c:v>
                </c:pt>
                <c:pt idx="2" formatCode="0.0%">
                  <c:v>0.0707271181639313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0.0473165753424657</c:v>
                </c:pt>
                <c:pt idx="2" formatCode="0.0%">
                  <c:v>0.0424362708983588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0.00952772729391674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0.00743724703348943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0.113658092280732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0.207895105336066</c:v>
                </c:pt>
                <c:pt idx="2" formatCode="0.0%">
                  <c:v>0.215807570893409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115576"/>
        <c:axId val="-2062112280"/>
      </c:barChart>
      <c:catAx>
        <c:axId val="-206211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112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112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11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0.0617881921717502</c:v>
                </c:pt>
                <c:pt idx="2">
                  <c:v>0.0614813132707037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0.00463411441288127</c:v>
                </c:pt>
                <c:pt idx="2">
                  <c:v>0.00461109849530278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0.0287660688571803</c:v>
                </c:pt>
                <c:pt idx="2">
                  <c:v>0.0290518095234156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0.0057271894226993</c:v>
                </c:pt>
                <c:pt idx="2">
                  <c:v>0.00571865597868186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0.0735665663044901</c:v>
                </c:pt>
                <c:pt idx="2">
                  <c:v>0.0735665663044901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003448"/>
        <c:axId val="2094877400"/>
      </c:barChart>
      <c:catAx>
        <c:axId val="209500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87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87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003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0.0276812550399531</c:v>
                </c:pt>
                <c:pt idx="2">
                  <c:v>0.0276812550399531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0.00622828238398944</c:v>
                </c:pt>
                <c:pt idx="2">
                  <c:v>0.00625706476084488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0.040272707279525</c:v>
                </c:pt>
                <c:pt idx="2">
                  <c:v>0.0408310366068309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0.00513158859321164</c:v>
                </c:pt>
                <c:pt idx="2">
                  <c:v>0.00513158859321164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0.581306355839015</c:v>
                </c:pt>
                <c:pt idx="2">
                  <c:v>0.581306355839015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0.0329579942819441</c:v>
                </c:pt>
                <c:pt idx="2">
                  <c:v>0.0329579942819441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242920"/>
        <c:axId val="-2056246056"/>
      </c:barChart>
      <c:catAx>
        <c:axId val="-205624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24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24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24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0.0293296089385475</c:v>
                </c:pt>
                <c:pt idx="2">
                  <c:v>0.0293296089385475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0.0368715083798883</c:v>
                </c:pt>
                <c:pt idx="2">
                  <c:v>0.0368715083798883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0.251396648044693</c:v>
                </c:pt>
                <c:pt idx="2">
                  <c:v>0.251396648044693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0.740283859278273</c:v>
                </c:pt>
                <c:pt idx="2">
                  <c:v>0.740283859278273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899992"/>
        <c:axId val="-2037896968"/>
      </c:barChart>
      <c:catAx>
        <c:axId val="-203789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89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89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89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2084.04198940352</c:v>
                </c:pt>
                <c:pt idx="5">
                  <c:v>4472.18374554169</c:v>
                </c:pt>
                <c:pt idx="6">
                  <c:v>4906.704361648349</c:v>
                </c:pt>
                <c:pt idx="7">
                  <c:v>6225.639558230834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484.1162044664949</c:v>
                </c:pt>
                <c:pt idx="6">
                  <c:v>5099.74245063404</c:v>
                </c:pt>
                <c:pt idx="7">
                  <c:v>15047.42808849072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44.30832336352754</c:v>
                </c:pt>
                <c:pt idx="6">
                  <c:v>262.8729747051785</c:v>
                </c:pt>
                <c:pt idx="7">
                  <c:v>378.1438472056058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3519.704</c:v>
                </c:pt>
                <c:pt idx="6">
                  <c:v>9693.69472282606</c:v>
                </c:pt>
                <c:pt idx="7">
                  <c:v>11110.86288966444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8413.800000000001</c:v>
                </c:pt>
                <c:pt idx="5">
                  <c:v>14988.28341349424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11328.0</c:v>
                </c:pt>
                <c:pt idx="6">
                  <c:v>0.0</c:v>
                </c:pt>
                <c:pt idx="7">
                  <c:v>190310.4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5168.374021115927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19611.6</c:v>
                </c:pt>
                <c:pt idx="5">
                  <c:v>19611.6</c:v>
                </c:pt>
                <c:pt idx="6">
                  <c:v>10789.92</c:v>
                </c:pt>
                <c:pt idx="7">
                  <c:v>10789.92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776984"/>
        <c:axId val="-20377736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776984"/>
        <c:axId val="-2037773608"/>
      </c:lineChart>
      <c:catAx>
        <c:axId val="-203777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77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77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77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658088"/>
        <c:axId val="-20376548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658088"/>
        <c:axId val="-2037654856"/>
      </c:lineChart>
      <c:catAx>
        <c:axId val="-203765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654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654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65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565384"/>
        <c:axId val="-203756210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565384"/>
        <c:axId val="-2037562104"/>
      </c:lineChart>
      <c:catAx>
        <c:axId val="-2037565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56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56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56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0.248687668539579</c:v>
                </c:pt>
                <c:pt idx="2">
                  <c:v>0.248687668539579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0.348184648727061</c:v>
                </c:pt>
                <c:pt idx="2">
                  <c:v>0.347759675354253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0.0398339724817064</c:v>
                </c:pt>
                <c:pt idx="2">
                  <c:v>0.04135004922995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497656"/>
        <c:axId val="-2037494280"/>
      </c:barChart>
      <c:catAx>
        <c:axId val="-203749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9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49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9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0.0214443511523879</c:v>
                </c:pt>
                <c:pt idx="2">
                  <c:v>0.0163810670166088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0.243017396339263</c:v>
                </c:pt>
                <c:pt idx="2">
                  <c:v>0.248027992878635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0.0214443511523879</c:v>
                </c:pt>
                <c:pt idx="2">
                  <c:v>0.0163810670166088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435800"/>
        <c:axId val="-2037432392"/>
      </c:barChart>
      <c:catAx>
        <c:axId val="-203743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32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432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3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0.00988523777304007</c:v>
                </c:pt>
                <c:pt idx="2">
                  <c:v>0.00157891493183608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0.524378117645989</c:v>
                </c:pt>
                <c:pt idx="2">
                  <c:v>0.533271552191354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0.00988523777304007</c:v>
                </c:pt>
                <c:pt idx="2">
                  <c:v>0.00157891493183608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048040"/>
        <c:axId val="-2038051560"/>
      </c:barChart>
      <c:catAx>
        <c:axId val="-203804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051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051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04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0.857892407122774</c:v>
                </c:pt>
                <c:pt idx="2">
                  <c:v>0.857892407122774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0.269202564944265</c:v>
                </c:pt>
                <c:pt idx="2">
                  <c:v>0.283045234429393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0.127551902249466</c:v>
                </c:pt>
                <c:pt idx="2">
                  <c:v>0.178395194500118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-0.520425788917409</c:v>
                </c:pt>
                <c:pt idx="2">
                  <c:v>-0.415775748988134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753976"/>
        <c:axId val="-2056750632"/>
      </c:barChart>
      <c:catAx>
        <c:axId val="-205675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750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750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75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0.412600536986301</c:v>
                </c:pt>
                <c:pt idx="2" formatCode="0.0%">
                  <c:v>0.404403605183566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0.0574446687422167</c:v>
                </c:pt>
                <c:pt idx="2" formatCode="0.0%">
                  <c:v>0.057510508643866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0.0133567760356528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0.0104261635418099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0.263377774981878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0.296088806638173</c:v>
                </c:pt>
                <c:pt idx="2" formatCode="0.0%">
                  <c:v>0.226178472360425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669032"/>
        <c:axId val="-2061551576"/>
      </c:barChart>
      <c:catAx>
        <c:axId val="-206166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55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55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66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722552"/>
        <c:axId val="-20627314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22552"/>
        <c:axId val="-20627314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22552"/>
        <c:axId val="-2062731416"/>
      </c:scatterChart>
      <c:catAx>
        <c:axId val="-2062722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7314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27314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7225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122200"/>
        <c:axId val="-20381255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122200"/>
        <c:axId val="-2038125592"/>
      </c:lineChart>
      <c:catAx>
        <c:axId val="-2038122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1255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8125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1222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316792"/>
        <c:axId val="-20383201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323752"/>
        <c:axId val="-2038326648"/>
      </c:scatterChart>
      <c:valAx>
        <c:axId val="-20383167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320136"/>
        <c:crosses val="autoZero"/>
        <c:crossBetween val="midCat"/>
      </c:valAx>
      <c:valAx>
        <c:axId val="-2038320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316792"/>
        <c:crosses val="autoZero"/>
        <c:crossBetween val="midCat"/>
      </c:valAx>
      <c:valAx>
        <c:axId val="-20383237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8326648"/>
        <c:crosses val="autoZero"/>
        <c:crossBetween val="midCat"/>
      </c:valAx>
      <c:valAx>
        <c:axId val="-20383266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32375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407096"/>
        <c:axId val="-20384128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07096"/>
        <c:axId val="-2038412856"/>
      </c:lineChart>
      <c:catAx>
        <c:axId val="-203840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412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8412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4070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0.0155766687422167</c:v>
                </c:pt>
                <c:pt idx="2">
                  <c:v>0.0155766687422167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0.577640751780822</c:v>
                </c:pt>
                <c:pt idx="2">
                  <c:v>0.54188965075248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>
                  <c:v>0.0441882067247821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0.013408757971366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0.0209334802243955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0.295319948843186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0.304660332206018</c:v>
                </c:pt>
                <c:pt idx="2">
                  <c:v>0.0486617275883985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537720"/>
        <c:axId val="-2062534440"/>
      </c:barChart>
      <c:catAx>
        <c:axId val="-206253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53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53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537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0.137533512328767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0.0586569115815691</c:v>
                </c:pt>
                <c:pt idx="2" formatCode="0.0%">
                  <c:v>0.0586569115815691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0.318106854208448</c:v>
                </c:pt>
                <c:pt idx="2" formatCode="0.0%">
                  <c:v>0.444906999641193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942584"/>
        <c:axId val="-2061804216"/>
      </c:barChart>
      <c:catAx>
        <c:axId val="-206194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80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804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942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0.00550592876712328</c:v>
                </c:pt>
                <c:pt idx="3">
                  <c:v>0.00550592876712328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0.388616606224763</c:v>
                </c:pt>
                <c:pt idx="1">
                  <c:v>0.481036083697503</c:v>
                </c:pt>
                <c:pt idx="2">
                  <c:v>0.505682433365406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0.0624294059017906</c:v>
                </c:pt>
                <c:pt idx="1">
                  <c:v>0.0772761545480388</c:v>
                </c:pt>
                <c:pt idx="2">
                  <c:v>0.0812354731740809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0.0186849111061147</c:v>
                </c:pt>
                <c:pt idx="1">
                  <c:v>0.0231284930153575</c:v>
                </c:pt>
                <c:pt idx="2">
                  <c:v>0.024313503756686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0.00611219348751986</c:v>
                </c:pt>
                <c:pt idx="1">
                  <c:v>0.00756577452157932</c:v>
                </c:pt>
                <c:pt idx="2">
                  <c:v>0.00795341430721464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0.282908472655725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0.169745083593435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0.0148744940669789</c:v>
                </c:pt>
                <c:pt idx="3">
                  <c:v>0.0148744940669789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0.113658092280732</c:v>
                </c:pt>
                <c:pt idx="1">
                  <c:v>0.113658092280732</c:v>
                </c:pt>
                <c:pt idx="2">
                  <c:v>0.113658092280732</c:v>
                </c:pt>
                <c:pt idx="3">
                  <c:v>0.113658092280732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2.22044604925031E-16</c:v>
                </c:pt>
                <c:pt idx="2">
                  <c:v>0.122022729485124</c:v>
                </c:pt>
                <c:pt idx="3">
                  <c:v>0.741207554088511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69336"/>
        <c:axId val="-2055566024"/>
      </c:barChart>
      <c:catAx>
        <c:axId val="-20555693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66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56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6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0.550134049315068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0.157200523038605</c:v>
                </c:pt>
                <c:pt idx="3">
                  <c:v>0.0774271232876712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0.0961773219326002</c:v>
                </c:pt>
                <c:pt idx="1">
                  <c:v>0.646311371247668</c:v>
                </c:pt>
                <c:pt idx="2">
                  <c:v>0.489110848209063</c:v>
                </c:pt>
                <c:pt idx="3">
                  <c:v>0.568884247959997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462520"/>
        <c:axId val="-2055459128"/>
      </c:barChart>
      <c:catAx>
        <c:axId val="-2055462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459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45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46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0.621295883378089</c:v>
                </c:pt>
                <c:pt idx="1">
                  <c:v>0.621295883378089</c:v>
                </c:pt>
                <c:pt idx="2">
                  <c:v>0.375022653978085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0.0883549053802203</c:v>
                </c:pt>
                <c:pt idx="1">
                  <c:v>0.0883549053802203</c:v>
                </c:pt>
                <c:pt idx="2">
                  <c:v>0.0533322238150231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0.0208523270836198</c:v>
                </c:pt>
                <c:pt idx="3">
                  <c:v>0.0208523270836198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0.263377774981878</c:v>
                </c:pt>
                <c:pt idx="1">
                  <c:v>0.263377774981878</c:v>
                </c:pt>
                <c:pt idx="2">
                  <c:v>0.263377774981878</c:v>
                </c:pt>
                <c:pt idx="3">
                  <c:v>0.263377774981878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0.24762978602355</c:v>
                </c:pt>
                <c:pt idx="3">
                  <c:v>0.657084103418152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352168"/>
        <c:axId val="-2055348792"/>
      </c:barChart>
      <c:catAx>
        <c:axId val="-20553521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348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34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352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0.626563709037141</c:v>
                </c:pt>
                <c:pt idx="1">
                  <c:v>0.626563709037141</c:v>
                </c:pt>
                <c:pt idx="2">
                  <c:v>0.576005687361813</c:v>
                </c:pt>
                <c:pt idx="3">
                  <c:v>0.338425497573824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0.0510929239241476</c:v>
                </c:pt>
                <c:pt idx="1">
                  <c:v>0.0510929239241476</c:v>
                </c:pt>
                <c:pt idx="2">
                  <c:v>0.0469701872926524</c:v>
                </c:pt>
                <c:pt idx="3">
                  <c:v>0.0275967917581806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0.0418669604487909</c:v>
                </c:pt>
                <c:pt idx="3">
                  <c:v>0.0418669604487909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0.295319948843186</c:v>
                </c:pt>
                <c:pt idx="1">
                  <c:v>0.295319948843186</c:v>
                </c:pt>
                <c:pt idx="2">
                  <c:v>0.295319948843186</c:v>
                </c:pt>
                <c:pt idx="3">
                  <c:v>0.295319948843186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1.11022302462516E-16</c:v>
                </c:pt>
                <c:pt idx="3">
                  <c:v>0.194646910353593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246296"/>
        <c:axId val="-2055242920"/>
      </c:barChart>
      <c:catAx>
        <c:axId val="-20552462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2429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24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246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0.0542753812714761</c:v>
                </c:pt>
                <c:pt idx="2">
                  <c:v>0.0542753812714761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0.00902461241533563</c:v>
                </c:pt>
                <c:pt idx="2">
                  <c:v>0.00902461241533563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0.000187303276544702</c:v>
                </c:pt>
                <c:pt idx="2">
                  <c:v>0.000187303276544702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0.0101011012004076</c:v>
                </c:pt>
                <c:pt idx="2">
                  <c:v>0.0087323335251309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0.0676737705065883</c:v>
                </c:pt>
                <c:pt idx="2">
                  <c:v>0.0676737705065883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0.102912183551439</c:v>
                </c:pt>
                <c:pt idx="2">
                  <c:v>0.102912183551439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0.0780851198152941</c:v>
                </c:pt>
                <c:pt idx="2">
                  <c:v>0.0780851198152941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0.204330847139675</c:v>
                </c:pt>
                <c:pt idx="2">
                  <c:v>0.204330847139675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0.0932254804086604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0.353747779110562</c:v>
                </c:pt>
                <c:pt idx="2">
                  <c:v>0.353747779110562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017928"/>
        <c:axId val="-2056021064"/>
      </c:barChart>
      <c:catAx>
        <c:axId val="-205601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2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02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17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2084.0419894035199</v>
      </c>
      <c r="T7" s="221">
        <f>IF($B$81=0,0,(SUMIF($N$6:$N$28,$U7,M$6:M$28)+SUMIF($N$91:$N$118,$U7,M$91:M$118))*$I$83*Poor!$B$81/$B$81)</f>
        <v>2084.0419894035199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0.13753351232876712</v>
      </c>
      <c r="J8" s="24">
        <f t="shared" si="3"/>
        <v>0.13753351232876712</v>
      </c>
      <c r="K8" s="22">
        <f t="shared" si="4"/>
        <v>0.12617753424657532</v>
      </c>
      <c r="L8" s="22">
        <f t="shared" si="5"/>
        <v>0.13753351232876712</v>
      </c>
      <c r="M8" s="223">
        <f t="shared" si="6"/>
        <v>0.13753351232876712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0.55013404931506849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0.55013404931506849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0.13753351232876712</v>
      </c>
      <c r="AJ8" s="120">
        <f t="shared" si="14"/>
        <v>0.27506702465753424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1</v>
      </c>
      <c r="H12" s="24">
        <f t="shared" si="1"/>
        <v>1</v>
      </c>
      <c r="I12" s="22">
        <f t="shared" si="2"/>
        <v>5.8656911581569111E-2</v>
      </c>
      <c r="J12" s="24">
        <f t="shared" si="3"/>
        <v>5.8656911581569111E-2</v>
      </c>
      <c r="K12" s="22">
        <f t="shared" si="4"/>
        <v>5.8656911581569111E-2</v>
      </c>
      <c r="L12" s="22">
        <f t="shared" si="5"/>
        <v>5.8656911581569111E-2</v>
      </c>
      <c r="M12" s="223">
        <f t="shared" si="6"/>
        <v>5.8656911581569111E-2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0.23462764632627645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0.15720052303860524</v>
      </c>
      <c r="AF12" s="122">
        <f>1-SUM(Z12,AB12,AD12)</f>
        <v>0.32999999999999996</v>
      </c>
      <c r="AG12" s="121">
        <f>$M12*AF12*4</f>
        <v>7.7427123287671221E-2</v>
      </c>
      <c r="AH12" s="123">
        <f t="shared" si="12"/>
        <v>1</v>
      </c>
      <c r="AI12" s="183">
        <f t="shared" si="13"/>
        <v>5.8656911581569118E-2</v>
      </c>
      <c r="AJ12" s="120">
        <f t="shared" si="14"/>
        <v>0</v>
      </c>
      <c r="AK12" s="119">
        <f t="shared" si="15"/>
        <v>0.11731382316313824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8413.8000000000011</v>
      </c>
      <c r="T13" s="221">
        <f>IF($B$81=0,0,(SUMIF($N$6:$N$28,$U13,M$6:M$28)+SUMIF($N$91:$N$118,$U13,M$91:M$118))*$I$83*Poor!$B$81/$B$81)</f>
        <v>8413.8000000000011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33369.286780496557</v>
      </c>
      <c r="T23" s="179">
        <f>SUM(T7:T22)</f>
        <v>33736.006780496558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0.70589797200302984</v>
      </c>
      <c r="J30" s="230">
        <f>IF(I$32&lt;=1,I30,1-SUM(J6:J29))</f>
        <v>0.44490699964119296</v>
      </c>
      <c r="K30" s="22">
        <f t="shared" si="4"/>
        <v>0.75497962640099636</v>
      </c>
      <c r="L30" s="22">
        <f>IF(L124=L119,0,IF(K30="",0,(L119-L124)/(B119-B124)*K30))</f>
        <v>0.31810685420844814</v>
      </c>
      <c r="M30" s="175">
        <f t="shared" si="6"/>
        <v>0.44490699964119296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1.7796279985647718</v>
      </c>
      <c r="Z30" s="122">
        <f>IF($Y30=0,0,AA30/($Y$30))</f>
        <v>5.4043497860319659E-2</v>
      </c>
      <c r="AA30" s="187">
        <f>IF(AA79*4/$I$83+SUM(AA6:AA29)&lt;1,AA79*4/$I$83,1-SUM(AA6:AA29))</f>
        <v>9.6177321932600202E-2</v>
      </c>
      <c r="AB30" s="122">
        <f>IF($Y30=0,0,AC30/($Y$30))</f>
        <v>0.36317217517869099</v>
      </c>
      <c r="AC30" s="187">
        <f>IF(AC79*4/$I$83+SUM(AC6:AC29)&lt;1,AC79*4/$I$83,1-SUM(AC6:AC29))</f>
        <v>0.64631137124766858</v>
      </c>
      <c r="AD30" s="122">
        <f>IF($Y30=0,0,AE30/($Y$30))</f>
        <v>0.27483881384397174</v>
      </c>
      <c r="AE30" s="187">
        <f>IF(AE79*4/$I$83+SUM(AE6:AE29)&lt;1,AE79*4/$I$83,1-SUM(AE6:AE29))</f>
        <v>0.48911084820906336</v>
      </c>
      <c r="AF30" s="122">
        <f>IF($Y30=0,0,AG30/($Y$30))</f>
        <v>0.31966469870039643</v>
      </c>
      <c r="AG30" s="187">
        <f>IF(AG79*4/$I$83+SUM(AG6:AG29)&lt;1,AG79*4/$I$83,1-SUM(AG6:AG29))</f>
        <v>0.56888424795999737</v>
      </c>
      <c r="AH30" s="123">
        <f t="shared" si="12"/>
        <v>1.0117191855833787</v>
      </c>
      <c r="AI30" s="183">
        <f t="shared" si="13"/>
        <v>0.45012094733733238</v>
      </c>
      <c r="AJ30" s="120">
        <f t="shared" si="14"/>
        <v>0.37124434659013439</v>
      </c>
      <c r="AK30" s="119">
        <f t="shared" si="15"/>
        <v>0.52899754808453037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0.31087240629877677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3107.5149048317398</v>
      </c>
      <c r="S31" s="233">
        <f t="shared" si="24"/>
        <v>11381.45114219364</v>
      </c>
      <c r="T31" s="233">
        <f>IF(T25&gt;T$23,T25-T$23,0)</f>
        <v>11014.731142193639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1.2609909723618369</v>
      </c>
      <c r="J32" s="17"/>
      <c r="L32" s="22">
        <f>SUM(L6:L30)</f>
        <v>0.68912759370122323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35934.891142193643</v>
      </c>
      <c r="T32" s="233">
        <f t="shared" si="24"/>
        <v>35568.171142193642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0.7213518331503711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11014.731142193645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777.00000000000011</v>
      </c>
      <c r="J43" s="38">
        <f t="shared" si="32"/>
        <v>777.00000000000011</v>
      </c>
      <c r="K43" s="40">
        <f t="shared" si="33"/>
        <v>2.6423071115808546E-2</v>
      </c>
      <c r="L43" s="22">
        <f t="shared" si="34"/>
        <v>2.932960893854749E-2</v>
      </c>
      <c r="M43" s="24">
        <f t="shared" si="35"/>
        <v>2.932960893854749E-2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194.25000000000003</v>
      </c>
      <c r="AB43" s="156">
        <f>Poor!AB43</f>
        <v>0.25</v>
      </c>
      <c r="AC43" s="147">
        <f t="shared" si="41"/>
        <v>194.25000000000003</v>
      </c>
      <c r="AD43" s="156">
        <f>Poor!AD43</f>
        <v>0.25</v>
      </c>
      <c r="AE43" s="147">
        <f t="shared" si="42"/>
        <v>194.25000000000003</v>
      </c>
      <c r="AF43" s="122">
        <f t="shared" si="29"/>
        <v>0.25</v>
      </c>
      <c r="AG43" s="147">
        <f t="shared" si="36"/>
        <v>194.25000000000003</v>
      </c>
      <c r="AH43" s="123">
        <f t="shared" si="37"/>
        <v>1</v>
      </c>
      <c r="AI43" s="112">
        <f t="shared" si="37"/>
        <v>777.00000000000011</v>
      </c>
      <c r="AJ43" s="148">
        <f t="shared" si="38"/>
        <v>388.50000000000006</v>
      </c>
      <c r="AK43" s="147">
        <f t="shared" si="39"/>
        <v>388.50000000000006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976.80000000000007</v>
      </c>
      <c r="J44" s="38">
        <f t="shared" si="32"/>
        <v>976.80000000000007</v>
      </c>
      <c r="K44" s="40">
        <f t="shared" si="33"/>
        <v>3.3217575117016458E-2</v>
      </c>
      <c r="L44" s="22">
        <f t="shared" si="34"/>
        <v>3.6871508379888271E-2</v>
      </c>
      <c r="M44" s="24">
        <f t="shared" si="35"/>
        <v>3.6871508379888271E-2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244.20000000000002</v>
      </c>
      <c r="AB44" s="156">
        <f>Poor!AB44</f>
        <v>0.25</v>
      </c>
      <c r="AC44" s="147">
        <f t="shared" si="41"/>
        <v>244.20000000000002</v>
      </c>
      <c r="AD44" s="156">
        <f>Poor!AD44</f>
        <v>0.25</v>
      </c>
      <c r="AE44" s="147">
        <f t="shared" si="42"/>
        <v>244.20000000000002</v>
      </c>
      <c r="AF44" s="122">
        <f t="shared" si="29"/>
        <v>0.25</v>
      </c>
      <c r="AG44" s="147">
        <f t="shared" si="36"/>
        <v>244.20000000000002</v>
      </c>
      <c r="AH44" s="123">
        <f t="shared" si="37"/>
        <v>1</v>
      </c>
      <c r="AI44" s="112">
        <f t="shared" si="37"/>
        <v>976.80000000000007</v>
      </c>
      <c r="AJ44" s="148">
        <f t="shared" si="38"/>
        <v>488.40000000000003</v>
      </c>
      <c r="AK44" s="147">
        <f t="shared" si="39"/>
        <v>488.40000000000003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6660.0000000000009</v>
      </c>
      <c r="J45" s="38">
        <f t="shared" si="32"/>
        <v>6660.0000000000009</v>
      </c>
      <c r="K45" s="40">
        <f t="shared" si="33"/>
        <v>0.2264834667069304</v>
      </c>
      <c r="L45" s="22">
        <f t="shared" si="34"/>
        <v>0.25139664804469275</v>
      </c>
      <c r="M45" s="24">
        <f t="shared" si="35"/>
        <v>0.25139664804469275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1665.0000000000002</v>
      </c>
      <c r="AB45" s="156">
        <f>Poor!AB45</f>
        <v>0.25</v>
      </c>
      <c r="AC45" s="147">
        <f t="shared" si="41"/>
        <v>1665.0000000000002</v>
      </c>
      <c r="AD45" s="156">
        <f>Poor!AD45</f>
        <v>0.25</v>
      </c>
      <c r="AE45" s="147">
        <f t="shared" si="42"/>
        <v>1665.0000000000002</v>
      </c>
      <c r="AF45" s="122">
        <f t="shared" si="29"/>
        <v>0.25</v>
      </c>
      <c r="AG45" s="147">
        <f t="shared" si="36"/>
        <v>1665.0000000000002</v>
      </c>
      <c r="AH45" s="123">
        <f t="shared" si="37"/>
        <v>1</v>
      </c>
      <c r="AI45" s="112">
        <f t="shared" si="37"/>
        <v>6660.0000000000009</v>
      </c>
      <c r="AJ45" s="148">
        <f t="shared" si="38"/>
        <v>3330.0000000000005</v>
      </c>
      <c r="AK45" s="147">
        <f t="shared" si="39"/>
        <v>3330.0000000000005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19611.599999999999</v>
      </c>
      <c r="J50" s="38">
        <f t="shared" si="32"/>
        <v>19611.599999999999</v>
      </c>
      <c r="K50" s="40">
        <f t="shared" si="33"/>
        <v>0.62735920277819723</v>
      </c>
      <c r="L50" s="22">
        <f t="shared" si="34"/>
        <v>0.74028385927827267</v>
      </c>
      <c r="M50" s="24">
        <f t="shared" si="35"/>
        <v>0.74028385927827267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4902.8999999999996</v>
      </c>
      <c r="AB50" s="156">
        <f>Poor!AB55</f>
        <v>0.25</v>
      </c>
      <c r="AC50" s="147">
        <f t="shared" si="41"/>
        <v>4902.8999999999996</v>
      </c>
      <c r="AD50" s="156">
        <f>Poor!AD55</f>
        <v>0.25</v>
      </c>
      <c r="AE50" s="147">
        <f t="shared" si="42"/>
        <v>4902.8999999999996</v>
      </c>
      <c r="AF50" s="122">
        <f t="shared" si="29"/>
        <v>0.25</v>
      </c>
      <c r="AG50" s="147">
        <f t="shared" si="36"/>
        <v>4902.8999999999996</v>
      </c>
      <c r="AH50" s="123">
        <f t="shared" si="37"/>
        <v>1</v>
      </c>
      <c r="AI50" s="112">
        <f t="shared" si="37"/>
        <v>19611.599999999999</v>
      </c>
      <c r="AJ50" s="148">
        <f t="shared" si="38"/>
        <v>9805.7999999999993</v>
      </c>
      <c r="AK50" s="147">
        <f t="shared" si="39"/>
        <v>9805.7999999999993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30225.72</v>
      </c>
      <c r="J65" s="39">
        <f>SUM(J37:J64)</f>
        <v>30225.72</v>
      </c>
      <c r="K65" s="40">
        <f>SUM(K37:K64)</f>
        <v>1</v>
      </c>
      <c r="L65" s="22">
        <f>SUM(L37:L64)</f>
        <v>1.1270949720670391</v>
      </c>
      <c r="M65" s="24">
        <f>SUM(M37:M64)</f>
        <v>1.1409376415521666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7556.43</v>
      </c>
      <c r="AB65" s="137"/>
      <c r="AC65" s="153">
        <f>SUM(AC37:AC64)</f>
        <v>7556.43</v>
      </c>
      <c r="AD65" s="137"/>
      <c r="AE65" s="153">
        <f>SUM(AE37:AE64)</f>
        <v>7556.43</v>
      </c>
      <c r="AF65" s="137"/>
      <c r="AG65" s="153">
        <f>SUM(AG37:AG64)</f>
        <v>7556.43</v>
      </c>
      <c r="AH65" s="137"/>
      <c r="AI65" s="153">
        <f>SUM(AI37:AI64)</f>
        <v>30225.72</v>
      </c>
      <c r="AJ65" s="153">
        <f>SUM(AJ37:AJ64)</f>
        <v>15112.86</v>
      </c>
      <c r="AK65" s="153">
        <f>SUM(AK37:AK64)</f>
        <v>15112.86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22727.28564949652</v>
      </c>
      <c r="J70" s="51">
        <f t="shared" ref="J70:J77" si="44">J124*I$83</f>
        <v>22727.28564949652</v>
      </c>
      <c r="K70" s="40">
        <f>B70/B$76</f>
        <v>0.61278029080198115</v>
      </c>
      <c r="L70" s="22">
        <f t="shared" ref="L70:L74" si="45">(L124*G$37*F$9/F$7)/B$130</f>
        <v>0.8578924071227737</v>
      </c>
      <c r="M70" s="24">
        <f>J70/B$76</f>
        <v>0.8578924071227737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5681.82141237413</v>
      </c>
      <c r="AB70" s="156">
        <f>Poor!AB70</f>
        <v>0.25</v>
      </c>
      <c r="AC70" s="147">
        <f>$J70*AB70</f>
        <v>5681.82141237413</v>
      </c>
      <c r="AD70" s="156">
        <f>Poor!AD70</f>
        <v>0.25</v>
      </c>
      <c r="AE70" s="147">
        <f>$J70*AD70</f>
        <v>5681.82141237413</v>
      </c>
      <c r="AF70" s="156">
        <f>Poor!AF70</f>
        <v>0.25</v>
      </c>
      <c r="AG70" s="147">
        <f>$J70*AF70</f>
        <v>5681.82141237413</v>
      </c>
      <c r="AH70" s="155">
        <f>SUM(Z70,AB70,AD70,AF70)</f>
        <v>1</v>
      </c>
      <c r="AI70" s="147">
        <f>SUM(AA70,AC70,AE70,AG70)</f>
        <v>22727.28564949652</v>
      </c>
      <c r="AJ70" s="148">
        <f>(AA70+AC70)</f>
        <v>11363.64282474826</v>
      </c>
      <c r="AK70" s="147">
        <f>(AE70+AG70)</f>
        <v>11363.64282474826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7498.4343505034803</v>
      </c>
      <c r="J71" s="51">
        <f t="shared" si="44"/>
        <v>7498.4343505034803</v>
      </c>
      <c r="K71" s="40">
        <f t="shared" ref="K71:K72" si="47">B71/B$76</f>
        <v>0.44103880416729579</v>
      </c>
      <c r="L71" s="22">
        <f t="shared" si="45"/>
        <v>0.26920256494426548</v>
      </c>
      <c r="M71" s="24">
        <f t="shared" ref="M71:M72" si="48">J71/B$76</f>
        <v>0.28304523442939306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7498.4343505034803</v>
      </c>
      <c r="J74" s="51">
        <f t="shared" si="44"/>
        <v>4726.0454926971261</v>
      </c>
      <c r="K74" s="40">
        <f>B74/B$76</f>
        <v>0.18347005908698555</v>
      </c>
      <c r="L74" s="22">
        <f t="shared" si="45"/>
        <v>0.1275519022494663</v>
      </c>
      <c r="M74" s="24">
        <f>J74/B$76</f>
        <v>0.17839519450011801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255.41202947235047</v>
      </c>
      <c r="AB74" s="156"/>
      <c r="AC74" s="147">
        <f>AC30*$I$83/4</f>
        <v>1716.3682215762635</v>
      </c>
      <c r="AD74" s="156"/>
      <c r="AE74" s="147">
        <f>AE30*$I$83/4</f>
        <v>1298.9007373855272</v>
      </c>
      <c r="AF74" s="156"/>
      <c r="AG74" s="147">
        <f>AG30*$I$83/4</f>
        <v>1510.7499084673934</v>
      </c>
      <c r="AH74" s="155"/>
      <c r="AI74" s="147">
        <f>SUM(AA74,AC74,AE74,AG74)</f>
        <v>4781.4308969015347</v>
      </c>
      <c r="AJ74" s="148">
        <f>(AA74+AC74)</f>
        <v>1971.780251048614</v>
      </c>
      <c r="AK74" s="147">
        <f>(AE74+AG74)</f>
        <v>2809.6506458529207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1983.0552373119965</v>
      </c>
      <c r="AB75" s="158"/>
      <c r="AC75" s="149">
        <f>AA75+AC65-SUM(AC70,AC74)</f>
        <v>2141.2956033616038</v>
      </c>
      <c r="AD75" s="158"/>
      <c r="AE75" s="149">
        <f>AC75+AE65-SUM(AE70,AE74)</f>
        <v>2717.0034536019457</v>
      </c>
      <c r="AF75" s="158"/>
      <c r="AG75" s="149">
        <f>IF(SUM(AG6:AG29)+((AG65-AG70-$J$75)*4/I$83)&lt;1,0,AG65-AG70-$J$75-(1-SUM(AG6:AG29))*I$83/4)</f>
        <v>363.85867915847689</v>
      </c>
      <c r="AH75" s="134"/>
      <c r="AI75" s="149">
        <f>AI76-SUM(AI70,AI74)</f>
        <v>2717.0034536019448</v>
      </c>
      <c r="AJ75" s="151">
        <f>AJ76-SUM(AJ70,AJ74)</f>
        <v>1777.4369242031262</v>
      </c>
      <c r="AK75" s="149">
        <f>AJ75+AK76-SUM(AK70,AK74)</f>
        <v>2717.0034536019448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30225.72</v>
      </c>
      <c r="J76" s="51">
        <f t="shared" si="44"/>
        <v>30225.72</v>
      </c>
      <c r="K76" s="40">
        <f>SUM(K70:K75)</f>
        <v>2.0572725452687042</v>
      </c>
      <c r="L76" s="22">
        <f>SUM(L70:L75)</f>
        <v>1.2546468743165053</v>
      </c>
      <c r="M76" s="24">
        <f>SUM(M70:M75)</f>
        <v>1.3193328360522849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7556.43</v>
      </c>
      <c r="AB76" s="137"/>
      <c r="AC76" s="153">
        <f>AC65</f>
        <v>7556.43</v>
      </c>
      <c r="AD76" s="137"/>
      <c r="AE76" s="153">
        <f>AE65</f>
        <v>7556.43</v>
      </c>
      <c r="AF76" s="137"/>
      <c r="AG76" s="153">
        <f>AG65</f>
        <v>7556.43</v>
      </c>
      <c r="AH76" s="137"/>
      <c r="AI76" s="153">
        <f>SUM(AA76,AC76,AE76,AG76)</f>
        <v>30225.72</v>
      </c>
      <c r="AJ76" s="154">
        <f>SUM(AA76,AC76)</f>
        <v>15112.86</v>
      </c>
      <c r="AK76" s="154">
        <f>SUM(AE76,AG76)</f>
        <v>15112.86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4"/>
        <v>11014.731142193645</v>
      </c>
      <c r="K77" s="40"/>
      <c r="L77" s="22">
        <f>-(L131*G$37*F$9/F$7)/B$130</f>
        <v>-0.52042578891740909</v>
      </c>
      <c r="M77" s="24">
        <f>-J77/B$76</f>
        <v>-0.41577574898813396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363.85867915847689</v>
      </c>
      <c r="AB78" s="112"/>
      <c r="AC78" s="112">
        <f>IF(AA75&lt;0,0,AA75)</f>
        <v>1983.0552373119965</v>
      </c>
      <c r="AD78" s="112"/>
      <c r="AE78" s="112">
        <f>AC75</f>
        <v>2141.2956033616038</v>
      </c>
      <c r="AF78" s="112"/>
      <c r="AG78" s="112">
        <f>AE75</f>
        <v>2717.0034536019457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2238.467266784347</v>
      </c>
      <c r="AB79" s="112"/>
      <c r="AC79" s="112">
        <f>AA79-AA74+AC65-AC70</f>
        <v>3857.6638249378675</v>
      </c>
      <c r="AD79" s="112"/>
      <c r="AE79" s="112">
        <f>AC79-AC74+AE65-AE70</f>
        <v>4015.9041909874732</v>
      </c>
      <c r="AF79" s="112"/>
      <c r="AG79" s="112">
        <f>AE79-AE74+AG65-AG70</f>
        <v>4591.6120412278151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0.67272727272727284</v>
      </c>
      <c r="I97" s="22">
        <f t="shared" si="54"/>
        <v>7.314629942843022E-2</v>
      </c>
      <c r="J97" s="24">
        <f t="shared" si="55"/>
        <v>7.314629942843022E-2</v>
      </c>
      <c r="K97" s="22">
        <f t="shared" si="56"/>
        <v>0.10873098563685571</v>
      </c>
      <c r="L97" s="22">
        <f t="shared" si="57"/>
        <v>7.314629942843022E-2</v>
      </c>
      <c r="M97" s="227">
        <f t="shared" si="49"/>
        <v>7.314629942843022E-2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0.67272727272727284</v>
      </c>
      <c r="I98" s="22">
        <f t="shared" si="54"/>
        <v>9.1955347852883701E-2</v>
      </c>
      <c r="J98" s="24">
        <f t="shared" si="55"/>
        <v>9.1955347852883701E-2</v>
      </c>
      <c r="K98" s="22">
        <f t="shared" si="56"/>
        <v>0.13669038194347574</v>
      </c>
      <c r="L98" s="22">
        <f t="shared" si="57"/>
        <v>9.1955347852883701E-2</v>
      </c>
      <c r="M98" s="227">
        <f t="shared" si="49"/>
        <v>9.1955347852883701E-2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0.67272727272727284</v>
      </c>
      <c r="I99" s="22">
        <f t="shared" si="54"/>
        <v>0.62696828081511613</v>
      </c>
      <c r="J99" s="24">
        <f t="shared" si="55"/>
        <v>0.62696828081511613</v>
      </c>
      <c r="K99" s="22">
        <f t="shared" si="56"/>
        <v>0.93197987688733464</v>
      </c>
      <c r="L99" s="22">
        <f t="shared" si="57"/>
        <v>0.62696828081511613</v>
      </c>
      <c r="M99" s="227">
        <f t="shared" si="49"/>
        <v>0.62696828081511613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0.7151515151515152</v>
      </c>
      <c r="I104" s="22">
        <f t="shared" si="54"/>
        <v>1.8462238942993587</v>
      </c>
      <c r="J104" s="24">
        <f>IF(I$32&lt;=1+I131,I104,L104+J$33*(I104-L104))</f>
        <v>1.8462238942993587</v>
      </c>
      <c r="K104" s="22">
        <f t="shared" si="56"/>
        <v>2.5815842589779168</v>
      </c>
      <c r="L104" s="22">
        <f t="shared" si="57"/>
        <v>1.8462238942993587</v>
      </c>
      <c r="M104" s="227">
        <f t="shared" si="49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2.8454305863061666</v>
      </c>
      <c r="J119" s="24">
        <f>SUM(J91:J118)</f>
        <v>2.8454305863061666</v>
      </c>
      <c r="K119" s="22">
        <f>SUM(K91:K118)</f>
        <v>4.1150018164165445</v>
      </c>
      <c r="L119" s="22">
        <f>SUM(L91:L118)</f>
        <v>2.8109077923211037</v>
      </c>
      <c r="M119" s="57">
        <f t="shared" si="49"/>
        <v>2.8454305863061666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2.1395326143031368</v>
      </c>
      <c r="J124" s="236">
        <f>IF(SUMPRODUCT($B$124:$B124,$H$124:$H124)&lt;J$119,($B124*$H124),J$119)</f>
        <v>2.1395326143031368</v>
      </c>
      <c r="K124" s="29">
        <f>(B124)</f>
        <v>2.5215920097144111</v>
      </c>
      <c r="L124" s="29">
        <f>IF(SUMPRODUCT($B$124:$B124,$H$124:$H124)&lt;L$119,($B124*$H124),L$119)</f>
        <v>2.1395326143031368</v>
      </c>
      <c r="M124" s="239">
        <f t="shared" si="66"/>
        <v>2.1395326143031368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0.70589797200302984</v>
      </c>
      <c r="J125" s="236">
        <f>IF(SUMPRODUCT($B$124:$B125,$H$124:$H125)&lt;J$119,($B125*$H125),IF(SUMPRODUCT($B$124:$B124,$H$124:$H124)&lt;J$119,J$119-SUMPRODUCT($B$124:$B124,$H$124:$H124),0))</f>
        <v>0.70589797200302984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0.67137517801796687</v>
      </c>
      <c r="M125" s="239">
        <f t="shared" si="66"/>
        <v>0.70589797200302984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0.70589797200302984</v>
      </c>
      <c r="J128" s="227">
        <f>(J30)</f>
        <v>0.44490699964119296</v>
      </c>
      <c r="K128" s="29">
        <f>(B128)</f>
        <v>0.75497962640099636</v>
      </c>
      <c r="L128" s="29">
        <f>IF(L124=L119,0,(L119-L124)/(B119-B124)*K128)</f>
        <v>0.31810685420844814</v>
      </c>
      <c r="M128" s="239">
        <f t="shared" si="66"/>
        <v>0.44490699964119296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2.8454305863061666</v>
      </c>
      <c r="J130" s="227">
        <f>(J119)</f>
        <v>2.8454305863061666</v>
      </c>
      <c r="K130" s="29">
        <f>(B130)</f>
        <v>4.1150018164165445</v>
      </c>
      <c r="L130" s="29">
        <f>(L119)</f>
        <v>2.8109077923211037</v>
      </c>
      <c r="M130" s="239">
        <f t="shared" si="66"/>
        <v>2.8454305863061666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1.0369199771564368</v>
      </c>
      <c r="K131" s="29"/>
      <c r="L131" s="29">
        <f>IF(I131&lt;SUM(L126:L127),0,I131-(SUM(L126:L127)))</f>
        <v>1.2979109495182737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4.1711581569115778E-3</v>
      </c>
      <c r="J6" s="24">
        <f t="shared" ref="J6:J13" si="3">IF(I$32&lt;=1+I$131,I6,B6*H6+J$33*(I6-B6*H6))</f>
        <v>4.1711581569115778E-3</v>
      </c>
      <c r="K6" s="22">
        <f t="shared" ref="K6:K31" si="4">B6</f>
        <v>8.3423163138231556E-3</v>
      </c>
      <c r="L6" s="22">
        <f t="shared" ref="L6:L29" si="5">IF(K6="","",K6*H6)</f>
        <v>4.1711581569115778E-3</v>
      </c>
      <c r="M6" s="223">
        <f t="shared" ref="M6:M31" si="6">J6</f>
        <v>4.1711581569115778E-3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1.6684632627646311E-2</v>
      </c>
      <c r="Z6" s="116">
        <v>0.17</v>
      </c>
      <c r="AA6" s="121">
        <f>$M6*Z6*4</f>
        <v>2.836387546699873E-3</v>
      </c>
      <c r="AB6" s="116">
        <v>0.17</v>
      </c>
      <c r="AC6" s="121">
        <f t="shared" ref="AC6:AC29" si="7">$M6*AB6*4</f>
        <v>2.836387546699873E-3</v>
      </c>
      <c r="AD6" s="116">
        <v>0.33</v>
      </c>
      <c r="AE6" s="121">
        <f t="shared" ref="AE6:AE29" si="8">$M6*AD6*4</f>
        <v>5.5059287671232826E-3</v>
      </c>
      <c r="AF6" s="122">
        <f>1-SUM(Z6,AB6,AD6)</f>
        <v>0.32999999999999996</v>
      </c>
      <c r="AG6" s="121">
        <f>$M6*AF6*4</f>
        <v>5.5059287671232818E-3</v>
      </c>
      <c r="AH6" s="123">
        <f>SUM(Z6,AB6,AD6,AF6)</f>
        <v>1</v>
      </c>
      <c r="AI6" s="183">
        <f>SUM(AA6,AC6,AE6,AG6)/4</f>
        <v>4.1711581569115778E-3</v>
      </c>
      <c r="AJ6" s="120">
        <f>(AA6+AC6)/2</f>
        <v>2.836387546699873E-3</v>
      </c>
      <c r="AK6" s="119">
        <f>(AE6+AG6)/2</f>
        <v>5.5059287671232818E-3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4466.42962223021</v>
      </c>
      <c r="T7" s="221">
        <f>IF($B$81=0,0,(SUMIF($N$6:$N$28,$U7,M$6:M$28)+SUMIF($N$91:$N$118,$U7,M$91:M$118))*$I$83*Poor!$B$81/$B$81)</f>
        <v>4472.1837455416899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0.34383378082191784</v>
      </c>
      <c r="J8" s="24">
        <f t="shared" si="3"/>
        <v>0.34383378082191784</v>
      </c>
      <c r="K8" s="22">
        <f t="shared" si="4"/>
        <v>0.31544383561643835</v>
      </c>
      <c r="L8" s="22">
        <f t="shared" si="5"/>
        <v>0.34383378082191784</v>
      </c>
      <c r="M8" s="223">
        <f t="shared" si="6"/>
        <v>0.34383378082191784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560</v>
      </c>
      <c r="T8" s="221">
        <f>IF($B$81=0,0,(SUMIF($N$6:$N$28,$U8,M$6:M$28)+SUMIF($N$91:$N$118,$U8,M$91:M$118))*$I$83*Poor!$B$81/$B$81)</f>
        <v>484.11620446649493</v>
      </c>
      <c r="U8" s="222">
        <v>2</v>
      </c>
      <c r="V8" s="184"/>
      <c r="W8" s="115"/>
      <c r="X8" s="124">
        <v>1</v>
      </c>
      <c r="Y8" s="183">
        <f t="shared" si="9"/>
        <v>1.3753351232876714</v>
      </c>
      <c r="Z8" s="125">
        <f>IF($Y8=0,0,AA8/$Y8)</f>
        <v>0.28256139150710713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0.38861660622476318</v>
      </c>
      <c r="AB8" s="125">
        <f>IF($Y8=0,0,AC8/$Y8)</f>
        <v>0.34975917909200888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0.48103608369750273</v>
      </c>
      <c r="AD8" s="125">
        <f>IF($Y8=0,0,AE8/$Y8)</f>
        <v>0.36767942940088405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0.50568243336540553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0.34383378082191784</v>
      </c>
      <c r="AJ8" s="120">
        <f t="shared" si="14"/>
        <v>0.43482634496113293</v>
      </c>
      <c r="AK8" s="119">
        <f t="shared" si="15"/>
        <v>0.25284121668270276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1</v>
      </c>
      <c r="F9" s="28">
        <v>8800</v>
      </c>
      <c r="H9" s="24">
        <f t="shared" si="1"/>
        <v>1</v>
      </c>
      <c r="I9" s="22">
        <f t="shared" si="2"/>
        <v>5.5235258405977594E-2</v>
      </c>
      <c r="J9" s="24">
        <f t="shared" si="3"/>
        <v>5.5235258405977594E-2</v>
      </c>
      <c r="K9" s="22">
        <f t="shared" si="4"/>
        <v>5.5235258405977594E-2</v>
      </c>
      <c r="L9" s="22">
        <f t="shared" si="5"/>
        <v>5.5235258405977594E-2</v>
      </c>
      <c r="M9" s="223">
        <f t="shared" si="6"/>
        <v>5.5235258405977594E-2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44.308323363527542</v>
      </c>
      <c r="T9" s="221">
        <f>IF($B$81=0,0,(SUMIF($N$6:$N$28,$U9,M$6:M$28)+SUMIF($N$91:$N$118,$U9,M$91:M$118))*$I$83*Poor!$B$81/$B$81)</f>
        <v>44.308323363527542</v>
      </c>
      <c r="U9" s="222">
        <v>3</v>
      </c>
      <c r="V9" s="56"/>
      <c r="W9" s="115"/>
      <c r="X9" s="124">
        <v>1</v>
      </c>
      <c r="Y9" s="183">
        <f t="shared" si="9"/>
        <v>0.22094103362391038</v>
      </c>
      <c r="Z9" s="125">
        <f>IF($Y9=0,0,AA9/$Y9)</f>
        <v>0.28256139150710713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6.2429405901790656E-2</v>
      </c>
      <c r="AB9" s="125">
        <f>IF($Y9=0,0,AC9/$Y9)</f>
        <v>0.34975917909200888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7.7276154548038822E-2</v>
      </c>
      <c r="AD9" s="125">
        <f>IF($Y9=0,0,AE9/$Y9)</f>
        <v>0.36767942940088399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8.1235473174080891E-2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5.5235258405977594E-2</v>
      </c>
      <c r="AJ9" s="120">
        <f t="shared" si="14"/>
        <v>6.9852780224914743E-2</v>
      </c>
      <c r="AK9" s="119">
        <f t="shared" si="15"/>
        <v>4.0617736587040446E-2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1</v>
      </c>
      <c r="H10" s="24">
        <f t="shared" si="1"/>
        <v>1</v>
      </c>
      <c r="I10" s="22">
        <f t="shared" si="2"/>
        <v>1.9987546699875468E-2</v>
      </c>
      <c r="J10" s="24">
        <f t="shared" si="3"/>
        <v>1.6531726969539567E-2</v>
      </c>
      <c r="K10" s="22">
        <f t="shared" si="4"/>
        <v>1.5990037359900375E-2</v>
      </c>
      <c r="L10" s="22">
        <f t="shared" si="5"/>
        <v>1.5990037359900375E-2</v>
      </c>
      <c r="M10" s="223">
        <f t="shared" si="6"/>
        <v>1.6531726969539567E-2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6.6126907878158267E-2</v>
      </c>
      <c r="Z10" s="125">
        <f>IF($Y10=0,0,AA10/$Y10)</f>
        <v>0.28256139150710713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1.8684911106114685E-2</v>
      </c>
      <c r="AB10" s="125">
        <f>IF($Y10=0,0,AC10/$Y10)</f>
        <v>0.34975917909200882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2.3128493015357528E-2</v>
      </c>
      <c r="AD10" s="125">
        <f>IF($Y10=0,0,AE10/$Y10)</f>
        <v>0.36767942940088405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2.4313503756686054E-2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1.6531726969539567E-2</v>
      </c>
      <c r="AJ10" s="120">
        <f t="shared" si="14"/>
        <v>2.0906702060736106E-2</v>
      </c>
      <c r="AK10" s="119">
        <f t="shared" si="15"/>
        <v>1.2156751878343027E-2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1</v>
      </c>
      <c r="H11" s="24">
        <f t="shared" si="1"/>
        <v>1</v>
      </c>
      <c r="I11" s="22">
        <f t="shared" si="2"/>
        <v>5.4078455790784559E-3</v>
      </c>
      <c r="J11" s="24">
        <f t="shared" si="3"/>
        <v>5.4078455790784559E-3</v>
      </c>
      <c r="K11" s="22">
        <f t="shared" si="4"/>
        <v>5.4078455790784559E-3</v>
      </c>
      <c r="L11" s="22">
        <f t="shared" si="5"/>
        <v>5.4078455790784559E-3</v>
      </c>
      <c r="M11" s="223">
        <f t="shared" si="6"/>
        <v>5.4078455790784559E-3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3519.7039999999997</v>
      </c>
      <c r="T11" s="221">
        <f>IF($B$81=0,0,(SUMIF($N$6:$N$28,$U11,M$6:M$28)+SUMIF($N$91:$N$118,$U11,M$91:M$118))*$I$83*Poor!$B$81/$B$81)</f>
        <v>3519.7039999999997</v>
      </c>
      <c r="U11" s="222">
        <v>5</v>
      </c>
      <c r="V11" s="56"/>
      <c r="W11" s="115"/>
      <c r="X11" s="124">
        <v>1</v>
      </c>
      <c r="Y11" s="183">
        <f t="shared" si="9"/>
        <v>2.1631382316313823E-2</v>
      </c>
      <c r="Z11" s="125">
        <f>IF($Y11=0,0,AA11/$Y11)</f>
        <v>0.28256139150710713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6.112193487519864E-3</v>
      </c>
      <c r="AB11" s="125">
        <f>IF($Y11=0,0,AC11/$Y11)</f>
        <v>0.34975917909200882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7.5657745215793196E-3</v>
      </c>
      <c r="AD11" s="125">
        <f>IF($Y11=0,0,AE11/$Y11)</f>
        <v>0.36767942940088411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7.9534143072146415E-3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5.4078455790784567E-3</v>
      </c>
      <c r="AJ11" s="120">
        <f t="shared" si="14"/>
        <v>6.8389840045495918E-3</v>
      </c>
      <c r="AK11" s="119">
        <f t="shared" si="15"/>
        <v>3.9767071536073208E-3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1</v>
      </c>
      <c r="H13" s="24">
        <f t="shared" si="1"/>
        <v>1</v>
      </c>
      <c r="I13" s="22">
        <f t="shared" si="2"/>
        <v>1.883561643835617E-2</v>
      </c>
      <c r="J13" s="24">
        <f t="shared" si="3"/>
        <v>7.0727118163931277E-2</v>
      </c>
      <c r="K13" s="22">
        <f t="shared" si="4"/>
        <v>7.8860958904109588E-2</v>
      </c>
      <c r="L13" s="22">
        <f t="shared" si="5"/>
        <v>7.8860958904109588E-2</v>
      </c>
      <c r="M13" s="224">
        <f t="shared" si="6"/>
        <v>7.0727118163931277E-2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15126.52678174671</v>
      </c>
      <c r="T13" s="221">
        <f>IF($B$81=0,0,(SUMIF($N$6:$N$28,$U13,M$6:M$28)+SUMIF($N$91:$N$118,$U13,M$91:M$118))*$I$83*Poor!$B$81/$B$81)</f>
        <v>14988.283413494244</v>
      </c>
      <c r="U13" s="222">
        <v>7</v>
      </c>
      <c r="V13" s="56"/>
      <c r="W13" s="110"/>
      <c r="X13" s="118"/>
      <c r="Y13" s="183">
        <f t="shared" si="9"/>
        <v>0.28290847265572511</v>
      </c>
      <c r="Z13" s="116">
        <v>1</v>
      </c>
      <c r="AA13" s="121">
        <f>$M13*Z13*4</f>
        <v>0.28290847265572511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7.0727118163931277E-2</v>
      </c>
      <c r="AJ13" s="120">
        <f t="shared" si="14"/>
        <v>0.14145423632786255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1</v>
      </c>
      <c r="F14" s="22"/>
      <c r="H14" s="24">
        <f t="shared" si="1"/>
        <v>1</v>
      </c>
      <c r="I14" s="22">
        <f t="shared" si="2"/>
        <v>1.1301369863013701E-2</v>
      </c>
      <c r="J14" s="24">
        <f>IF(I$32&lt;=1+I131,I14,B14*H14+J$33*(I14-B14*H14))</f>
        <v>4.2436270898358761E-2</v>
      </c>
      <c r="K14" s="22">
        <f t="shared" si="4"/>
        <v>4.731657534246575E-2</v>
      </c>
      <c r="L14" s="22">
        <f t="shared" si="5"/>
        <v>4.731657534246575E-2</v>
      </c>
      <c r="M14" s="224">
        <f t="shared" si="6"/>
        <v>4.2436270898358761E-2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11328</v>
      </c>
      <c r="T14" s="221">
        <f>IF($B$81=0,0,(SUMIF($N$6:$N$28,$U14,M$6:M$28)+SUMIF($N$91:$N$118,$U14,M$91:M$118))*$I$83*Poor!$B$81/$B$81)</f>
        <v>11328</v>
      </c>
      <c r="U14" s="222">
        <v>8</v>
      </c>
      <c r="V14" s="56"/>
      <c r="W14" s="110"/>
      <c r="X14" s="118"/>
      <c r="Y14" s="183">
        <f>M14*4</f>
        <v>0.16974508359343504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0.16974508359343504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4.2436270898358761E-2</v>
      </c>
      <c r="AJ14" s="120">
        <f t="shared" si="14"/>
        <v>8.4872541796717521E-2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5168.3740211159275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65052.024484080393</v>
      </c>
      <c r="T23" s="179">
        <f>SUM(T7:T22)</f>
        <v>64980.025464721824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9.5277272939167396E-3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9.5277272939167396E-3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3.8110909175666959E-2</v>
      </c>
      <c r="Z27" s="116">
        <v>0.25</v>
      </c>
      <c r="AA27" s="121">
        <f t="shared" si="16"/>
        <v>9.5277272939167396E-3</v>
      </c>
      <c r="AB27" s="116">
        <v>0.25</v>
      </c>
      <c r="AC27" s="121">
        <f t="shared" si="7"/>
        <v>9.5277272939167396E-3</v>
      </c>
      <c r="AD27" s="116">
        <v>0.25</v>
      </c>
      <c r="AE27" s="121">
        <f t="shared" si="8"/>
        <v>9.5277272939167396E-3</v>
      </c>
      <c r="AF27" s="122">
        <f t="shared" si="10"/>
        <v>0.25</v>
      </c>
      <c r="AG27" s="121">
        <f t="shared" si="11"/>
        <v>9.5277272939167396E-3</v>
      </c>
      <c r="AH27" s="123">
        <f t="shared" si="12"/>
        <v>1</v>
      </c>
      <c r="AI27" s="183">
        <f t="shared" si="13"/>
        <v>9.5277272939167396E-3</v>
      </c>
      <c r="AJ27" s="120">
        <f t="shared" si="14"/>
        <v>9.5277272939167396E-3</v>
      </c>
      <c r="AK27" s="119">
        <f t="shared" si="15"/>
        <v>9.5277272939167396E-3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7.4372470334894344E-3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7.4372470334894344E-3</v>
      </c>
      <c r="N28" s="228"/>
      <c r="O28" s="2"/>
      <c r="P28" s="22"/>
      <c r="V28" s="56"/>
      <c r="W28" s="110"/>
      <c r="X28" s="118"/>
      <c r="Y28" s="183">
        <f t="shared" si="9"/>
        <v>2.9748988133957738E-2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1.4874494066978869E-2</v>
      </c>
      <c r="AF28" s="122">
        <f t="shared" si="10"/>
        <v>0.5</v>
      </c>
      <c r="AG28" s="121">
        <f t="shared" si="11"/>
        <v>1.4874494066978869E-2</v>
      </c>
      <c r="AH28" s="123">
        <f t="shared" si="12"/>
        <v>1</v>
      </c>
      <c r="AI28" s="183">
        <f t="shared" si="13"/>
        <v>7.4372470334894344E-3</v>
      </c>
      <c r="AJ28" s="120">
        <f t="shared" si="14"/>
        <v>0</v>
      </c>
      <c r="AK28" s="119">
        <f t="shared" si="15"/>
        <v>1.4874494066978869E-2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0.11365809228073209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0.11365809228073209</v>
      </c>
      <c r="N29" s="228"/>
      <c r="P29" s="22"/>
      <c r="V29" s="56"/>
      <c r="W29" s="110"/>
      <c r="X29" s="118"/>
      <c r="Y29" s="183">
        <f t="shared" si="9"/>
        <v>0.45463236912292837</v>
      </c>
      <c r="Z29" s="116">
        <v>0.25</v>
      </c>
      <c r="AA29" s="121">
        <f t="shared" si="16"/>
        <v>0.11365809228073209</v>
      </c>
      <c r="AB29" s="116">
        <v>0.25</v>
      </c>
      <c r="AC29" s="121">
        <f t="shared" si="7"/>
        <v>0.11365809228073209</v>
      </c>
      <c r="AD29" s="116">
        <v>0.25</v>
      </c>
      <c r="AE29" s="121">
        <f t="shared" si="8"/>
        <v>0.11365809228073209</v>
      </c>
      <c r="AF29" s="122">
        <f t="shared" si="10"/>
        <v>0.25</v>
      </c>
      <c r="AG29" s="121">
        <f t="shared" si="11"/>
        <v>0.11365809228073209</v>
      </c>
      <c r="AH29" s="123">
        <f t="shared" si="12"/>
        <v>1</v>
      </c>
      <c r="AI29" s="183">
        <f t="shared" si="13"/>
        <v>0.11365809228073209</v>
      </c>
      <c r="AJ29" s="120">
        <f t="shared" si="14"/>
        <v>0.11365809228073209</v>
      </c>
      <c r="AK29" s="119">
        <f t="shared" si="15"/>
        <v>0.11365809228073209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3.365019567720239</v>
      </c>
      <c r="J30" s="230">
        <f>IF(I$32&lt;=1,I30,1-SUM(J6:J29))</f>
        <v>0.21580757089340885</v>
      </c>
      <c r="K30" s="22">
        <f t="shared" si="4"/>
        <v>0.38133509962640105</v>
      </c>
      <c r="L30" s="22">
        <f>IF(L124=L119,0,IF(K30="",0,(L119-L124)/(B119-B124)*K30))</f>
        <v>0.2078951053360657</v>
      </c>
      <c r="M30" s="175">
        <f t="shared" si="6"/>
        <v>0.21580757089340885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0.8632302835736354</v>
      </c>
      <c r="Z30" s="122">
        <f>IF($Y30=0,0,AA30/($Y$30))</f>
        <v>2.5722522616537747E-16</v>
      </c>
      <c r="AA30" s="187">
        <f>IF(AA79*4/$I$83+SUM(AA6:AA29)&lt;1,AA79*4/$I$83,1-SUM(AA6:AA29))</f>
        <v>2.2204460492503131E-16</v>
      </c>
      <c r="AB30" s="122">
        <f>IF($Y30=0,0,AC30/($Y$30))</f>
        <v>2.5722522616537747E-16</v>
      </c>
      <c r="AC30" s="187">
        <f>IF(AC79*4/$I$83+SUM(AC6:AC29)&lt;1,AC79*4/$I$83,1-SUM(AC6:AC29))</f>
        <v>2.2204460492503131E-16</v>
      </c>
      <c r="AD30" s="122">
        <f>IF($Y30=0,0,AE30/($Y$30))</f>
        <v>0.14135594152231276</v>
      </c>
      <c r="AE30" s="187">
        <f>IF(AE79*4/$I$83+SUM(AE6:AE29)&lt;1,AE79*4/$I$83,1-SUM(AE6:AE29))</f>
        <v>0.12202272948512427</v>
      </c>
      <c r="AF30" s="122">
        <f>IF($Y30=0,0,AG30/($Y$30))</f>
        <v>0.85864405847768732</v>
      </c>
      <c r="AG30" s="187">
        <f>IF(AG79*4/$I$83+SUM(AG6:AG29)&lt;1,AG79*4/$I$83,1-SUM(AG6:AG29))</f>
        <v>0.74120755408851124</v>
      </c>
      <c r="AH30" s="123">
        <f t="shared" si="12"/>
        <v>1.0000000000000007</v>
      </c>
      <c r="AI30" s="183">
        <f t="shared" si="13"/>
        <v>0.21580757089340899</v>
      </c>
      <c r="AJ30" s="120">
        <f t="shared" si="14"/>
        <v>2.2204460492503131E-16</v>
      </c>
      <c r="AK30" s="119">
        <f t="shared" si="15"/>
        <v>0.43161514178681776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1.0176382942018392E-2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4.1636551211301045</v>
      </c>
      <c r="J32" s="17"/>
      <c r="L32" s="22">
        <f>SUM(L6:L30)</f>
        <v>0.98982361705798161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4203.1534386098065</v>
      </c>
      <c r="T32" s="233">
        <f t="shared" si="50"/>
        <v>4275.1524579683755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0.135506777738402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3009</v>
      </c>
      <c r="J37" s="38">
        <f t="shared" ref="J37:J49" si="53">J91*I$83</f>
        <v>3009</v>
      </c>
      <c r="K37" s="40">
        <f t="shared" ref="K37:K49" si="54">(B37/B$65)</f>
        <v>5.7495107279106054E-2</v>
      </c>
      <c r="L37" s="22">
        <f t="shared" ref="L37:L49" si="55">(K37*H37)</f>
        <v>5.427538127147611E-2</v>
      </c>
      <c r="M37" s="24">
        <f t="shared" ref="M37:M49" si="56">J37/B$65</f>
        <v>5.4275381271476117E-2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3009</v>
      </c>
      <c r="AH37" s="123">
        <f>SUM(Z37,AB37,AD37,AF37)</f>
        <v>1</v>
      </c>
      <c r="AI37" s="112">
        <f>SUM(AA37,AC37,AE37,AG37)</f>
        <v>3009</v>
      </c>
      <c r="AJ37" s="148">
        <f>(AA37+AC37)</f>
        <v>0</v>
      </c>
      <c r="AK37" s="147">
        <f>(AE37+AG37)</f>
        <v>3009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500.32</v>
      </c>
      <c r="J38" s="38">
        <f t="shared" si="53"/>
        <v>500.31999999999994</v>
      </c>
      <c r="K38" s="40">
        <f t="shared" si="54"/>
        <v>9.5599707789572417E-3</v>
      </c>
      <c r="L38" s="22">
        <f t="shared" si="55"/>
        <v>9.0246124153356352E-3</v>
      </c>
      <c r="M38" s="24">
        <f t="shared" si="56"/>
        <v>9.0246124153356352E-3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500.31999999999994</v>
      </c>
      <c r="AH38" s="123">
        <f t="shared" ref="AH38:AI58" si="61">SUM(Z38,AB38,AD38,AF38)</f>
        <v>1</v>
      </c>
      <c r="AI38" s="112">
        <f t="shared" si="61"/>
        <v>500.31999999999994</v>
      </c>
      <c r="AJ38" s="148">
        <f t="shared" ref="AJ38:AJ64" si="62">(AA38+AC38)</f>
        <v>0</v>
      </c>
      <c r="AK38" s="147">
        <f t="shared" ref="AK38:AK64" si="63">(AE38+AG38)</f>
        <v>500.31999999999994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10.384</v>
      </c>
      <c r="K39" s="40">
        <f t="shared" si="54"/>
        <v>1.984144878651503E-4</v>
      </c>
      <c r="L39" s="22">
        <f t="shared" si="55"/>
        <v>1.8730327654470187E-4</v>
      </c>
      <c r="M39" s="24">
        <f t="shared" si="56"/>
        <v>1.873032765447019E-4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0.28256139150710713</v>
      </c>
      <c r="AA39" s="147">
        <f t="shared" ref="AA39:AA64" si="64">$J39*Z39</f>
        <v>2.9341174894098003</v>
      </c>
      <c r="AB39" s="122">
        <f>AB8</f>
        <v>0.34975917909200888</v>
      </c>
      <c r="AC39" s="147">
        <f t="shared" ref="AC39:AC64" si="65">$J39*AB39</f>
        <v>3.6318993156914203</v>
      </c>
      <c r="AD39" s="122">
        <f>AD8</f>
        <v>0.36767942940088405</v>
      </c>
      <c r="AE39" s="147">
        <f t="shared" ref="AE39:AE64" si="66">$J39*AD39</f>
        <v>3.8179831948987801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6.5660168051012207</v>
      </c>
      <c r="AK39" s="147">
        <f t="shared" si="63"/>
        <v>3.8179831948987801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0.28256139150710713</v>
      </c>
      <c r="AA40" s="147">
        <f t="shared" si="64"/>
        <v>0</v>
      </c>
      <c r="AB40" s="122">
        <f>AB9</f>
        <v>0.34975917909200888</v>
      </c>
      <c r="AC40" s="147">
        <f t="shared" si="65"/>
        <v>0</v>
      </c>
      <c r="AD40" s="122">
        <f>AD9</f>
        <v>0.36767942940088399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0.28256139150710713</v>
      </c>
      <c r="AA41" s="147">
        <f t="shared" si="64"/>
        <v>0</v>
      </c>
      <c r="AB41" s="122">
        <f>AB11</f>
        <v>0.34975917909200882</v>
      </c>
      <c r="AC41" s="147">
        <f t="shared" si="65"/>
        <v>0</v>
      </c>
      <c r="AD41" s="122">
        <f>AD11</f>
        <v>0.36767942940088411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484.11620446649488</v>
      </c>
      <c r="K42" s="40">
        <f t="shared" si="54"/>
        <v>7.2150722860054653E-3</v>
      </c>
      <c r="L42" s="22">
        <f t="shared" si="55"/>
        <v>1.010110120040765E-2</v>
      </c>
      <c r="M42" s="24">
        <f t="shared" si="56"/>
        <v>8.7323335251309059E-3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121.02905111662372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242.05810223324744</v>
      </c>
      <c r="AF42" s="122">
        <f t="shared" si="57"/>
        <v>0.25</v>
      </c>
      <c r="AG42" s="147">
        <f t="shared" si="60"/>
        <v>121.02905111662372</v>
      </c>
      <c r="AH42" s="123">
        <f t="shared" si="61"/>
        <v>1</v>
      </c>
      <c r="AI42" s="112">
        <f t="shared" si="61"/>
        <v>484.11620446649488</v>
      </c>
      <c r="AJ42" s="148">
        <f t="shared" si="62"/>
        <v>121.02905111662372</v>
      </c>
      <c r="AK42" s="147">
        <f t="shared" si="63"/>
        <v>363.08715334987119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1</v>
      </c>
      <c r="F43" s="26">
        <v>1.1100000000000001</v>
      </c>
      <c r="G43" s="22">
        <f t="shared" si="59"/>
        <v>1.65</v>
      </c>
      <c r="H43" s="24">
        <f t="shared" si="51"/>
        <v>1.1100000000000001</v>
      </c>
      <c r="I43" s="39">
        <f t="shared" si="52"/>
        <v>3751.8</v>
      </c>
      <c r="J43" s="38">
        <f t="shared" si="53"/>
        <v>3751.8</v>
      </c>
      <c r="K43" s="40">
        <f t="shared" si="54"/>
        <v>6.0967360816746183E-2</v>
      </c>
      <c r="L43" s="22">
        <f t="shared" si="55"/>
        <v>6.7673770506588266E-2</v>
      </c>
      <c r="M43" s="24">
        <f t="shared" si="56"/>
        <v>6.7673770506588266E-2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937.95</v>
      </c>
      <c r="AB43" s="116">
        <v>0.25</v>
      </c>
      <c r="AC43" s="147">
        <f t="shared" si="65"/>
        <v>937.95</v>
      </c>
      <c r="AD43" s="116">
        <v>0.25</v>
      </c>
      <c r="AE43" s="147">
        <f t="shared" si="66"/>
        <v>937.95</v>
      </c>
      <c r="AF43" s="122">
        <f t="shared" si="57"/>
        <v>0.25</v>
      </c>
      <c r="AG43" s="147">
        <f t="shared" si="60"/>
        <v>937.95</v>
      </c>
      <c r="AH43" s="123">
        <f t="shared" si="61"/>
        <v>1</v>
      </c>
      <c r="AI43" s="112">
        <f t="shared" si="61"/>
        <v>3751.8</v>
      </c>
      <c r="AJ43" s="148">
        <f t="shared" si="62"/>
        <v>1875.9</v>
      </c>
      <c r="AK43" s="147">
        <f t="shared" si="63"/>
        <v>1875.9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5705.4000000000005</v>
      </c>
      <c r="J44" s="38">
        <f t="shared" si="53"/>
        <v>5705.4000000000005</v>
      </c>
      <c r="K44" s="40">
        <f t="shared" si="54"/>
        <v>9.2713678875170236E-2</v>
      </c>
      <c r="L44" s="22">
        <f t="shared" si="55"/>
        <v>0.10291218355143897</v>
      </c>
      <c r="M44" s="24">
        <f t="shared" si="56"/>
        <v>0.10291218355143897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1426.3500000000001</v>
      </c>
      <c r="AB44" s="116">
        <v>0.25</v>
      </c>
      <c r="AC44" s="147">
        <f t="shared" si="65"/>
        <v>1426.3500000000001</v>
      </c>
      <c r="AD44" s="116">
        <v>0.25</v>
      </c>
      <c r="AE44" s="147">
        <f t="shared" si="66"/>
        <v>1426.3500000000001</v>
      </c>
      <c r="AF44" s="122">
        <f t="shared" si="57"/>
        <v>0.25</v>
      </c>
      <c r="AG44" s="147">
        <f t="shared" si="60"/>
        <v>1426.3500000000001</v>
      </c>
      <c r="AH44" s="123">
        <f t="shared" si="61"/>
        <v>1</v>
      </c>
      <c r="AI44" s="112">
        <f t="shared" si="61"/>
        <v>5705.4000000000005</v>
      </c>
      <c r="AJ44" s="148">
        <f t="shared" si="62"/>
        <v>2852.7000000000003</v>
      </c>
      <c r="AK44" s="147">
        <f t="shared" si="63"/>
        <v>2852.7000000000003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1</v>
      </c>
      <c r="F45" s="26">
        <v>1.1100000000000001</v>
      </c>
      <c r="G45" s="22">
        <f t="shared" si="59"/>
        <v>1.65</v>
      </c>
      <c r="H45" s="24">
        <f t="shared" si="51"/>
        <v>1.1100000000000001</v>
      </c>
      <c r="I45" s="39">
        <f t="shared" si="52"/>
        <v>4329</v>
      </c>
      <c r="J45" s="38">
        <f t="shared" si="53"/>
        <v>4329</v>
      </c>
      <c r="K45" s="40">
        <f t="shared" si="54"/>
        <v>7.0346954788553281E-2</v>
      </c>
      <c r="L45" s="22">
        <f t="shared" si="55"/>
        <v>7.8085119815294146E-2</v>
      </c>
      <c r="M45" s="24">
        <f t="shared" si="56"/>
        <v>7.8085119815294146E-2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1082.25</v>
      </c>
      <c r="AB45" s="116">
        <v>0.25</v>
      </c>
      <c r="AC45" s="147">
        <f t="shared" si="65"/>
        <v>1082.25</v>
      </c>
      <c r="AD45" s="116">
        <v>0.25</v>
      </c>
      <c r="AE45" s="147">
        <f t="shared" si="66"/>
        <v>1082.25</v>
      </c>
      <c r="AF45" s="122">
        <f t="shared" si="57"/>
        <v>0.25</v>
      </c>
      <c r="AG45" s="147">
        <f t="shared" si="60"/>
        <v>1082.25</v>
      </c>
      <c r="AH45" s="123">
        <f t="shared" si="61"/>
        <v>1</v>
      </c>
      <c r="AI45" s="112">
        <f t="shared" si="61"/>
        <v>4329</v>
      </c>
      <c r="AJ45" s="148">
        <f t="shared" si="62"/>
        <v>2164.5</v>
      </c>
      <c r="AK45" s="147">
        <f t="shared" si="63"/>
        <v>2164.5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11328</v>
      </c>
      <c r="J46" s="38">
        <f t="shared" si="53"/>
        <v>11328</v>
      </c>
      <c r="K46" s="40">
        <f t="shared" si="54"/>
        <v>0.21645216858016397</v>
      </c>
      <c r="L46" s="22">
        <f t="shared" si="55"/>
        <v>0.20433084713967478</v>
      </c>
      <c r="M46" s="24">
        <f t="shared" si="56"/>
        <v>0.20433084713967478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2832</v>
      </c>
      <c r="AB46" s="116">
        <v>0.25</v>
      </c>
      <c r="AC46" s="147">
        <f t="shared" si="65"/>
        <v>2832</v>
      </c>
      <c r="AD46" s="116">
        <v>0.25</v>
      </c>
      <c r="AE46" s="147">
        <f t="shared" si="66"/>
        <v>2832</v>
      </c>
      <c r="AF46" s="122">
        <f t="shared" si="57"/>
        <v>0.25</v>
      </c>
      <c r="AG46" s="147">
        <f t="shared" si="60"/>
        <v>2832</v>
      </c>
      <c r="AH46" s="123">
        <f t="shared" si="61"/>
        <v>1</v>
      </c>
      <c r="AI46" s="112">
        <f t="shared" si="61"/>
        <v>11328</v>
      </c>
      <c r="AJ46" s="148">
        <f t="shared" si="62"/>
        <v>5664</v>
      </c>
      <c r="AK46" s="147">
        <f t="shared" si="63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5168.3740211159275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9.3225480408660383E-2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1292.0935052789819</v>
      </c>
      <c r="AB48" s="116">
        <v>0.25</v>
      </c>
      <c r="AC48" s="147">
        <f t="shared" si="65"/>
        <v>1292.0935052789819</v>
      </c>
      <c r="AD48" s="116">
        <v>0.25</v>
      </c>
      <c r="AE48" s="147">
        <f t="shared" si="66"/>
        <v>1292.0935052789819</v>
      </c>
      <c r="AF48" s="122">
        <f t="shared" si="57"/>
        <v>0.25</v>
      </c>
      <c r="AG48" s="147">
        <f t="shared" si="60"/>
        <v>1292.0935052789819</v>
      </c>
      <c r="AH48" s="123">
        <f t="shared" si="61"/>
        <v>1</v>
      </c>
      <c r="AI48" s="112">
        <f t="shared" si="61"/>
        <v>5168.3740211159275</v>
      </c>
      <c r="AJ48" s="148">
        <f t="shared" si="62"/>
        <v>2584.1870105579637</v>
      </c>
      <c r="AK48" s="147">
        <f t="shared" si="63"/>
        <v>2584.1870105579637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19611.599999999999</v>
      </c>
      <c r="J50" s="38">
        <f t="shared" ref="J50:J64" si="70">J104*I$83</f>
        <v>19611.599999999999</v>
      </c>
      <c r="K50" s="40">
        <f t="shared" ref="K50:K64" si="71">(B50/B$65)</f>
        <v>0.29978625348352711</v>
      </c>
      <c r="L50" s="22">
        <f t="shared" ref="L50:L64" si="72">(K50*H50)</f>
        <v>0.35374777911056199</v>
      </c>
      <c r="M50" s="24">
        <f t="shared" ref="M50:M64" si="73">J50/B$65</f>
        <v>0.35374777911056193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58423.364000000009</v>
      </c>
      <c r="J65" s="39">
        <f>SUM(J37:J64)</f>
        <v>58037.454225582427</v>
      </c>
      <c r="K65" s="40">
        <f>SUM(K37:K64)</f>
        <v>1</v>
      </c>
      <c r="L65" s="22">
        <f>SUM(L37:L64)</f>
        <v>1.0457699654578416</v>
      </c>
      <c r="M65" s="24">
        <f>SUM(M37:M64)</f>
        <v>1.0468610688332765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8147.7266738850158</v>
      </c>
      <c r="AB65" s="137"/>
      <c r="AC65" s="153">
        <f>SUM(AC37:AC64)</f>
        <v>8027.3954045946739</v>
      </c>
      <c r="AD65" s="137"/>
      <c r="AE65" s="153">
        <f>SUM(AE37:AE64)</f>
        <v>8269.6395907071292</v>
      </c>
      <c r="AF65" s="137"/>
      <c r="AG65" s="153">
        <f>SUM(AG37:AG64)</f>
        <v>11654.112556395607</v>
      </c>
      <c r="AH65" s="137"/>
      <c r="AI65" s="153">
        <f>SUM(AI37:AI64)</f>
        <v>36098.874225582425</v>
      </c>
      <c r="AJ65" s="153">
        <f>SUM(AJ37:AJ64)</f>
        <v>16175.12207847969</v>
      </c>
      <c r="AK65" s="153">
        <f>SUM(AK37:AK64)</f>
        <v>19923.752147102739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13787.119999999999</v>
      </c>
      <c r="J71" s="51">
        <f t="shared" si="75"/>
        <v>13787.119999999999</v>
      </c>
      <c r="K71" s="40">
        <f t="shared" ref="K71:K72" si="78">B71/B$76</f>
        <v>0.21075226147421963</v>
      </c>
      <c r="L71" s="22">
        <f t="shared" si="76"/>
        <v>0.24868766853957922</v>
      </c>
      <c r="M71" s="24">
        <f t="shared" ref="M71:M72" si="79">J71/B$76</f>
        <v>0.24868766853957916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19279.622521802088</v>
      </c>
      <c r="K72" s="40">
        <f t="shared" si="78"/>
        <v>0.37532806031800431</v>
      </c>
      <c r="L72" s="22">
        <f t="shared" si="76"/>
        <v>0.34818464872706117</v>
      </c>
      <c r="M72" s="24">
        <f t="shared" si="79"/>
        <v>0.34775967535425262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35745.078350503478</v>
      </c>
      <c r="J74" s="51">
        <f t="shared" si="75"/>
        <v>2292.4260542838142</v>
      </c>
      <c r="K74" s="40">
        <f>B74/B$76</f>
        <v>4.4282506155358545E-2</v>
      </c>
      <c r="L74" s="22">
        <f t="shared" si="76"/>
        <v>3.9833972481706455E-2</v>
      </c>
      <c r="M74" s="24">
        <f>J74/B$76</f>
        <v>4.1350049229950024E-2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5.8966981028055804E-13</v>
      </c>
      <c r="AB74" s="156"/>
      <c r="AC74" s="147">
        <f>AC30*$I$83/4</f>
        <v>5.8966981028055804E-13</v>
      </c>
      <c r="AD74" s="156"/>
      <c r="AE74" s="147">
        <f>AE30*$I$83/4</f>
        <v>324.04804327356902</v>
      </c>
      <c r="AF74" s="156"/>
      <c r="AG74" s="147">
        <f>AG30*$I$83/4</f>
        <v>1968.3780110102455</v>
      </c>
      <c r="AH74" s="155"/>
      <c r="AI74" s="147">
        <f>SUM(AA74,AC74,AE74,AG74)</f>
        <v>2292.4260542838156</v>
      </c>
      <c r="AJ74" s="148">
        <f>(AA74+AC74)</f>
        <v>1.1793396205611161E-12</v>
      </c>
      <c r="AK74" s="147">
        <f>(AE74+AG74)</f>
        <v>2292.4260542838147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6494.3183945221163</v>
      </c>
      <c r="AB75" s="158"/>
      <c r="AC75" s="149">
        <f>AA75+AC65-SUM(AC70,AC74)</f>
        <v>8852.1423867426602</v>
      </c>
      <c r="AD75" s="158"/>
      <c r="AE75" s="149">
        <f>AC75+AE65-SUM(AE70,AE74)</f>
        <v>11128.162521802093</v>
      </c>
      <c r="AF75" s="158"/>
      <c r="AG75" s="149">
        <f>IF(SUM(AG6:AG29)+((AG65-AG70-$J$75)*4/I$83)&lt;1,0,AG65-AG70-$J$75-(1-SUM(AG6:AG29))*I$83/4)</f>
        <v>4016.1631330112314</v>
      </c>
      <c r="AH75" s="134"/>
      <c r="AI75" s="149">
        <f>AI76-SUM(AI70,AI74)</f>
        <v>11128.162521802089</v>
      </c>
      <c r="AJ75" s="151">
        <f>AJ76-SUM(AJ70,AJ74)</f>
        <v>4835.9792537314279</v>
      </c>
      <c r="AK75" s="149">
        <f>AJ75+AK76-SUM(AK70,AK74)</f>
        <v>11128.162521802089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58423.364000000001</v>
      </c>
      <c r="J76" s="51">
        <f t="shared" si="75"/>
        <v>58037.45422558242</v>
      </c>
      <c r="K76" s="40">
        <f>SUM(K70:K75)</f>
        <v>0.99999999999999989</v>
      </c>
      <c r="L76" s="22">
        <f>SUM(L70:L75)</f>
        <v>1.0457699654578414</v>
      </c>
      <c r="M76" s="24">
        <f>SUM(M70:M75)</f>
        <v>1.0468610688332765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8147.7266738850158</v>
      </c>
      <c r="AB76" s="137"/>
      <c r="AC76" s="153">
        <f>AC65</f>
        <v>8027.3954045946739</v>
      </c>
      <c r="AD76" s="137"/>
      <c r="AE76" s="153">
        <f>AE65</f>
        <v>8269.6395907071292</v>
      </c>
      <c r="AF76" s="137"/>
      <c r="AG76" s="153">
        <f>AG65</f>
        <v>11654.112556395607</v>
      </c>
      <c r="AH76" s="137"/>
      <c r="AI76" s="153">
        <f>SUM(AA76,AC76,AE76,AG76)</f>
        <v>36098.874225582425</v>
      </c>
      <c r="AJ76" s="154">
        <f>SUM(AA76,AC76)</f>
        <v>16175.12207847969</v>
      </c>
      <c r="AK76" s="154">
        <f>SUM(AE76,AG76)</f>
        <v>19923.752147102736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4016.1631330112314</v>
      </c>
      <c r="AB78" s="112"/>
      <c r="AC78" s="112">
        <f>IF(AA75&lt;0,0,AA75)</f>
        <v>6494.3183945221163</v>
      </c>
      <c r="AD78" s="112"/>
      <c r="AE78" s="112">
        <f>AC75</f>
        <v>8852.1423867426602</v>
      </c>
      <c r="AF78" s="112"/>
      <c r="AG78" s="112">
        <f>AE75</f>
        <v>11128.162521802093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6494.3183945221172</v>
      </c>
      <c r="AB79" s="112"/>
      <c r="AC79" s="112">
        <f>AA79-AA74+AC65-AC70</f>
        <v>8852.1423867426602</v>
      </c>
      <c r="AD79" s="112"/>
      <c r="AE79" s="112">
        <f>AC79-AC74+AE65-AE70</f>
        <v>11452.21056507566</v>
      </c>
      <c r="AF79" s="112"/>
      <c r="AG79" s="112">
        <f>AE79-AE74+AG65-AG70</f>
        <v>17112.703665823567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0.57212121212121214</v>
      </c>
      <c r="I91" s="22">
        <f t="shared" ref="I91" si="82">(D91*H91)</f>
        <v>0.28326539894484748</v>
      </c>
      <c r="J91" s="24">
        <f>IF(I$32&lt;=1+I$131,I91,L91+J$33*(I91-L91))</f>
        <v>0.28326539894484748</v>
      </c>
      <c r="K91" s="22">
        <f t="shared" ref="K91" si="83">IF(B91="",0,B91)</f>
        <v>0.49511430959639652</v>
      </c>
      <c r="L91" s="22">
        <f t="shared" ref="L91" si="84">(K91*H91)</f>
        <v>0.28326539894484748</v>
      </c>
      <c r="M91" s="226">
        <f t="shared" si="80"/>
        <v>0.28326539894484748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0.57212121212121214</v>
      </c>
      <c r="I92" s="22">
        <f t="shared" ref="I92:I118" si="88">(D92*H92)</f>
        <v>4.709981535396679E-2</v>
      </c>
      <c r="J92" s="24">
        <f t="shared" ref="J92:J118" si="89">IF(I$32&lt;=1+I$131,I92,L92+J$33*(I92-L92))</f>
        <v>4.709981535396679E-2</v>
      </c>
      <c r="K92" s="22">
        <f t="shared" ref="K92:K118" si="90">IF(B92="",0,B92)</f>
        <v>8.2324889125047887E-2</v>
      </c>
      <c r="L92" s="22">
        <f t="shared" ref="L92:L118" si="91">(K92*H92)</f>
        <v>4.709981535396679E-2</v>
      </c>
      <c r="M92" s="226">
        <f t="shared" ref="M92:M118" si="92">(J92)</f>
        <v>4.709981535396679E-2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0.57212121212121214</v>
      </c>
      <c r="I93" s="22">
        <f t="shared" si="88"/>
        <v>9.7754333753515997E-4</v>
      </c>
      <c r="J93" s="24">
        <f t="shared" si="89"/>
        <v>9.7754333753515997E-4</v>
      </c>
      <c r="K93" s="22">
        <f t="shared" si="90"/>
        <v>1.7086297742934468E-3</v>
      </c>
      <c r="L93" s="22">
        <f t="shared" si="91"/>
        <v>9.7754333753515997E-4</v>
      </c>
      <c r="M93" s="226">
        <f t="shared" si="92"/>
        <v>9.7754333753515997E-4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4.5574400064429053E-2</v>
      </c>
      <c r="K96" s="22">
        <f t="shared" si="90"/>
        <v>6.2131991792488975E-2</v>
      </c>
      <c r="L96" s="22">
        <f t="shared" si="91"/>
        <v>5.2718053642111858E-2</v>
      </c>
      <c r="M96" s="226">
        <f t="shared" si="92"/>
        <v>4.5574400064429053E-2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0.67272727272727284</v>
      </c>
      <c r="I97" s="22">
        <f t="shared" si="88"/>
        <v>0.35319213152584872</v>
      </c>
      <c r="J97" s="24">
        <f t="shared" si="89"/>
        <v>0.35319213152584872</v>
      </c>
      <c r="K97" s="22">
        <f t="shared" si="90"/>
        <v>0.52501533064653183</v>
      </c>
      <c r="L97" s="22">
        <f t="shared" si="91"/>
        <v>0.35319213152584872</v>
      </c>
      <c r="M97" s="226">
        <f t="shared" si="92"/>
        <v>0.35319213152584872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0.67272727272727284</v>
      </c>
      <c r="I98" s="22">
        <f t="shared" si="88"/>
        <v>0.53710282723161618</v>
      </c>
      <c r="J98" s="24">
        <f t="shared" si="89"/>
        <v>0.53710282723161618</v>
      </c>
      <c r="K98" s="22">
        <f t="shared" si="90"/>
        <v>0.79839609453348337</v>
      </c>
      <c r="L98" s="22">
        <f t="shared" si="91"/>
        <v>0.53710282723161618</v>
      </c>
      <c r="M98" s="226">
        <f t="shared" si="92"/>
        <v>0.53710282723161618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0.67272727272727284</v>
      </c>
      <c r="I99" s="22">
        <f t="shared" si="88"/>
        <v>0.40752938252982546</v>
      </c>
      <c r="J99" s="24">
        <f t="shared" si="89"/>
        <v>0.40752938252982546</v>
      </c>
      <c r="K99" s="22">
        <f t="shared" si="90"/>
        <v>0.60578691997676748</v>
      </c>
      <c r="L99" s="22">
        <f t="shared" si="91"/>
        <v>0.40752938252982546</v>
      </c>
      <c r="M99" s="226">
        <f t="shared" si="92"/>
        <v>0.40752938252982546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0.57212121212121214</v>
      </c>
      <c r="I100" s="22">
        <f t="shared" si="88"/>
        <v>1.06641091367472</v>
      </c>
      <c r="J100" s="24">
        <f t="shared" si="89"/>
        <v>1.06641091367472</v>
      </c>
      <c r="K100" s="22">
        <f t="shared" si="90"/>
        <v>1.8639597537746693</v>
      </c>
      <c r="L100" s="22">
        <f t="shared" si="91"/>
        <v>1.06641091367472</v>
      </c>
      <c r="M100" s="226">
        <f t="shared" si="92"/>
        <v>1.06641091367472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0.48654753372801224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0.48654753372801224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0.7151515151515152</v>
      </c>
      <c r="I104" s="22">
        <f t="shared" si="88"/>
        <v>1.8462238942993587</v>
      </c>
      <c r="J104" s="24">
        <f t="shared" si="89"/>
        <v>1.8462238942993587</v>
      </c>
      <c r="K104" s="22">
        <f t="shared" si="90"/>
        <v>2.5815842589779168</v>
      </c>
      <c r="L104" s="22">
        <f t="shared" si="91"/>
        <v>1.8462238942993587</v>
      </c>
      <c r="M104" s="226">
        <f t="shared" si="92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5.4999393523296911</v>
      </c>
      <c r="J119" s="24">
        <f>SUM(J91:J118)</f>
        <v>5.4636100448497604</v>
      </c>
      <c r="K119" s="22">
        <f>SUM(K91:K118)</f>
        <v>8.611416397449231</v>
      </c>
      <c r="L119" s="22">
        <f>SUM(L91:L118)</f>
        <v>5.4579155324264068</v>
      </c>
      <c r="M119" s="57">
        <f t="shared" si="80"/>
        <v>5.4636100448497604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239">
        <f t="shared" si="93"/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1.8149717398286258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1.8171896929626152</v>
      </c>
      <c r="M126" s="239">
        <f t="shared" si="93"/>
        <v>1.8149717398286258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3.365019567720239</v>
      </c>
      <c r="J128" s="227">
        <f>(J30)</f>
        <v>0.21580757089340885</v>
      </c>
      <c r="K128" s="29">
        <f>(B128)</f>
        <v>0.38133509962640105</v>
      </c>
      <c r="L128" s="29">
        <f>IF(L124=L119,0,(L119-L124)/(B119-B124)*K128)</f>
        <v>0.2078951053360657</v>
      </c>
      <c r="M128" s="239">
        <f t="shared" si="93"/>
        <v>0.21580757089340885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5.4999393523296911</v>
      </c>
      <c r="J130" s="227">
        <f>(J119)</f>
        <v>5.4636100448497604</v>
      </c>
      <c r="K130" s="29">
        <f>(B130)</f>
        <v>8.611416397449231</v>
      </c>
      <c r="L130" s="29">
        <f>(L119)</f>
        <v>5.4579155324264068</v>
      </c>
      <c r="M130" s="239">
        <f t="shared" si="93"/>
        <v>5.4636100448497604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2.0021559153175585E-2</v>
      </c>
      <c r="J6" s="24">
        <f t="shared" ref="J6:J13" si="3">IF(I$32&lt;=1+I$131,I6,B6*H6+J$33*(I6-B6*H6))</f>
        <v>2.0021559153175585E-2</v>
      </c>
      <c r="K6" s="22">
        <f t="shared" ref="K6:K31" si="4">B6</f>
        <v>4.0043118306351169E-2</v>
      </c>
      <c r="L6" s="22">
        <f t="shared" ref="L6:L29" si="5">IF(K6="","",K6*H6)</f>
        <v>2.0021559153175585E-2</v>
      </c>
      <c r="M6" s="223">
        <f t="shared" ref="M6:M31" si="6">J6</f>
        <v>2.0021559153175585E-2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8.0086236612702338E-2</v>
      </c>
      <c r="Z6" s="156">
        <f>Poor!Z6</f>
        <v>0.17</v>
      </c>
      <c r="AA6" s="121">
        <f>$M6*Z6*4</f>
        <v>1.3614660224159398E-2</v>
      </c>
      <c r="AB6" s="156">
        <f>Poor!AB6</f>
        <v>0.17</v>
      </c>
      <c r="AC6" s="121">
        <f t="shared" ref="AC6:AC29" si="7">$M6*AB6*4</f>
        <v>1.3614660224159398E-2</v>
      </c>
      <c r="AD6" s="156">
        <f>Poor!AD6</f>
        <v>0.33</v>
      </c>
      <c r="AE6" s="121">
        <f t="shared" ref="AE6:AE29" si="8">$M6*AD6*4</f>
        <v>2.6428458082191773E-2</v>
      </c>
      <c r="AF6" s="122">
        <f>1-SUM(Z6,AB6,AD6)</f>
        <v>0.32999999999999996</v>
      </c>
      <c r="AG6" s="121">
        <f>$M6*AF6*4</f>
        <v>2.6428458082191769E-2</v>
      </c>
      <c r="AH6" s="123">
        <f>SUM(Z6,AB6,AD6,AF6)</f>
        <v>1</v>
      </c>
      <c r="AI6" s="183">
        <f>SUM(AA6,AC6,AE6,AG6)/4</f>
        <v>2.0021559153175585E-2</v>
      </c>
      <c r="AJ6" s="120">
        <f>(AA6+AC6)/2</f>
        <v>1.3614660224159398E-2</v>
      </c>
      <c r="AK6" s="119">
        <f>(AE6+AG6)/2</f>
        <v>2.6428458082191769E-2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4.7251400996264009E-3</v>
      </c>
      <c r="J7" s="24">
        <f t="shared" si="3"/>
        <v>4.7251400996264009E-3</v>
      </c>
      <c r="K7" s="22">
        <f t="shared" si="4"/>
        <v>9.4502801992528019E-3</v>
      </c>
      <c r="L7" s="22">
        <f t="shared" si="5"/>
        <v>4.7251400996264009E-3</v>
      </c>
      <c r="M7" s="223">
        <f t="shared" si="6"/>
        <v>4.7251400996264009E-3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4993.0772671338227</v>
      </c>
      <c r="T7" s="221">
        <f>IF($B$81=0,0,(SUMIF($N$6:$N$28,$U7,M$6:M$28)+SUMIF($N$91:$N$118,$U7,M$91:M$118))*$I$83*Poor!$B$81/$B$81)</f>
        <v>4906.7043616483488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1.8900560398505604E-2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1.8900560398505604E-2</v>
      </c>
      <c r="AH7" s="123">
        <f t="shared" ref="AH7:AH30" si="12">SUM(Z7,AB7,AD7,AF7)</f>
        <v>1</v>
      </c>
      <c r="AI7" s="183">
        <f t="shared" ref="AI7:AI30" si="13">SUM(AA7,AC7,AE7,AG7)/4</f>
        <v>4.7251400996264009E-3</v>
      </c>
      <c r="AJ7" s="120">
        <f t="shared" ref="AJ7:AJ31" si="14">(AA7+AC7)/2</f>
        <v>0</v>
      </c>
      <c r="AK7" s="119">
        <f t="shared" ref="AK7:AK31" si="15">(AE7+AG7)/2</f>
        <v>9.4502801992528019E-3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1.2378016109589038</v>
      </c>
      <c r="J8" s="24">
        <f t="shared" si="3"/>
        <v>0.40440360518356594</v>
      </c>
      <c r="K8" s="22">
        <f t="shared" si="4"/>
        <v>0.378532602739726</v>
      </c>
      <c r="L8" s="22">
        <f t="shared" si="5"/>
        <v>0.41260053698630139</v>
      </c>
      <c r="M8" s="223">
        <f t="shared" si="6"/>
        <v>0.40440360518356594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5059.0847999999996</v>
      </c>
      <c r="T8" s="221">
        <f>IF($B$81=0,0,(SUMIF($N$6:$N$28,$U8,M$6:M$28)+SUMIF($N$91:$N$118,$U8,M$91:M$118))*$I$83*Poor!$B$81/$B$81)</f>
        <v>5099.7424506340403</v>
      </c>
      <c r="U8" s="222">
        <v>2</v>
      </c>
      <c r="V8" s="56"/>
      <c r="W8" s="115"/>
      <c r="X8" s="118">
        <f>Poor!X8</f>
        <v>1</v>
      </c>
      <c r="Y8" s="183">
        <f t="shared" si="9"/>
        <v>1.6176144207342638</v>
      </c>
      <c r="Z8" s="125">
        <f>IF($Y8=0,0,AA8/$Y8)</f>
        <v>0.3840815681502594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0.6212958833780895</v>
      </c>
      <c r="AB8" s="125">
        <f>IF($Y8=0,0,AC8/$Y8)</f>
        <v>0.3840815681502594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0.6212958833780895</v>
      </c>
      <c r="AD8" s="125">
        <f>IF($Y8=0,0,AE8/$Y8)</f>
        <v>0.2318368636994812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0.37502265397808476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0.40440360518356594</v>
      </c>
      <c r="AJ8" s="120">
        <f t="shared" si="14"/>
        <v>0.6212958833780895</v>
      </c>
      <c r="AK8" s="119">
        <f t="shared" si="15"/>
        <v>0.18751132698904238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5.0816437733499371E-2</v>
      </c>
      <c r="J9" s="24">
        <f t="shared" si="3"/>
        <v>5.7510508643865969E-2</v>
      </c>
      <c r="K9" s="22">
        <f t="shared" si="4"/>
        <v>5.7444668742216695E-2</v>
      </c>
      <c r="L9" s="22">
        <f t="shared" si="5"/>
        <v>5.7444668742216695E-2</v>
      </c>
      <c r="M9" s="223">
        <f t="shared" si="6"/>
        <v>5.7510508643865969E-2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262.87297470517854</v>
      </c>
      <c r="T9" s="221">
        <f>IF($B$81=0,0,(SUMIF($N$6:$N$28,$U9,M$6:M$28)+SUMIF($N$91:$N$118,$U9,M$91:M$118))*$I$83*Poor!$B$81/$B$81)</f>
        <v>262.87297470517854</v>
      </c>
      <c r="U9" s="222">
        <v>3</v>
      </c>
      <c r="V9" s="56"/>
      <c r="W9" s="115"/>
      <c r="X9" s="118">
        <f>Poor!X9</f>
        <v>1</v>
      </c>
      <c r="Y9" s="183">
        <f t="shared" si="9"/>
        <v>0.23004203457546388</v>
      </c>
      <c r="Z9" s="125">
        <f>IF($Y9=0,0,AA9/$Y9)</f>
        <v>0.3840815681502594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8.8354905380220353E-2</v>
      </c>
      <c r="AB9" s="125">
        <f>IF($Y9=0,0,AC9/$Y9)</f>
        <v>0.3840815681502594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8.8354905380220353E-2</v>
      </c>
      <c r="AD9" s="125">
        <f>IF($Y9=0,0,AE9/$Y9)</f>
        <v>0.2318368636994812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5.3332223815023158E-2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5.7510508643865962E-2</v>
      </c>
      <c r="AJ9" s="120">
        <f t="shared" si="14"/>
        <v>8.8354905380220353E-2</v>
      </c>
      <c r="AK9" s="119">
        <f t="shared" si="15"/>
        <v>2.6666111907511579E-2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9742.0799999999981</v>
      </c>
      <c r="T11" s="221">
        <f>IF($B$81=0,0,(SUMIF($N$6:$N$28,$U11,M$6:M$28)+SUMIF($N$91:$N$118,$U11,M$91:M$118))*$I$83*Poor!$B$81/$B$81)</f>
        <v>9693.6947228260597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147751.99504183899</v>
      </c>
      <c r="T23" s="179">
        <f>SUM(T7:T22)</f>
        <v>147657.89450981363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1.3356776035652836E-2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1.3356776035652836E-2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5.3427104142611342E-2</v>
      </c>
      <c r="Z27" s="156">
        <f>Poor!Z27</f>
        <v>0.25</v>
      </c>
      <c r="AA27" s="121">
        <f t="shared" si="16"/>
        <v>1.3356776035652836E-2</v>
      </c>
      <c r="AB27" s="156">
        <f>Poor!AB27</f>
        <v>0.25</v>
      </c>
      <c r="AC27" s="121">
        <f t="shared" si="7"/>
        <v>1.3356776035652836E-2</v>
      </c>
      <c r="AD27" s="156">
        <f>Poor!AD27</f>
        <v>0.25</v>
      </c>
      <c r="AE27" s="121">
        <f t="shared" si="8"/>
        <v>1.3356776035652836E-2</v>
      </c>
      <c r="AF27" s="122">
        <f t="shared" si="10"/>
        <v>0.25</v>
      </c>
      <c r="AG27" s="121">
        <f t="shared" si="11"/>
        <v>1.3356776035652836E-2</v>
      </c>
      <c r="AH27" s="123">
        <f t="shared" si="12"/>
        <v>1</v>
      </c>
      <c r="AI27" s="183">
        <f t="shared" si="13"/>
        <v>1.3356776035652836E-2</v>
      </c>
      <c r="AJ27" s="120">
        <f t="shared" si="14"/>
        <v>1.3356776035652836E-2</v>
      </c>
      <c r="AK27" s="119">
        <f t="shared" si="15"/>
        <v>1.3356776035652836E-2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1.0426163541809903E-2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1.0426163541809903E-2</v>
      </c>
      <c r="N28" s="228"/>
      <c r="O28" s="2"/>
      <c r="P28" s="22"/>
      <c r="V28" s="56"/>
      <c r="W28" s="110"/>
      <c r="X28" s="118"/>
      <c r="Y28" s="183">
        <f t="shared" si="9"/>
        <v>4.1704654167239612E-2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2.0852327083619806E-2</v>
      </c>
      <c r="AF28" s="122">
        <f t="shared" si="10"/>
        <v>0.5</v>
      </c>
      <c r="AG28" s="121">
        <f t="shared" si="11"/>
        <v>2.0852327083619806E-2</v>
      </c>
      <c r="AH28" s="123">
        <f t="shared" si="12"/>
        <v>1</v>
      </c>
      <c r="AI28" s="183">
        <f t="shared" si="13"/>
        <v>1.0426163541809903E-2</v>
      </c>
      <c r="AJ28" s="120">
        <f t="shared" si="14"/>
        <v>0</v>
      </c>
      <c r="AK28" s="119">
        <f t="shared" si="15"/>
        <v>2.0852327083619806E-2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0.26337777498187781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0.26337777498187781</v>
      </c>
      <c r="N29" s="228"/>
      <c r="P29" s="22"/>
      <c r="V29" s="56"/>
      <c r="W29" s="110"/>
      <c r="X29" s="118"/>
      <c r="Y29" s="183">
        <f t="shared" si="9"/>
        <v>1.0535110999275112</v>
      </c>
      <c r="Z29" s="156">
        <f>Poor!Z29</f>
        <v>0.25</v>
      </c>
      <c r="AA29" s="121">
        <f t="shared" si="16"/>
        <v>0.26337777498187781</v>
      </c>
      <c r="AB29" s="156">
        <f>Poor!AB29</f>
        <v>0.25</v>
      </c>
      <c r="AC29" s="121">
        <f t="shared" si="7"/>
        <v>0.26337777498187781</v>
      </c>
      <c r="AD29" s="156">
        <f>Poor!AD29</f>
        <v>0.25</v>
      </c>
      <c r="AE29" s="121">
        <f t="shared" si="8"/>
        <v>0.26337777498187781</v>
      </c>
      <c r="AF29" s="122">
        <f t="shared" si="10"/>
        <v>0.25</v>
      </c>
      <c r="AG29" s="121">
        <f t="shared" si="11"/>
        <v>0.26337777498187781</v>
      </c>
      <c r="AH29" s="123">
        <f t="shared" si="12"/>
        <v>1</v>
      </c>
      <c r="AI29" s="183">
        <f t="shared" si="13"/>
        <v>0.26337777498187781</v>
      </c>
      <c r="AJ29" s="120">
        <f t="shared" si="14"/>
        <v>0.26337777498187781</v>
      </c>
      <c r="AK29" s="119">
        <f t="shared" si="15"/>
        <v>0.26337777498187781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11.356733455958196</v>
      </c>
      <c r="J30" s="230">
        <f>IF(I$32&lt;=1,I30,1-SUM(J6:J29))</f>
        <v>0.22617847236042543</v>
      </c>
      <c r="K30" s="22">
        <f t="shared" si="4"/>
        <v>0.53191651606475721</v>
      </c>
      <c r="L30" s="22">
        <f>IF(L124=L119,0,IF(K30="",0,(L119-L124)/(B119-B124)*K30))</f>
        <v>0.29608880663817305</v>
      </c>
      <c r="M30" s="175">
        <f t="shared" si="6"/>
        <v>0.22617847236042543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0.90471388944170172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0.27371060499177485</v>
      </c>
      <c r="AE30" s="187">
        <f>IF(AE79*4/$I$84+SUM(AE6:AE29)&lt;1,AE79*4/$I$84,1-SUM(AE6:AE29))</f>
        <v>0.2476297860235499</v>
      </c>
      <c r="AF30" s="122">
        <f>IF($Y30=0,0,AG30/($Y$30))</f>
        <v>0.72628939500822554</v>
      </c>
      <c r="AG30" s="187">
        <f>IF(AG79*4/$I$84+SUM(AG6:AG29)&lt;1,AG79*4/$I$84,1-SUM(AG6:AG29))</f>
        <v>0.65708410341815215</v>
      </c>
      <c r="AH30" s="123">
        <f t="shared" si="12"/>
        <v>1.0000000000000004</v>
      </c>
      <c r="AI30" s="183">
        <f t="shared" si="13"/>
        <v>0.22617847236042551</v>
      </c>
      <c r="AJ30" s="120">
        <f t="shared" si="14"/>
        <v>0</v>
      </c>
      <c r="AK30" s="119">
        <f t="shared" si="15"/>
        <v>0.45235694472085103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-7.7426468531074599E-2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12.894734977845399</v>
      </c>
      <c r="J32" s="17"/>
      <c r="L32" s="22">
        <f>SUM(L6:L30)</f>
        <v>1.0774264685310746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-9.9332539198895772E-3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11328</v>
      </c>
      <c r="J37" s="38">
        <f>J91*I$83</f>
        <v>7514.4920331984958</v>
      </c>
      <c r="K37" s="40">
        <f>(B37/B$65)</f>
        <v>6.5453593402277785E-2</v>
      </c>
      <c r="L37" s="22">
        <f t="shared" ref="L37" si="28">(K37*H37)</f>
        <v>6.1788192171750224E-2</v>
      </c>
      <c r="M37" s="24">
        <f>J37/B$65</f>
        <v>6.1481313270703754E-2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7514.4920331984958</v>
      </c>
      <c r="AH37" s="123">
        <f>SUM(Z37,AB37,AD37,AF37)</f>
        <v>1</v>
      </c>
      <c r="AI37" s="112">
        <f>SUM(AA37,AC37,AE37,AG37)</f>
        <v>7514.4920331984958</v>
      </c>
      <c r="AJ37" s="148">
        <f>(AA37+AC37)</f>
        <v>0</v>
      </c>
      <c r="AK37" s="147">
        <f>(AE37+AG37)</f>
        <v>7514.4920331984958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849.59999999999991</v>
      </c>
      <c r="J38" s="38">
        <f t="shared" ref="J38:J64" si="32">J92*I$83</f>
        <v>563.58690248988728</v>
      </c>
      <c r="K38" s="40">
        <f t="shared" ref="K38:K64" si="33">(B38/B$65)</f>
        <v>4.9090195051708337E-3</v>
      </c>
      <c r="L38" s="22">
        <f t="shared" ref="L38:L64" si="34">(K38*H38)</f>
        <v>4.6341144128812664E-3</v>
      </c>
      <c r="M38" s="24">
        <f t="shared" ref="M38:M64" si="35">J38/B$65</f>
        <v>4.6110984953027824E-3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563.58690248988728</v>
      </c>
      <c r="AH38" s="123">
        <f t="shared" ref="AH38:AI58" si="37">SUM(Z38,AB38,AD38,AF38)</f>
        <v>1</v>
      </c>
      <c r="AI38" s="112">
        <f t="shared" si="37"/>
        <v>563.58690248988728</v>
      </c>
      <c r="AJ38" s="148">
        <f t="shared" ref="AJ38:AJ64" si="38">(AA38+AC38)</f>
        <v>0</v>
      </c>
      <c r="AK38" s="147">
        <f t="shared" ref="AK38:AK64" si="39">(AE38+AG38)</f>
        <v>563.58690248988728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0.3840815681502594</v>
      </c>
      <c r="AA39" s="147">
        <f t="shared" ref="AA39:AA64" si="40">$J39*Z39</f>
        <v>0</v>
      </c>
      <c r="AB39" s="122">
        <f>AB8</f>
        <v>0.3840815681502594</v>
      </c>
      <c r="AC39" s="147">
        <f t="shared" ref="AC39:AC64" si="41">$J39*AB39</f>
        <v>0</v>
      </c>
      <c r="AD39" s="122">
        <f>AD8</f>
        <v>0.2318368636994812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3550.8283671899549</v>
      </c>
      <c r="K40" s="40">
        <f t="shared" si="33"/>
        <v>1.8850634899856004E-2</v>
      </c>
      <c r="L40" s="22">
        <f t="shared" si="34"/>
        <v>2.8766068857180263E-2</v>
      </c>
      <c r="M40" s="24">
        <f t="shared" si="35"/>
        <v>2.9051809523415652E-2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0.3840815681502594</v>
      </c>
      <c r="AA40" s="147">
        <f t="shared" si="40"/>
        <v>1363.8077275027429</v>
      </c>
      <c r="AB40" s="122">
        <f>AB9</f>
        <v>0.3840815681502594</v>
      </c>
      <c r="AC40" s="147">
        <f t="shared" si="41"/>
        <v>1363.8077275027429</v>
      </c>
      <c r="AD40" s="122">
        <f>AD9</f>
        <v>0.2318368636994812</v>
      </c>
      <c r="AE40" s="147">
        <f t="shared" si="42"/>
        <v>823.21291218446891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3550.8283671899544</v>
      </c>
      <c r="AJ40" s="148">
        <f t="shared" si="38"/>
        <v>2727.6154550054857</v>
      </c>
      <c r="AK40" s="147">
        <f t="shared" si="39"/>
        <v>823.21291218446891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805</v>
      </c>
      <c r="J41" s="38">
        <f t="shared" si="32"/>
        <v>698.95700833841158</v>
      </c>
      <c r="K41" s="40">
        <f t="shared" si="33"/>
        <v>4.0908495876423616E-3</v>
      </c>
      <c r="L41" s="22">
        <f t="shared" si="34"/>
        <v>5.7271894226993058E-3</v>
      </c>
      <c r="M41" s="24">
        <f t="shared" si="35"/>
        <v>5.7186559786818591E-3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698.95700833841158</v>
      </c>
      <c r="AH41" s="123">
        <f t="shared" si="37"/>
        <v>1</v>
      </c>
      <c r="AI41" s="112">
        <f t="shared" si="37"/>
        <v>698.95700833841158</v>
      </c>
      <c r="AJ41" s="148">
        <f t="shared" si="38"/>
        <v>0</v>
      </c>
      <c r="AK41" s="147">
        <f t="shared" si="39"/>
        <v>698.95700833841158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8991.6</v>
      </c>
      <c r="J50" s="38">
        <f t="shared" si="32"/>
        <v>8991.6</v>
      </c>
      <c r="K50" s="40">
        <f t="shared" si="33"/>
        <v>6.2344547715669593E-2</v>
      </c>
      <c r="L50" s="22">
        <f t="shared" si="34"/>
        <v>7.3566566304490114E-2</v>
      </c>
      <c r="M50" s="24">
        <f t="shared" si="35"/>
        <v>7.3566566304490114E-2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2247.9</v>
      </c>
      <c r="AB50" s="156">
        <f>Poor!AB55</f>
        <v>0.25</v>
      </c>
      <c r="AC50" s="147">
        <f t="shared" si="41"/>
        <v>2247.9</v>
      </c>
      <c r="AD50" s="156">
        <f>Poor!AD55</f>
        <v>0.25</v>
      </c>
      <c r="AE50" s="147">
        <f t="shared" si="42"/>
        <v>2247.9</v>
      </c>
      <c r="AF50" s="122">
        <f t="shared" si="29"/>
        <v>0.25</v>
      </c>
      <c r="AG50" s="147">
        <f t="shared" si="36"/>
        <v>2247.9</v>
      </c>
      <c r="AH50" s="123">
        <f t="shared" si="37"/>
        <v>1</v>
      </c>
      <c r="AI50" s="112">
        <f t="shared" si="37"/>
        <v>8991.6</v>
      </c>
      <c r="AJ50" s="148">
        <f t="shared" si="38"/>
        <v>4495.8</v>
      </c>
      <c r="AK50" s="147">
        <f t="shared" si="39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119395</v>
      </c>
      <c r="J65" s="39">
        <f>SUM(J37:J64)</f>
        <v>118740.26431121674</v>
      </c>
      <c r="K65" s="40">
        <f>SUM(K37:K64)</f>
        <v>0.99999999999999989</v>
      </c>
      <c r="L65" s="22">
        <f>SUM(L37:L64)</f>
        <v>0.97154981018457898</v>
      </c>
      <c r="M65" s="24">
        <f>SUM(M37:M64)</f>
        <v>0.971497122588172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27966.907727502741</v>
      </c>
      <c r="AB65" s="137"/>
      <c r="AC65" s="153">
        <f>SUM(AC37:AC64)</f>
        <v>27966.907727502741</v>
      </c>
      <c r="AD65" s="137"/>
      <c r="AE65" s="153">
        <f>SUM(AE37:AE64)</f>
        <v>27426.312912184469</v>
      </c>
      <c r="AF65" s="137"/>
      <c r="AG65" s="153">
        <f>SUM(AG37:AG64)</f>
        <v>35380.135944026792</v>
      </c>
      <c r="AH65" s="137"/>
      <c r="AI65" s="153">
        <f>SUM(AI37:AI64)</f>
        <v>118740.26431121674</v>
      </c>
      <c r="AJ65" s="153">
        <f>SUM(AJ37:AJ64)</f>
        <v>55933.815455005482</v>
      </c>
      <c r="AK65" s="153">
        <f>SUM(AK37:AK64)</f>
        <v>62806.44885621126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100531.19529208624</v>
      </c>
      <c r="J74" s="51">
        <f t="shared" si="44"/>
        <v>2002.159535037991</v>
      </c>
      <c r="K74" s="40">
        <f>B74/B$76</f>
        <v>2.3348041243885415E-2</v>
      </c>
      <c r="L74" s="22">
        <f t="shared" si="45"/>
        <v>2.1444351152387929E-2</v>
      </c>
      <c r="M74" s="24">
        <f>J74/B$76</f>
        <v>1.6381067016608776E-2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1592.7185638588901</v>
      </c>
      <c r="AF74" s="156"/>
      <c r="AG74" s="147">
        <f>AG30*$I$84/4</f>
        <v>4226.2688440522961</v>
      </c>
      <c r="AH74" s="155"/>
      <c r="AI74" s="147">
        <f>SUM(AA74,AC74,AE74,AG74)</f>
        <v>5818.987407911186</v>
      </c>
      <c r="AJ74" s="148">
        <f>(AA74+AC74)</f>
        <v>0</v>
      </c>
      <c r="AK74" s="147">
        <f>(AE74+AG74)</f>
        <v>5818.987407911186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30314.973401598309</v>
      </c>
      <c r="K75" s="40">
        <f>B75/B$76</f>
        <v>0.39797827039208566</v>
      </c>
      <c r="L75" s="22">
        <f t="shared" si="45"/>
        <v>0.24301739633926303</v>
      </c>
      <c r="M75" s="24">
        <f>J75/B$76</f>
        <v>0.2480279928786352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23250.956550524301</v>
      </c>
      <c r="AB75" s="158"/>
      <c r="AC75" s="149">
        <f>AA75+AC65-SUM(AC70,AC74)</f>
        <v>46501.913101048602</v>
      </c>
      <c r="AD75" s="158"/>
      <c r="AE75" s="149">
        <f>AC75+AE65-SUM(AE70,AE74)</f>
        <v>67619.556272395741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94057.472195391791</v>
      </c>
      <c r="AJ75" s="151">
        <f>AJ76-SUM(AJ70,AJ74)</f>
        <v>46501.913101048602</v>
      </c>
      <c r="AK75" s="149">
        <f>AJ75+AK76-SUM(AK70,AK74)</f>
        <v>94057.472195391791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119394.99999999999</v>
      </c>
      <c r="J76" s="51">
        <f t="shared" si="44"/>
        <v>118740.26431121674</v>
      </c>
      <c r="K76" s="40">
        <f>SUM(K70:K75)</f>
        <v>1</v>
      </c>
      <c r="L76" s="22">
        <f>SUM(L70:L75)</f>
        <v>0.97154981018457909</v>
      </c>
      <c r="M76" s="24">
        <f>SUM(M70:M75)</f>
        <v>0.971497122588172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27966.907727502741</v>
      </c>
      <c r="AB76" s="137"/>
      <c r="AC76" s="153">
        <f>AC65</f>
        <v>27966.907727502741</v>
      </c>
      <c r="AD76" s="137"/>
      <c r="AE76" s="153">
        <f>AE65</f>
        <v>27426.312912184469</v>
      </c>
      <c r="AF76" s="137"/>
      <c r="AG76" s="153">
        <f>AG65</f>
        <v>35380.135944026792</v>
      </c>
      <c r="AH76" s="137"/>
      <c r="AI76" s="153">
        <f>SUM(AA76,AC76,AE76,AG76)</f>
        <v>118740.26431121674</v>
      </c>
      <c r="AJ76" s="154">
        <f>SUM(AA76,AC76)</f>
        <v>55933.815455005482</v>
      </c>
      <c r="AK76" s="154">
        <f>SUM(AE76,AG76)</f>
        <v>62806.44885621126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23250.956550524301</v>
      </c>
      <c r="AD78" s="112"/>
      <c r="AE78" s="112">
        <f>AC75</f>
        <v>46501.913101048602</v>
      </c>
      <c r="AF78" s="112"/>
      <c r="AG78" s="112">
        <f>AE75</f>
        <v>67619.556272395741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23250.956550524301</v>
      </c>
      <c r="AB79" s="112"/>
      <c r="AC79" s="112">
        <f>AA79-AA74+AC65-AC70</f>
        <v>46501.913101048602</v>
      </c>
      <c r="AD79" s="112"/>
      <c r="AE79" s="112">
        <f>AC79-AC74+AE65-AE70</f>
        <v>69212.274836254626</v>
      </c>
      <c r="AF79" s="112"/>
      <c r="AG79" s="112">
        <f>AE79-AE74+AG65-AG70</f>
        <v>98283.741039444081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0.57212121212121214</v>
      </c>
      <c r="I91" s="22">
        <f t="shared" ref="I91" si="52">(D91*H91)</f>
        <v>1.2796930964096636</v>
      </c>
      <c r="J91" s="24">
        <f>IF(I$32&lt;=1+I$131,I91,L91+J$33*(I91-L91))</f>
        <v>0.84889155878438671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49"/>
        <v>0.84889155878438671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0.57212121212121214</v>
      </c>
      <c r="I92" s="22">
        <f t="shared" ref="I92:I118" si="58">(D92*H92)</f>
        <v>9.5976982230724775E-2</v>
      </c>
      <c r="J92" s="24">
        <f t="shared" ref="J92:J118" si="59">IF(I$32&lt;=1+I$131,I92,L92+J$33*(I92-L92))</f>
        <v>6.3666866908829015E-2</v>
      </c>
      <c r="K92" s="22">
        <f t="shared" ref="K92:K118" si="60">(B92)</f>
        <v>0.11183758522648013</v>
      </c>
      <c r="L92" s="22">
        <f t="shared" ref="L92:L118" si="61">(K92*H92)</f>
        <v>6.3984654820483183E-2</v>
      </c>
      <c r="M92" s="226">
        <f t="shared" ref="M92:M118" si="62">(J92)</f>
        <v>6.3666866908829015E-2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0.40112734357596963</v>
      </c>
      <c r="K94" s="22">
        <f t="shared" si="60"/>
        <v>0.42945632726968369</v>
      </c>
      <c r="L94" s="22">
        <f t="shared" si="61"/>
        <v>0.39718203358396204</v>
      </c>
      <c r="M94" s="226">
        <f t="shared" si="62"/>
        <v>0.40112734357596963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0.84848484848484851</v>
      </c>
      <c r="I95" s="22">
        <f t="shared" si="58"/>
        <v>9.093864253264293E-2</v>
      </c>
      <c r="J95" s="24">
        <f t="shared" si="59"/>
        <v>7.8959256555245147E-2</v>
      </c>
      <c r="K95" s="22">
        <f t="shared" si="60"/>
        <v>9.3197987688733441E-2</v>
      </c>
      <c r="L95" s="22">
        <f t="shared" si="61"/>
        <v>7.9077080463167776E-2</v>
      </c>
      <c r="M95" s="226">
        <f t="shared" si="62"/>
        <v>7.8959256555245147E-2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0.67272727272727284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0.67272727272727284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0.7151515151515152</v>
      </c>
      <c r="I104" s="22">
        <f t="shared" si="58"/>
        <v>1.0157563952751707</v>
      </c>
      <c r="J104" s="24">
        <f t="shared" si="59"/>
        <v>1.0157563952751707</v>
      </c>
      <c r="K104" s="22">
        <f t="shared" si="60"/>
        <v>1.4203373323762978</v>
      </c>
      <c r="L104" s="22">
        <f t="shared" si="61"/>
        <v>1.0157563952751707</v>
      </c>
      <c r="M104" s="226">
        <f t="shared" si="62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13.487725745571309</v>
      </c>
      <c r="J119" s="24">
        <f>SUM(J91:J118)</f>
        <v>13.413762050222708</v>
      </c>
      <c r="K119" s="22">
        <f>SUM(K91:K118)</f>
        <v>22.782061694535514</v>
      </c>
      <c r="L119" s="22">
        <f>SUM(L91:L118)</f>
        <v>13.414489524205665</v>
      </c>
      <c r="M119" s="57">
        <f t="shared" si="49"/>
        <v>13.413762050222708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11.356733455958196</v>
      </c>
      <c r="J128" s="227">
        <f>(J30)</f>
        <v>0.22617847236042543</v>
      </c>
      <c r="K128" s="22">
        <f>(B128)</f>
        <v>0.53191651606475721</v>
      </c>
      <c r="L128" s="22">
        <f>IF(L124=L119,0,(L119-L124)/(B119-B124)*K128)</f>
        <v>0.29608880663817305</v>
      </c>
      <c r="M128" s="57">
        <f t="shared" si="63"/>
        <v>0.22617847236042543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3.4245994155956865</v>
      </c>
      <c r="K129" s="29">
        <f>(B129)</f>
        <v>9.0667655091570314</v>
      </c>
      <c r="L129" s="60">
        <f>IF(SUM(L124:L128)&gt;L130,0,L130-SUM(L124:L128))</f>
        <v>3.3554165553008968</v>
      </c>
      <c r="M129" s="57">
        <f t="shared" si="63"/>
        <v>3.4245994155956865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13.487725745571309</v>
      </c>
      <c r="J130" s="227">
        <f>(J119)</f>
        <v>13.413762050222708</v>
      </c>
      <c r="K130" s="22">
        <f>(B130)</f>
        <v>22.782061694535514</v>
      </c>
      <c r="L130" s="22">
        <f>(L119)</f>
        <v>13.414489524205665</v>
      </c>
      <c r="M130" s="57">
        <f t="shared" si="63"/>
        <v>13.413762050222708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2.0021559153175598E-2</v>
      </c>
      <c r="J6" s="24">
        <f t="shared" ref="J6:J13" si="3">IF(I$32&lt;=1+I$131,I6,B6*H6+J$33*(I6-B6*H6))</f>
        <v>2.0021559153175598E-2</v>
      </c>
      <c r="K6" s="22">
        <f t="shared" ref="K6:K31" si="4">B6</f>
        <v>4.0043118306351197E-2</v>
      </c>
      <c r="L6" s="22">
        <f t="shared" ref="L6:L29" si="5">IF(K6="","",K6*H6)</f>
        <v>2.0021559153175598E-2</v>
      </c>
      <c r="M6" s="256">
        <f t="shared" ref="M6:M31" si="6">J6</f>
        <v>2.0021559153175598E-2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8.0086236612702394E-2</v>
      </c>
      <c r="Z6" s="156">
        <f>Poor!Z6</f>
        <v>0.17</v>
      </c>
      <c r="AA6" s="121">
        <f>$M6*Z6*4</f>
        <v>1.3614660224159409E-2</v>
      </c>
      <c r="AB6" s="156">
        <f>Poor!AB6</f>
        <v>0.17</v>
      </c>
      <c r="AC6" s="121">
        <f t="shared" ref="AC6:AC29" si="7">$M6*AB6*4</f>
        <v>1.3614660224159409E-2</v>
      </c>
      <c r="AD6" s="156">
        <f>Poor!AD6</f>
        <v>0.33</v>
      </c>
      <c r="AE6" s="121">
        <f t="shared" ref="AE6:AE29" si="8">$M6*AD6*4</f>
        <v>2.642845808219179E-2</v>
      </c>
      <c r="AF6" s="122">
        <f>1-SUM(Z6,AB6,AD6)</f>
        <v>0.32999999999999996</v>
      </c>
      <c r="AG6" s="121">
        <f>$M6*AF6*4</f>
        <v>2.6428458082191787E-2</v>
      </c>
      <c r="AH6" s="123">
        <f>SUM(Z6,AB6,AD6,AF6)</f>
        <v>1</v>
      </c>
      <c r="AI6" s="183">
        <f>SUM(AA6,AC6,AE6,AG6)/4</f>
        <v>2.0021559153175598E-2</v>
      </c>
      <c r="AJ6" s="120">
        <f>(AA6+AC6)/2</f>
        <v>1.3614660224159409E-2</v>
      </c>
      <c r="AK6" s="119">
        <f>(AE6+AG6)/2</f>
        <v>2.642845808219179E-2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1.5576668742216686E-2</v>
      </c>
      <c r="J7" s="24">
        <f t="shared" si="3"/>
        <v>1.5576668742216686E-2</v>
      </c>
      <c r="K7" s="22">
        <f t="shared" si="4"/>
        <v>3.1153337484433372E-2</v>
      </c>
      <c r="L7" s="22">
        <f t="shared" si="5"/>
        <v>1.5576668742216686E-2</v>
      </c>
      <c r="M7" s="256">
        <f t="shared" si="6"/>
        <v>1.5576668742216686E-2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6605.4073074688076</v>
      </c>
      <c r="T7" s="221">
        <f>IF($B$81=0,0,(SUMIF($N$6:$N$28,$U7,M$6:M$28)+SUMIF($N$91:$N$118,$U7,M$91:M$118))*$I$83*Poor!$B$81/$B$81)</f>
        <v>6225.6395582308342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6.2306674968866743E-2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6.2306674968866743E-2</v>
      </c>
      <c r="AH7" s="123">
        <f t="shared" ref="AH7:AH30" si="12">SUM(Z7,AB7,AD7,AF7)</f>
        <v>1</v>
      </c>
      <c r="AI7" s="183">
        <f t="shared" ref="AI7:AI30" si="13">SUM(AA7,AC7,AE7,AG7)/4</f>
        <v>1.5576668742216686E-2</v>
      </c>
      <c r="AJ7" s="120">
        <f t="shared" ref="AJ7:AJ31" si="14">(AA7+AC7)/2</f>
        <v>0</v>
      </c>
      <c r="AK7" s="119">
        <f t="shared" ref="AK7:AK31" si="15">(AE7+AG7)/2</f>
        <v>3.1153337484433372E-2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3.1563941079452058</v>
      </c>
      <c r="J8" s="24">
        <f t="shared" si="3"/>
        <v>0.54188965075247975</v>
      </c>
      <c r="K8" s="22">
        <f t="shared" si="4"/>
        <v>0.52994564383561638</v>
      </c>
      <c r="L8" s="22">
        <f t="shared" si="5"/>
        <v>0.57764075178082186</v>
      </c>
      <c r="M8" s="257">
        <f t="shared" si="6"/>
        <v>0.54188965075247975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14864.639999999996</v>
      </c>
      <c r="T8" s="221">
        <f>IF($B$81=0,0,(SUMIF($N$6:$N$28,$U8,M$6:M$28)+SUMIF($N$91:$N$118,$U8,M$91:M$118))*$I$83*Poor!$B$81/$B$81)</f>
        <v>15047.42808849072</v>
      </c>
      <c r="U8" s="222">
        <v>2</v>
      </c>
      <c r="V8" s="56"/>
      <c r="W8" s="115"/>
      <c r="X8" s="118">
        <f>Poor!X8</f>
        <v>1</v>
      </c>
      <c r="Y8" s="183">
        <f t="shared" si="9"/>
        <v>2.167558603009919</v>
      </c>
      <c r="Z8" s="125">
        <f>IF($Y8=0,0,AA8/$Y8)</f>
        <v>0.2890642532880453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0.62656370903714087</v>
      </c>
      <c r="AB8" s="125">
        <f>IF($Y8=0,0,AC8/$Y8)</f>
        <v>0.2890642532880453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0.62656370903714087</v>
      </c>
      <c r="AD8" s="125">
        <f>IF($Y8=0,0,AE8/$Y8)</f>
        <v>0.26573938372967582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0.5760056873618129</v>
      </c>
      <c r="AF8" s="122">
        <f t="shared" si="10"/>
        <v>0.15613210969423363</v>
      </c>
      <c r="AG8" s="121">
        <f t="shared" si="11"/>
        <v>0.33842549757382451</v>
      </c>
      <c r="AH8" s="123">
        <f t="shared" si="12"/>
        <v>1</v>
      </c>
      <c r="AI8" s="183">
        <f t="shared" si="13"/>
        <v>0.54188965075247975</v>
      </c>
      <c r="AJ8" s="120">
        <f t="shared" si="14"/>
        <v>0.62656370903714087</v>
      </c>
      <c r="AK8" s="119">
        <f t="shared" si="15"/>
        <v>0.45721559246781873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4.4188206724782061E-2</v>
      </c>
      <c r="J9" s="24">
        <f t="shared" si="3"/>
        <v>4.4188206724782061E-2</v>
      </c>
      <c r="K9" s="22">
        <f t="shared" si="4"/>
        <v>4.4188206724782061E-2</v>
      </c>
      <c r="L9" s="22">
        <f t="shared" si="5"/>
        <v>4.4188206724782061E-2</v>
      </c>
      <c r="M9" s="257">
        <f t="shared" si="6"/>
        <v>4.4188206724782061E-2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378.14384720560582</v>
      </c>
      <c r="T9" s="221">
        <f>IF($B$81=0,0,(SUMIF($N$6:$N$28,$U9,M$6:M$28)+SUMIF($N$91:$N$118,$U9,M$91:M$118))*$I$83*Poor!$B$81/$B$81)</f>
        <v>378.14384720560582</v>
      </c>
      <c r="U9" s="222">
        <v>3</v>
      </c>
      <c r="V9" s="56"/>
      <c r="W9" s="115"/>
      <c r="X9" s="118">
        <f>Poor!X9</f>
        <v>1</v>
      </c>
      <c r="Y9" s="183">
        <f t="shared" si="9"/>
        <v>0.17675282689912825</v>
      </c>
      <c r="Z9" s="125">
        <f>IF($Y9=0,0,AA9/$Y9)</f>
        <v>0.2890642532880453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5.1092923924147639E-2</v>
      </c>
      <c r="AB9" s="125">
        <f>IF($Y9=0,0,AC9/$Y9)</f>
        <v>0.2890642532880453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5.1092923924147639E-2</v>
      </c>
      <c r="AD9" s="125">
        <f>IF($Y9=0,0,AE9/$Y9)</f>
        <v>0.26573938372967576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4.6970187292652399E-2</v>
      </c>
      <c r="AF9" s="122">
        <f t="shared" si="10"/>
        <v>0.15613210969423363</v>
      </c>
      <c r="AG9" s="121">
        <f t="shared" si="11"/>
        <v>2.759679175818058E-2</v>
      </c>
      <c r="AH9" s="123">
        <f t="shared" si="12"/>
        <v>1</v>
      </c>
      <c r="AI9" s="183">
        <f t="shared" si="13"/>
        <v>4.4188206724782061E-2</v>
      </c>
      <c r="AJ9" s="120">
        <f t="shared" si="14"/>
        <v>5.1092923924147639E-2</v>
      </c>
      <c r="AK9" s="119">
        <f t="shared" si="15"/>
        <v>3.7283489525416491E-2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11101.439999999999</v>
      </c>
      <c r="T11" s="221">
        <f>IF($B$81=0,0,(SUMIF($N$6:$N$28,$U11,M$6:M$28)+SUMIF($N$91:$N$118,$U11,M$91:M$118))*$I$83*Poor!$B$81/$B$81)</f>
        <v>11110.862889664437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190310.39999999999</v>
      </c>
      <c r="T14" s="221">
        <f>IF($B$81=0,0,(SUMIF($N$6:$N$28,$U14,M$6:M$28)+SUMIF($N$91:$N$118,$U14,M$91:M$118))*$I$83*Poor!$B$81/$B$81)</f>
        <v>190310.39999999999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323767.71115467435</v>
      </c>
      <c r="T23" s="179">
        <f>SUM(T7:T22)</f>
        <v>323580.15438359155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1.3408757971365988E-2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1.3408757971365988E-2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5.3635031885463952E-2</v>
      </c>
      <c r="Z27" s="156">
        <f>Poor!Z27</f>
        <v>0.25</v>
      </c>
      <c r="AA27" s="121">
        <f t="shared" si="16"/>
        <v>1.3408757971365988E-2</v>
      </c>
      <c r="AB27" s="156">
        <f>Poor!AB27</f>
        <v>0.25</v>
      </c>
      <c r="AC27" s="121">
        <f t="shared" si="7"/>
        <v>1.3408757971365988E-2</v>
      </c>
      <c r="AD27" s="156">
        <f>Poor!AD27</f>
        <v>0.25</v>
      </c>
      <c r="AE27" s="121">
        <f t="shared" si="8"/>
        <v>1.3408757971365988E-2</v>
      </c>
      <c r="AF27" s="122">
        <f t="shared" si="10"/>
        <v>0.25</v>
      </c>
      <c r="AG27" s="121">
        <f t="shared" si="11"/>
        <v>1.3408757971365988E-2</v>
      </c>
      <c r="AH27" s="123">
        <f t="shared" si="12"/>
        <v>1</v>
      </c>
      <c r="AI27" s="183">
        <f t="shared" si="13"/>
        <v>1.3408757971365988E-2</v>
      </c>
      <c r="AJ27" s="120">
        <f t="shared" si="14"/>
        <v>1.3408757971365988E-2</v>
      </c>
      <c r="AK27" s="119">
        <f t="shared" si="15"/>
        <v>1.3408757971365988E-2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2.0933480224395468E-2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2.0933480224395468E-2</v>
      </c>
      <c r="N28" s="228"/>
      <c r="O28" s="2"/>
      <c r="P28" s="22"/>
      <c r="V28" s="56"/>
      <c r="W28" s="110"/>
      <c r="X28" s="118"/>
      <c r="Y28" s="183">
        <f t="shared" si="9"/>
        <v>8.3733920897581873E-2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4.1866960448790937E-2</v>
      </c>
      <c r="AF28" s="122">
        <f t="shared" si="10"/>
        <v>0.5</v>
      </c>
      <c r="AG28" s="121">
        <f t="shared" si="11"/>
        <v>4.1866960448790937E-2</v>
      </c>
      <c r="AH28" s="123">
        <f t="shared" si="12"/>
        <v>1</v>
      </c>
      <c r="AI28" s="183">
        <f t="shared" si="13"/>
        <v>2.0933480224395468E-2</v>
      </c>
      <c r="AJ28" s="120">
        <f t="shared" si="14"/>
        <v>0</v>
      </c>
      <c r="AK28" s="119">
        <f t="shared" si="15"/>
        <v>4.1866960448790937E-2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0.29531994884318602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0.29531994884318602</v>
      </c>
      <c r="N29" s="228"/>
      <c r="P29" s="22"/>
      <c r="V29" s="56"/>
      <c r="W29" s="110"/>
      <c r="X29" s="118"/>
      <c r="Y29" s="183">
        <f t="shared" si="9"/>
        <v>1.1812797953727441</v>
      </c>
      <c r="Z29" s="156">
        <f>Poor!Z29</f>
        <v>0.25</v>
      </c>
      <c r="AA29" s="121">
        <f t="shared" si="16"/>
        <v>0.29531994884318602</v>
      </c>
      <c r="AB29" s="156">
        <f>Poor!AB29</f>
        <v>0.25</v>
      </c>
      <c r="AC29" s="121">
        <f t="shared" si="7"/>
        <v>0.29531994884318602</v>
      </c>
      <c r="AD29" s="156">
        <f>Poor!AD29</f>
        <v>0.25</v>
      </c>
      <c r="AE29" s="121">
        <f t="shared" si="8"/>
        <v>0.29531994884318602</v>
      </c>
      <c r="AF29" s="122">
        <f t="shared" si="10"/>
        <v>0.25</v>
      </c>
      <c r="AG29" s="121">
        <f t="shared" si="11"/>
        <v>0.29531994884318602</v>
      </c>
      <c r="AH29" s="123">
        <f t="shared" si="12"/>
        <v>1</v>
      </c>
      <c r="AI29" s="183">
        <f t="shared" si="13"/>
        <v>0.29531994884318602</v>
      </c>
      <c r="AJ29" s="120">
        <f t="shared" si="14"/>
        <v>0.29531994884318602</v>
      </c>
      <c r="AK29" s="119">
        <f t="shared" si="15"/>
        <v>0.29531994884318602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26.376204843552628</v>
      </c>
      <c r="J30" s="230">
        <f>IF(I$32&lt;=1,I30,1-SUM(J6:J29))</f>
        <v>4.8661727588398485E-2</v>
      </c>
      <c r="K30" s="22">
        <f t="shared" si="4"/>
        <v>0.53191651606475721</v>
      </c>
      <c r="L30" s="22">
        <f>IF(L124=L119,0,IF(K30="",0,(L119-L124)/(B119-B124)*K30))</f>
        <v>0.30466033220601785</v>
      </c>
      <c r="M30" s="23">
        <f t="shared" si="6"/>
        <v>4.8661727588398485E-2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0.19464691035359394</v>
      </c>
      <c r="Z30" s="122">
        <f>IF($Y30=0,0,AA30/($Y$30))</f>
        <v>5.7037793336063481E-16</v>
      </c>
      <c r="AA30" s="187">
        <f>IF(AA79*4/$I$83+SUM(AA6:AA29)&lt;1,AA79*4/$I$83,1-SUM(AA6:AA29))</f>
        <v>1.1102230246251565E-16</v>
      </c>
      <c r="AB30" s="122">
        <f>IF($Y30=0,0,AC30/($Y$30))</f>
        <v>5.7037793336063481E-16</v>
      </c>
      <c r="AC30" s="187">
        <f>IF(AC79*4/$I$83+SUM(AC6:AC29)&lt;1,AC79*4/$I$83,1-SUM(AC6:AC29))</f>
        <v>1.1102230246251565E-16</v>
      </c>
      <c r="AD30" s="122">
        <f>IF($Y30=0,0,AE30/($Y$30))</f>
        <v>5.7037793336063481E-16</v>
      </c>
      <c r="AE30" s="187">
        <f>IF(AE79*4/$I$83+SUM(AE6:AE29)&lt;1,AE79*4/$I$83,1-SUM(AE6:AE29))</f>
        <v>1.1102230246251565E-16</v>
      </c>
      <c r="AF30" s="122">
        <f>IF($Y30=0,0,AG30/($Y$30))</f>
        <v>0.99999999999999767</v>
      </c>
      <c r="AG30" s="187">
        <f>IF(AG79*4/$I$83+SUM(AG6:AG29)&lt;1,AG79*4/$I$83,1-SUM(AG6:AG29))</f>
        <v>0.19464691035359349</v>
      </c>
      <c r="AH30" s="123">
        <f t="shared" si="12"/>
        <v>0.99999999999999933</v>
      </c>
      <c r="AI30" s="183">
        <f t="shared" si="13"/>
        <v>4.8661727588398457E-2</v>
      </c>
      <c r="AJ30" s="120">
        <f t="shared" si="14"/>
        <v>1.1102230246251565E-16</v>
      </c>
      <c r="AK30" s="119">
        <f t="shared" si="15"/>
        <v>9.7323455176796803E-2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-0.29031357340153452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29.837022160060005</v>
      </c>
      <c r="J32" s="17"/>
      <c r="L32" s="22">
        <f>SUM(L6:L30)</f>
        <v>1.2903135734015345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-1.3863714784076137E-2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7552</v>
      </c>
      <c r="J37" s="38">
        <f>J91*I$83</f>
        <v>7551.9999999999991</v>
      </c>
      <c r="K37" s="40">
        <f t="shared" ref="K37:K52" si="28">(B37/B$65)</f>
        <v>2.9323363389780806E-2</v>
      </c>
      <c r="L37" s="22">
        <f t="shared" ref="L37:L52" si="29">(K37*H37)</f>
        <v>2.7681255039953081E-2</v>
      </c>
      <c r="M37" s="24">
        <f t="shared" ref="M37:M52" si="30">J37/B$65</f>
        <v>2.7681255039953081E-2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7551.9999999999991</v>
      </c>
      <c r="AH37" s="123">
        <f>SUM(Z37,AB37,AD37,AF37)</f>
        <v>1</v>
      </c>
      <c r="AI37" s="112">
        <f>SUM(AA37,AC37,AE37,AG37)</f>
        <v>7551.9999999999991</v>
      </c>
      <c r="AJ37" s="148">
        <f>(AA37+AC37)</f>
        <v>0</v>
      </c>
      <c r="AK37" s="147">
        <f>(AE37+AG37)</f>
        <v>7551.9999999999991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1132.8</v>
      </c>
      <c r="J38" s="38">
        <f t="shared" ref="J38:J64" si="33">J92*I$83</f>
        <v>1707.0524080537007</v>
      </c>
      <c r="K38" s="40">
        <f t="shared" si="28"/>
        <v>6.5977567627006819E-3</v>
      </c>
      <c r="L38" s="22">
        <f t="shared" si="29"/>
        <v>6.2282823839894435E-3</v>
      </c>
      <c r="M38" s="24">
        <f t="shared" si="30"/>
        <v>6.2570647608448816E-3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1707.0524080537007</v>
      </c>
      <c r="AH38" s="123">
        <f t="shared" ref="AH38:AI58" si="35">SUM(Z38,AB38,AD38,AF38)</f>
        <v>1</v>
      </c>
      <c r="AI38" s="112">
        <f t="shared" si="35"/>
        <v>1707.0524080537007</v>
      </c>
      <c r="AJ38" s="148">
        <f t="shared" ref="AJ38:AJ64" si="36">(AA38+AC38)</f>
        <v>0</v>
      </c>
      <c r="AK38" s="147">
        <f t="shared" ref="AK38:AK64" si="37">(AE38+AG38)</f>
        <v>1707.0524080537007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0.2890642532880453</v>
      </c>
      <c r="AA39" s="147">
        <f>$J39*Z39</f>
        <v>0</v>
      </c>
      <c r="AB39" s="122">
        <f>AB8</f>
        <v>0.2890642532880453</v>
      </c>
      <c r="AC39" s="147">
        <f>$J39*AB39</f>
        <v>0</v>
      </c>
      <c r="AD39" s="122">
        <f>AD8</f>
        <v>0.26573938372967582</v>
      </c>
      <c r="AE39" s="147">
        <f>$J39*AD39</f>
        <v>0</v>
      </c>
      <c r="AF39" s="122">
        <f t="shared" si="31"/>
        <v>0.15613210969423363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11139.5234070756</v>
      </c>
      <c r="K40" s="40">
        <f t="shared" si="28"/>
        <v>2.6391027050802728E-2</v>
      </c>
      <c r="L40" s="22">
        <f t="shared" si="29"/>
        <v>4.0272707279524964E-2</v>
      </c>
      <c r="M40" s="24">
        <f t="shared" si="30"/>
        <v>4.0831036606830878E-2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0.2890642532880453</v>
      </c>
      <c r="AA40" s="147">
        <f>$J40*Z40</f>
        <v>3220.0380156510105</v>
      </c>
      <c r="AB40" s="122">
        <f>AB9</f>
        <v>0.2890642532880453</v>
      </c>
      <c r="AC40" s="147">
        <f>$J40*AB40</f>
        <v>3220.0380156510105</v>
      </c>
      <c r="AD40" s="122">
        <f>AD9</f>
        <v>0.26573938372967576</v>
      </c>
      <c r="AE40" s="147">
        <f>$J40*AD40</f>
        <v>2960.2100852385679</v>
      </c>
      <c r="AF40" s="122">
        <f t="shared" si="31"/>
        <v>0.15613210969423363</v>
      </c>
      <c r="AG40" s="147">
        <f t="shared" si="34"/>
        <v>1739.2372905350107</v>
      </c>
      <c r="AH40" s="123">
        <f t="shared" si="35"/>
        <v>1</v>
      </c>
      <c r="AI40" s="112">
        <f t="shared" si="35"/>
        <v>11139.5234070756</v>
      </c>
      <c r="AJ40" s="148">
        <f t="shared" si="36"/>
        <v>6440.076031302021</v>
      </c>
      <c r="AK40" s="147">
        <f t="shared" si="37"/>
        <v>4699.4473757735786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1400</v>
      </c>
      <c r="J41" s="38">
        <f t="shared" si="33"/>
        <v>1400</v>
      </c>
      <c r="K41" s="40">
        <f t="shared" si="28"/>
        <v>3.6654204237226008E-3</v>
      </c>
      <c r="L41" s="22">
        <f t="shared" si="29"/>
        <v>5.1315885932116407E-3</v>
      </c>
      <c r="M41" s="24">
        <f t="shared" si="30"/>
        <v>5.1315885932116416E-3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1400</v>
      </c>
      <c r="AH41" s="123">
        <f t="shared" si="35"/>
        <v>1</v>
      </c>
      <c r="AI41" s="112">
        <f t="shared" si="35"/>
        <v>1400</v>
      </c>
      <c r="AJ41" s="148">
        <f t="shared" si="36"/>
        <v>0</v>
      </c>
      <c r="AK41" s="147">
        <f t="shared" si="37"/>
        <v>1400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1.1100000000000001</v>
      </c>
      <c r="G43" s="22">
        <f t="shared" si="32"/>
        <v>1.65</v>
      </c>
      <c r="H43" s="24">
        <f t="shared" si="26"/>
        <v>1.1100000000000001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158592</v>
      </c>
      <c r="J47" s="38">
        <f t="shared" si="33"/>
        <v>158592</v>
      </c>
      <c r="K47" s="40">
        <f t="shared" si="28"/>
        <v>0.61579063118539701</v>
      </c>
      <c r="L47" s="22">
        <f t="shared" si="29"/>
        <v>0.5813063558390148</v>
      </c>
      <c r="M47" s="24">
        <f t="shared" si="30"/>
        <v>0.58130635583901469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39648</v>
      </c>
      <c r="AB47" s="156">
        <f>Poor!AB47</f>
        <v>0.25</v>
      </c>
      <c r="AC47" s="147">
        <f t="shared" si="39"/>
        <v>39648</v>
      </c>
      <c r="AD47" s="156">
        <f>Poor!AD47</f>
        <v>0.25</v>
      </c>
      <c r="AE47" s="147">
        <f t="shared" si="40"/>
        <v>39648</v>
      </c>
      <c r="AF47" s="122">
        <f t="shared" si="31"/>
        <v>0.25</v>
      </c>
      <c r="AG47" s="147">
        <f t="shared" si="34"/>
        <v>39648</v>
      </c>
      <c r="AH47" s="123">
        <f t="shared" si="35"/>
        <v>1</v>
      </c>
      <c r="AI47" s="112">
        <f t="shared" si="35"/>
        <v>158592</v>
      </c>
      <c r="AJ47" s="148">
        <f t="shared" si="36"/>
        <v>79296</v>
      </c>
      <c r="AK47" s="147">
        <f t="shared" si="37"/>
        <v>79296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8991.6</v>
      </c>
      <c r="J50" s="38">
        <f t="shared" si="33"/>
        <v>8991.6</v>
      </c>
      <c r="K50" s="40">
        <f t="shared" si="28"/>
        <v>2.7930503628766219E-2</v>
      </c>
      <c r="L50" s="22">
        <f t="shared" si="29"/>
        <v>3.2957994281944139E-2</v>
      </c>
      <c r="M50" s="24">
        <f t="shared" si="30"/>
        <v>3.2957994281944139E-2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2247.9</v>
      </c>
      <c r="AB50" s="156">
        <f>Poor!AB55</f>
        <v>0.25</v>
      </c>
      <c r="AC50" s="147">
        <f t="shared" si="39"/>
        <v>2247.9</v>
      </c>
      <c r="AD50" s="156">
        <f>Poor!AD55</f>
        <v>0.25</v>
      </c>
      <c r="AE50" s="147">
        <f t="shared" si="40"/>
        <v>2247.9</v>
      </c>
      <c r="AF50" s="122">
        <f t="shared" si="31"/>
        <v>0.25</v>
      </c>
      <c r="AG50" s="147">
        <f t="shared" si="34"/>
        <v>2247.9</v>
      </c>
      <c r="AH50" s="123">
        <f t="shared" si="35"/>
        <v>1</v>
      </c>
      <c r="AI50" s="112">
        <f t="shared" si="35"/>
        <v>8991.6</v>
      </c>
      <c r="AJ50" s="148">
        <f t="shared" si="36"/>
        <v>4495.8</v>
      </c>
      <c r="AK50" s="147">
        <f t="shared" si="37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252433.19999999998</v>
      </c>
      <c r="J65" s="39">
        <f>SUM(J37:J64)</f>
        <v>264146.97581512929</v>
      </c>
      <c r="K65" s="40">
        <f>SUM(K37:K64)</f>
        <v>1</v>
      </c>
      <c r="L65" s="22">
        <f>SUM(L37:L64)</f>
        <v>0.96762260831317359</v>
      </c>
      <c r="M65" s="24">
        <f>SUM(M37:M64)</f>
        <v>0.96820972001733474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63807.138015651006</v>
      </c>
      <c r="AB65" s="137"/>
      <c r="AC65" s="153">
        <f>SUM(AC37:AC64)</f>
        <v>63807.138015651006</v>
      </c>
      <c r="AD65" s="137"/>
      <c r="AE65" s="153">
        <f>SUM(AE37:AE64)</f>
        <v>63547.310085238569</v>
      </c>
      <c r="AF65" s="137"/>
      <c r="AG65" s="153">
        <f>SUM(AG37:AG64)</f>
        <v>72985.389698588697</v>
      </c>
      <c r="AH65" s="137"/>
      <c r="AI65" s="153">
        <f>SUM(AI37:AI64)</f>
        <v>264146.97581512929</v>
      </c>
      <c r="AJ65" s="153">
        <f>SUM(AJ37:AJ64)</f>
        <v>127614.27603130201</v>
      </c>
      <c r="AK65" s="153">
        <f>SUM(AK37:AK64)</f>
        <v>136532.69978382727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233485.39529208624</v>
      </c>
      <c r="J74" s="51">
        <f>J128*I$83</f>
        <v>430.75957170351995</v>
      </c>
      <c r="K74" s="40">
        <f>B74/B$76</f>
        <v>1.0459977248708494E-2</v>
      </c>
      <c r="L74" s="22">
        <f>(L128*G$37*F$9/F$7)/B$130</f>
        <v>9.8852377730400728E-3</v>
      </c>
      <c r="M74" s="24">
        <f>J74/B$76</f>
        <v>1.5789149318360823E-3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2.4569575428356588E-13</v>
      </c>
      <c r="AB74" s="156"/>
      <c r="AC74" s="147">
        <f>AC30*$I$83/4</f>
        <v>2.4569575428356588E-13</v>
      </c>
      <c r="AD74" s="156"/>
      <c r="AE74" s="147">
        <f>AE30*$I$83/4</f>
        <v>2.4569575428356588E-13</v>
      </c>
      <c r="AF74" s="156"/>
      <c r="AG74" s="147">
        <f>AG30*$I$83/4</f>
        <v>430.75957170351899</v>
      </c>
      <c r="AH74" s="155"/>
      <c r="AI74" s="147">
        <f>SUM(AA74,AC74,AE74,AG74)</f>
        <v>430.75957170351973</v>
      </c>
      <c r="AJ74" s="148">
        <f>(AA74+AC74)</f>
        <v>4.9139150856713176E-13</v>
      </c>
      <c r="AK74" s="147">
        <f>(AE74+AG74)</f>
        <v>430.75957170351921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145487.14486884532</v>
      </c>
      <c r="K75" s="40">
        <f>B75/B$76</f>
        <v>0.63153543039514071</v>
      </c>
      <c r="L75" s="22">
        <f>(L129*G$37*F$9/F$7)/B$130</f>
        <v>0.52437811764598929</v>
      </c>
      <c r="M75" s="24">
        <f>J75/B$76</f>
        <v>0.53327155219135447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59070.186838672562</v>
      </c>
      <c r="AB75" s="158"/>
      <c r="AC75" s="149">
        <f>AA75+AC65-SUM(AC70,AC74)</f>
        <v>118140.37367734512</v>
      </c>
      <c r="AD75" s="158"/>
      <c r="AE75" s="149">
        <f>AC75+AE65-SUM(AE70,AE74)</f>
        <v>176950.73258560526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244768.41153551202</v>
      </c>
      <c r="AJ75" s="151">
        <f>AJ76-SUM(AJ70,AJ74)</f>
        <v>118140.37367734512</v>
      </c>
      <c r="AK75" s="149">
        <f>AJ75+AK76-SUM(AK70,AK74)</f>
        <v>244768.41153551202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252433.2</v>
      </c>
      <c r="J76" s="51">
        <f>J130*I$83</f>
        <v>264146.97581512929</v>
      </c>
      <c r="K76" s="40">
        <f>SUM(K70:K75)</f>
        <v>0.90075263299367103</v>
      </c>
      <c r="L76" s="22">
        <f>SUM(L70:L75)</f>
        <v>0.85051071524570543</v>
      </c>
      <c r="M76" s="24">
        <f>SUM(M70:M75)</f>
        <v>0.85109782694986658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63807.138015651006</v>
      </c>
      <c r="AB76" s="137"/>
      <c r="AC76" s="153">
        <f>AC65</f>
        <v>63807.138015651006</v>
      </c>
      <c r="AD76" s="137"/>
      <c r="AE76" s="153">
        <f>AE65</f>
        <v>63547.310085238569</v>
      </c>
      <c r="AF76" s="137"/>
      <c r="AG76" s="153">
        <f>AG65</f>
        <v>72985.389698588697</v>
      </c>
      <c r="AH76" s="137"/>
      <c r="AI76" s="153">
        <f>SUM(AA76,AC76,AE76,AG76)</f>
        <v>264146.97581512929</v>
      </c>
      <c r="AJ76" s="154">
        <f>SUM(AA76,AC76)</f>
        <v>127614.27603130201</v>
      </c>
      <c r="AK76" s="154">
        <f>SUM(AE76,AG76)</f>
        <v>136532.69978382727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59070.186838672562</v>
      </c>
      <c r="AD78" s="112"/>
      <c r="AE78" s="112">
        <f>AC75</f>
        <v>118140.37367734512</v>
      </c>
      <c r="AF78" s="112"/>
      <c r="AG78" s="112">
        <f>AE75</f>
        <v>176950.73258560526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59070.186838672562</v>
      </c>
      <c r="AB79" s="112"/>
      <c r="AC79" s="112">
        <f>AA79-AA74+AC65-AC70</f>
        <v>118140.37367734512</v>
      </c>
      <c r="AD79" s="112"/>
      <c r="AE79" s="112">
        <f>AC79-AC74+AE65-AE70</f>
        <v>176950.73258560526</v>
      </c>
      <c r="AF79" s="112"/>
      <c r="AG79" s="112">
        <f>AE79-AE74+AG65-AG70</f>
        <v>245199.17110721552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0.57212121212121214</v>
      </c>
      <c r="I91" s="22">
        <f t="shared" ref="I91" si="52">(D91*H91)</f>
        <v>0.8531287309397757</v>
      </c>
      <c r="J91" s="24">
        <f>IF(I$32&lt;=1+I$131,I91,L91+J$33*(I91-L91))</f>
        <v>0.8531287309397757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50"/>
        <v>0.8531287309397757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0.57212121212121214</v>
      </c>
      <c r="I92" s="22">
        <f t="shared" ref="I92:I118" si="59">(D92*H92)</f>
        <v>0.12796930964096637</v>
      </c>
      <c r="J92" s="24">
        <f t="shared" ref="J92:J118" si="60">IF(I$32&lt;=1+I$131,I92,L92+J$33*(I92-L92))</f>
        <v>0.1928410294664383</v>
      </c>
      <c r="K92" s="22">
        <f t="shared" ref="K92:K118" si="61">(B92)</f>
        <v>0.33551275567944039</v>
      </c>
      <c r="L92" s="22">
        <f t="shared" ref="L92:L118" si="62">(K92*H92)</f>
        <v>0.19195396446144955</v>
      </c>
      <c r="M92" s="226">
        <f t="shared" ref="M92:M118" si="63">(J92)</f>
        <v>0.1928410294664383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1.2584014125466545</v>
      </c>
      <c r="K94" s="22">
        <f t="shared" si="61"/>
        <v>1.3420510227177616</v>
      </c>
      <c r="L94" s="22">
        <f t="shared" si="62"/>
        <v>1.2411938549498813</v>
      </c>
      <c r="M94" s="226">
        <f t="shared" si="63"/>
        <v>1.2584014125466545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0.84848484848484851</v>
      </c>
      <c r="I95" s="22">
        <f t="shared" si="59"/>
        <v>0.15815416092633555</v>
      </c>
      <c r="J95" s="24">
        <f t="shared" si="60"/>
        <v>0.15815416092633555</v>
      </c>
      <c r="K95" s="22">
        <f t="shared" si="61"/>
        <v>0.18639597537746688</v>
      </c>
      <c r="L95" s="22">
        <f t="shared" si="62"/>
        <v>0.15815416092633555</v>
      </c>
      <c r="M95" s="226">
        <f t="shared" si="63"/>
        <v>0.15815416092633555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0.67272727272727284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0.67272727272727284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0.57212121212121214</v>
      </c>
      <c r="I101" s="22">
        <f t="shared" si="59"/>
        <v>17.915703349735292</v>
      </c>
      <c r="J101" s="24">
        <f t="shared" si="60"/>
        <v>17.915703349735292</v>
      </c>
      <c r="K101" s="22">
        <f t="shared" si="61"/>
        <v>31.314523863414436</v>
      </c>
      <c r="L101" s="22">
        <f t="shared" si="62"/>
        <v>17.915703349735292</v>
      </c>
      <c r="M101" s="226">
        <f t="shared" si="63"/>
        <v>17.915703349735292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0.7151515151515152</v>
      </c>
      <c r="I104" s="22">
        <f t="shared" si="59"/>
        <v>1.0157563952751707</v>
      </c>
      <c r="J104" s="24">
        <f t="shared" si="60"/>
        <v>1.0157563952751707</v>
      </c>
      <c r="K104" s="22">
        <f t="shared" si="61"/>
        <v>1.4203373323762978</v>
      </c>
      <c r="L104" s="22">
        <f t="shared" si="62"/>
        <v>1.0157563952751707</v>
      </c>
      <c r="M104" s="226">
        <f t="shared" si="63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28.516686382821323</v>
      </c>
      <c r="J119" s="24">
        <f>SUM(J91:J118)</f>
        <v>29.839959515193446</v>
      </c>
      <c r="K119" s="22">
        <f>SUM(K91:K118)</f>
        <v>50.852550002480513</v>
      </c>
      <c r="L119" s="22">
        <f>SUM(L91:L118)</f>
        <v>29.821864892591687</v>
      </c>
      <c r="M119" s="57">
        <f t="shared" si="50"/>
        <v>29.839959515193446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26.376204843552628</v>
      </c>
      <c r="J128" s="227">
        <f>(J30)</f>
        <v>4.8661727588398485E-2</v>
      </c>
      <c r="K128" s="22">
        <f>(B128)</f>
        <v>0.53191651606475721</v>
      </c>
      <c r="L128" s="22">
        <f>IF(L124=L119,0,(L119-L124)/(B119-B124)*K128)</f>
        <v>0.30466033220601785</v>
      </c>
      <c r="M128" s="57">
        <f t="shared" si="90"/>
        <v>4.8661727588398485E-2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16.435283801643184</v>
      </c>
      <c r="K129" s="29">
        <f>(B129)</f>
        <v>32.115187052506947</v>
      </c>
      <c r="L129" s="60">
        <f>IF(SUM(L124:L128)&gt;L130,0,L130-SUM(L124:L128))</f>
        <v>16.161190574423806</v>
      </c>
      <c r="M129" s="57">
        <f t="shared" si="90"/>
        <v>16.435283801643184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28.516686382821323</v>
      </c>
      <c r="J130" s="227">
        <f>(J119)</f>
        <v>29.839959515193446</v>
      </c>
      <c r="K130" s="22">
        <f>(B130)</f>
        <v>50.852550002480513</v>
      </c>
      <c r="L130" s="22">
        <f>(L119)</f>
        <v>29.821864892591687</v>
      </c>
      <c r="M130" s="57">
        <f t="shared" si="90"/>
        <v>29.839959515193446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83" workbookViewId="0">
      <selection activeCell="W74" sqref="W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2084.0419894035199</v>
      </c>
      <c r="G72" s="109">
        <f>Poor!T7</f>
        <v>4472.1837455416899</v>
      </c>
      <c r="H72" s="109">
        <f>Middle!T7</f>
        <v>4906.7043616483488</v>
      </c>
      <c r="I72" s="109">
        <f>Rich!T7</f>
        <v>6225.6395582308342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484.11620446649493</v>
      </c>
      <c r="H73" s="109">
        <f>Middle!T8</f>
        <v>5099.7424506340403</v>
      </c>
      <c r="I73" s="109">
        <f>Rich!T8</f>
        <v>15047.42808849072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44.308323363527542</v>
      </c>
      <c r="H74" s="109">
        <f>Middle!T9</f>
        <v>262.87297470517854</v>
      </c>
      <c r="I74" s="109">
        <f>Rich!T9</f>
        <v>378.14384720560582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3519.7039999999997</v>
      </c>
      <c r="H76" s="109">
        <f>Middle!T11</f>
        <v>9693.6947228260597</v>
      </c>
      <c r="I76" s="109">
        <f>Rich!T11</f>
        <v>11110.862889664437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8413.8000000000011</v>
      </c>
      <c r="G78" s="109">
        <f>Poor!T13</f>
        <v>14988.283413494244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11328</v>
      </c>
      <c r="H79" s="109">
        <f>Middle!T14</f>
        <v>0</v>
      </c>
      <c r="I79" s="109">
        <f>Rich!T14</f>
        <v>190310.39999999999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5168.3740211159275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19611.599999999999</v>
      </c>
      <c r="G85" s="109">
        <f>Poor!T20</f>
        <v>19611.599999999999</v>
      </c>
      <c r="H85" s="109">
        <f>Middle!T20</f>
        <v>10789.920000000002</v>
      </c>
      <c r="I85" s="109">
        <f>Rich!T20</f>
        <v>10789.920000000002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33736.006780496558</v>
      </c>
      <c r="G88" s="109">
        <f>Poor!T23</f>
        <v>64980.025464721824</v>
      </c>
      <c r="H88" s="109">
        <f>Middle!T23</f>
        <v>147657.89450981363</v>
      </c>
      <c r="I88" s="109">
        <f>Rich!T23</f>
        <v>323580.15438359155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11014.731142193639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35568.171142193642</v>
      </c>
      <c r="G100" s="238">
        <f t="shared" si="0"/>
        <v>4275.1524579683755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2016-06-02T06:21:49Z</dcterms:modified>
  <cp:category/>
</cp:coreProperties>
</file>