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<sst xmlns="http://schemas.openxmlformats.org/spreadsheetml/2006/main" count="790" uniqueCount="145">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</sst>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0.0429792226027397</c:v>
                </c:pt>
                <c:pt idx="2" formatCode="0.0%">
                  <c:v>0.0429792226027397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0.286712598078924</c:v>
                </c:pt>
                <c:pt idx="2" formatCode="0.0%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511336"/>
        <c:axId val="-2021101688"/>
      </c:barChart>
      <c:catAx>
        <c:axId val="-202451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10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10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51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0.0794568206049043</c:v>
                </c:pt>
                <c:pt idx="2">
                  <c:v>0.0794568206049043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0.105942427473206</c:v>
                </c:pt>
                <c:pt idx="2">
                  <c:v>0.105234041918967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0.0184959317658942</c:v>
                </c:pt>
                <c:pt idx="2">
                  <c:v>0.0188257272642641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0.00353515515403176</c:v>
                </c:pt>
                <c:pt idx="2">
                  <c:v>0.00296784638389999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0.0019639750855732</c:v>
                </c:pt>
                <c:pt idx="2">
                  <c:v>0.00199899414545788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053896"/>
        <c:axId val="-2019050872"/>
      </c:barChart>
      <c:catAx>
        <c:axId val="-201905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5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05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5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0.131847155998184</c:v>
                </c:pt>
                <c:pt idx="2">
                  <c:v>0.131847155998184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0.0175796207997579</c:v>
                </c:pt>
                <c:pt idx="2">
                  <c:v>0.0170070035480493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0.00878981039987895</c:v>
                </c:pt>
                <c:pt idx="2">
                  <c:v>0.00878981039987895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0.0104968632760821</c:v>
                </c:pt>
                <c:pt idx="2">
                  <c:v>0.0111806874687853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0.0217262262708872</c:v>
                </c:pt>
                <c:pt idx="2">
                  <c:v>0.0206647006453681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0.00130357357625323</c:v>
                </c:pt>
                <c:pt idx="2">
                  <c:v>0.00138849562629477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0.439490519993948</c:v>
                </c:pt>
                <c:pt idx="2">
                  <c:v>0.439490519993948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0.176446514227876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911368"/>
        <c:axId val="-2018908312"/>
      </c:barChart>
      <c:catAx>
        <c:axId val="-20189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0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0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1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67768"/>
        <c:axId val="-2018764744"/>
      </c:barChart>
      <c:catAx>
        <c:axId val="-201876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6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1749.090671518131</c:v>
                </c:pt>
                <c:pt idx="4">
                  <c:v>3111.213324280093</c:v>
                </c:pt>
                <c:pt idx="5">
                  <c:v>5657.344593977856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848.0147013002743</c:v>
                </c:pt>
                <c:pt idx="5">
                  <c:v>4283.06661787587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417.6061233316857</c:v>
                </c:pt>
                <c:pt idx="5">
                  <c:v>774.3550729115177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7349.751722075827</c:v>
                </c:pt>
                <c:pt idx="5">
                  <c:v>21083.60309276018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44.40000000000001</c:v>
                </c:pt>
                <c:pt idx="4">
                  <c:v>487.5289174493326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329.0820192782996</c:v>
                </c:pt>
                <c:pt idx="5">
                  <c:v>56640.0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22739.80919088884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640488"/>
        <c:axId val="-20186371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640488"/>
        <c:axId val="-2018637112"/>
      </c:lineChart>
      <c:catAx>
        <c:axId val="-201864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3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63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4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157160"/>
        <c:axId val="-20191604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157160"/>
        <c:axId val="-2019160408"/>
      </c:lineChart>
      <c:catAx>
        <c:axId val="-20191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16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5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246984"/>
        <c:axId val="-2019250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46984"/>
        <c:axId val="-2019250280"/>
      </c:lineChart>
      <c:catAx>
        <c:axId val="-2019246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5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25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4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0.164146723573429</c:v>
                </c:pt>
                <c:pt idx="2">
                  <c:v>0.164146723573429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0.218718576629972</c:v>
                </c:pt>
                <c:pt idx="2">
                  <c:v>0.164146723573429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16632"/>
        <c:axId val="-2019319992"/>
      </c:barChart>
      <c:catAx>
        <c:axId val="-201931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1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1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1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0.0185386749318751</c:v>
                </c:pt>
                <c:pt idx="2">
                  <c:v>0.0535764337958375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-0.368283613379667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78488"/>
        <c:axId val="-2019381912"/>
      </c:barChart>
      <c:catAx>
        <c:axId val="-201937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8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8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7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0.411749848196348</c:v>
                </c:pt>
                <c:pt idx="2">
                  <c:v>0.457954236834703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33736"/>
        <c:axId val="-2019437256"/>
      </c:barChart>
      <c:catAx>
        <c:axId val="-20194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3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94696"/>
        <c:axId val="-2019498056"/>
      </c:barChart>
      <c:catAx>
        <c:axId val="-201949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9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9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9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0.0687667561643835</c:v>
                </c:pt>
                <c:pt idx="2" formatCode="0.0%">
                  <c:v>0.0672340565072665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0.070555590798185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0.0635139121975348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0.0184394672195913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0.304536014167144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0.359718523324064</c:v>
                </c:pt>
                <c:pt idx="2" formatCode="0.0%">
                  <c:v>0.276816299900766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722024"/>
        <c:axId val="-2020718728"/>
      </c:barChart>
      <c:catAx>
        <c:axId val="-202072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1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1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22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828968"/>
        <c:axId val="-20198255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28968"/>
        <c:axId val="-20198255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28968"/>
        <c:axId val="-2019825544"/>
      </c:scatterChart>
      <c:catAx>
        <c:axId val="-2019828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25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825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28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065272"/>
        <c:axId val="-2018061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65272"/>
        <c:axId val="-2018061896"/>
      </c:lineChart>
      <c:catAx>
        <c:axId val="-2018065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6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806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652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81272"/>
        <c:axId val="-2017877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74312"/>
        <c:axId val="-2017871416"/>
      </c:scatterChart>
      <c:valAx>
        <c:axId val="-20178812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77928"/>
        <c:crosses val="autoZero"/>
        <c:crossBetween val="midCat"/>
      </c:valAx>
      <c:valAx>
        <c:axId val="-2017877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81272"/>
        <c:crosses val="autoZero"/>
        <c:crossBetween val="midCat"/>
      </c:valAx>
      <c:valAx>
        <c:axId val="-20178743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871416"/>
        <c:crosses val="autoZero"/>
        <c:crossBetween val="midCat"/>
      </c:valAx>
      <c:valAx>
        <c:axId val="-20178714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743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791064"/>
        <c:axId val="-20177853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91064"/>
        <c:axId val="-2017785320"/>
      </c:lineChart>
      <c:catAx>
        <c:axId val="-201779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85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785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910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0.0501027786425903</c:v>
                </c:pt>
                <c:pt idx="2" formatCode="0.0%">
                  <c:v>0.0501027786425903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0.120537949313372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0.187715860683197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0.0577910366280958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0.250177094907966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0.000613211470338288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0.355941401172959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0.389041940242505</c:v>
                </c:pt>
                <c:pt idx="2" formatCode="0.0%">
                  <c:v>-0.0228793328185177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437064"/>
        <c:axId val="-2021440424"/>
      </c:barChart>
      <c:catAx>
        <c:axId val="-202143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4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44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3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97000"/>
        <c:axId val="-2062275832"/>
      </c:barChart>
      <c:catAx>
        <c:axId val="-205569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27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27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69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0.171916890410959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0.215175749161452</c:v>
                </c:pt>
                <c:pt idx="1">
                  <c:v>0.215175749161452</c:v>
                </c:pt>
                <c:pt idx="2">
                  <c:v>0.215175749161452</c:v>
                </c:pt>
                <c:pt idx="3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602504"/>
        <c:axId val="-2022596504"/>
      </c:barChart>
      <c:catAx>
        <c:axId val="-2023602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596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259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0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700312"/>
        <c:axId val="-2020202696"/>
      </c:barChart>
      <c:catAx>
        <c:axId val="-2022700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202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20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70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0.0183737344333748</c:v>
                </c:pt>
                <c:pt idx="1">
                  <c:v>0.0183737344333748</c:v>
                </c:pt>
                <c:pt idx="2">
                  <c:v>0.0356666609589041</c:v>
                </c:pt>
                <c:pt idx="3">
                  <c:v>0.0356666609589041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0.268936226029066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0.203695706630386</c:v>
                </c:pt>
                <c:pt idx="1">
                  <c:v>0.0785266565623535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0.183366209248296</c:v>
                </c:pt>
                <c:pt idx="1">
                  <c:v>0.0706894395418427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0.0910694025394551</c:v>
                </c:pt>
                <c:pt idx="1">
                  <c:v>0.0351081317071202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0.0614718467141322</c:v>
                </c:pt>
                <c:pt idx="1">
                  <c:v>0.0236979889023061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0.304536014167144</c:v>
                </c:pt>
                <c:pt idx="1">
                  <c:v>0.304536014167144</c:v>
                </c:pt>
                <c:pt idx="2">
                  <c:v>0.304536014167144</c:v>
                </c:pt>
                <c:pt idx="3">
                  <c:v>0.304536014167144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0.331580948418648</c:v>
                </c:pt>
                <c:pt idx="2">
                  <c:v>0.522310238606741</c:v>
                </c:pt>
                <c:pt idx="3">
                  <c:v>0.253374012577675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95704"/>
        <c:axId val="-2020092328"/>
      </c:barChart>
      <c:catAx>
        <c:axId val="-202009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92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09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9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0.0340698894769614</c:v>
                </c:pt>
                <c:pt idx="1">
                  <c:v>0.0340698894769614</c:v>
                </c:pt>
                <c:pt idx="2">
                  <c:v>0.0661356678082192</c:v>
                </c:pt>
                <c:pt idx="3">
                  <c:v>0.0661356678082192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0.482151797253488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0.27511384661088</c:v>
                </c:pt>
                <c:pt idx="1">
                  <c:v>0.27511384661088</c:v>
                </c:pt>
                <c:pt idx="2">
                  <c:v>0.200635749511027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0.0846977678312341</c:v>
                </c:pt>
                <c:pt idx="1">
                  <c:v>0.0846977678312341</c:v>
                </c:pt>
                <c:pt idx="2">
                  <c:v>0.0617686108499149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0.00122642294067658</c:v>
                </c:pt>
                <c:pt idx="3">
                  <c:v>0.00122642294067658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0.355941401172959</c:v>
                </c:pt>
                <c:pt idx="1">
                  <c:v>0.355941401172959</c:v>
                </c:pt>
                <c:pt idx="2">
                  <c:v>0.355941401172959</c:v>
                </c:pt>
                <c:pt idx="3">
                  <c:v>0.355941401172959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0.0641150528092378</c:v>
                </c:pt>
                <c:pt idx="3">
                  <c:v>-0.155632384083309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90136"/>
        <c:axId val="-2019986760"/>
      </c:barChart>
      <c:catAx>
        <c:axId val="-201999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86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98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9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609592"/>
        <c:axId val="-2021612728"/>
      </c:barChart>
      <c:catAx>
        <c:axId val="-202160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1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61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0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0.67272727272727284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1.0900000000000001</v>
      </c>
      <c r="F7" s="27">
        <f>[1]Summ!$P$1</f>
        <v>8800</v>
      </c>
      <c r="H7" s="24">
        <f t="shared" si="1"/>
        <v>1.0900000000000001</v>
      </c>
      <c r="I7" s="22">
        <f t="shared" si="2"/>
        <v>4.2979222602739731E-2</v>
      </c>
      <c r="J7" s="24">
        <f t="shared" si="3"/>
        <v>4.2979222602739731E-2</v>
      </c>
      <c r="K7" s="22">
        <f t="shared" si="4"/>
        <v>3.9430479452054794E-2</v>
      </c>
      <c r="L7" s="22">
        <f t="shared" si="5"/>
        <v>4.2979222602739731E-2</v>
      </c>
      <c r="M7" s="223">
        <f t="shared" si="6"/>
        <v>4.2979222602739731E-2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1749.0906715181311</v>
      </c>
      <c r="T7" s="221">
        <f>IF($B$81=0,0,(SUMIF($N$6:$N$28,$U7,M$6:M$28)+SUMIF($N$91:$N$118,$U7,M$91:M$118))*$I$83*Poor!$B$81/$B$81)</f>
        <v>1749.0906715181311</v>
      </c>
      <c r="U7" s="222">
        <v>1</v>
      </c>
      <c r="V7" s="56"/>
      <c r="W7" s="115"/>
      <c r="X7" s="124">
        <v>4</v>
      </c>
      <c r="Y7" s="183">
        <f t="shared" ref="Y7:Y29" si="9">M7*4</f>
        <v>0.17191689041095892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0.17191689041095892</v>
      </c>
      <c r="AH7" s="123">
        <f t="shared" ref="AH7:AH30" si="12">SUM(Z7,AB7,AD7,AF7)</f>
        <v>1</v>
      </c>
      <c r="AI7" s="183">
        <f t="shared" ref="AI7:AI30" si="13">SUM(AA7,AC7,AE7,AG7)/4</f>
        <v>4.2979222602739731E-2</v>
      </c>
      <c r="AJ7" s="120">
        <f t="shared" ref="AJ7:AJ31" si="14">(AA7+AC7)/2</f>
        <v>0</v>
      </c>
      <c r="AK7" s="119">
        <f t="shared" ref="AK7:AK31" si="15">(AE7+AG7)/2</f>
        <v>8.5958445205479461E-2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2.9458804483188047E-2</v>
      </c>
      <c r="AJ8" s="120">
        <f t="shared" si="14"/>
        <v>5.8917608966376094E-2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4.0732669157326686E-2</v>
      </c>
      <c r="AJ9" s="120">
        <f t="shared" si="14"/>
        <v>8.1465338314653371E-2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44.400000000000006</v>
      </c>
      <c r="T12" s="221">
        <f>IF($B$81=0,0,(SUMIF($N$6:$N$28,$U12,M$6:M$28)+SUMIF($N$91:$N$118,$U12,M$91:M$118))*$I$83*Poor!$B$81/$B$81)</f>
        <v>44.400000000000006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27493.011135514094</v>
      </c>
      <c r="T23" s="179">
        <f>SUM(T7:T22)</f>
        <v>27493.011135514094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0.21517574916145188</v>
      </c>
      <c r="J30" s="230">
        <f>IF(I$32&lt;=1,I30,1-SUM(J6:J29))</f>
        <v>0.21517574916145188</v>
      </c>
      <c r="K30" s="22">
        <f t="shared" si="4"/>
        <v>0.79108621419676206</v>
      </c>
      <c r="L30" s="22">
        <f>IF(L124=L119,0,IF(K30="",0,(L119-L124)/(B119-B124)*K30))</f>
        <v>0.28671259807892391</v>
      </c>
      <c r="M30" s="175">
        <f t="shared" si="6"/>
        <v>0.21517574916145188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5068.8722447822256</v>
      </c>
      <c r="T30" s="233">
        <f t="shared" si="50"/>
        <v>5068.8722447822256</v>
      </c>
      <c r="V30" s="56"/>
      <c r="W30" s="110"/>
      <c r="X30" s="118"/>
      <c r="Y30" s="183">
        <f>M30*4</f>
        <v>0.86070299664580752</v>
      </c>
      <c r="Z30" s="122">
        <f>IF($Y30=0,0,AA30/($Y$30))</f>
        <v>0.24999999999999994</v>
      </c>
      <c r="AA30" s="187">
        <f>IF(AA79*4/$I$83+SUM(AA6:AA29)&lt;1,AA79*4/$I$83,1-SUM(AA6:AA29))</f>
        <v>0.21517574916145182</v>
      </c>
      <c r="AB30" s="122">
        <f>IF($Y30=0,0,AC30/($Y$30))</f>
        <v>0.24999999999999994</v>
      </c>
      <c r="AC30" s="187">
        <f>IF(AC79*4/$I$83+SUM(AC6:AC29)&lt;1,AC79*4/$I$83,1-SUM(AC6:AC29))</f>
        <v>0.21517574916145182</v>
      </c>
      <c r="AD30" s="122">
        <f>IF($Y30=0,0,AE30/($Y$30))</f>
        <v>0.24999999999999994</v>
      </c>
      <c r="AE30" s="187">
        <f>IF(AE79*4/$I$83+SUM(AE6:AE29)&lt;1,AE79*4/$I$83,1-SUM(AE6:AE29))</f>
        <v>0.21517574916145182</v>
      </c>
      <c r="AF30" s="122">
        <f>IF($Y30=0,0,AG30/($Y$30))</f>
        <v>0.24999999999999994</v>
      </c>
      <c r="AG30" s="187">
        <f>IF(AG79*4/$I$83+SUM(AG6:AG29)&lt;1,AG79*4/$I$83,1-SUM(AG6:AG29))</f>
        <v>0.21517574916145182</v>
      </c>
      <c r="AH30" s="123">
        <f t="shared" si="12"/>
        <v>0.99999999999999978</v>
      </c>
      <c r="AI30" s="183">
        <f t="shared" si="13"/>
        <v>0.21517574916145182</v>
      </c>
      <c r="AJ30" s="120">
        <f t="shared" si="14"/>
        <v>0.21517574916145182</v>
      </c>
      <c r="AK30" s="119">
        <f t="shared" si="15"/>
        <v>0.21517574916145182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0.32796916160567757</v>
      </c>
      <c r="K31" s="22" t="str">
        <f t="shared" si="4"/>
        <v/>
      </c>
      <c r="L31" s="22">
        <f>(1-SUM(L6:L30))</f>
        <v>0.22649809036619262</v>
      </c>
      <c r="M31" s="178">
        <f t="shared" si="6"/>
        <v>0.32796916160567757</v>
      </c>
      <c r="N31" s="167">
        <f>M31*I83</f>
        <v>5068.8722447822292</v>
      </c>
      <c r="P31" s="22"/>
      <c r="Q31" s="237" t="s">
        <v>142</v>
      </c>
      <c r="R31" s="233">
        <f t="shared" si="50"/>
        <v>13134.231789828766</v>
      </c>
      <c r="S31" s="233">
        <f t="shared" si="50"/>
        <v>18855.992244782228</v>
      </c>
      <c r="T31" s="233">
        <f>IF(T25&gt;T$23,T25-T$23,0)</f>
        <v>18855.992244782228</v>
      </c>
      <c r="V31" s="56"/>
      <c r="W31" s="129" t="s">
        <v>84</v>
      </c>
      <c r="X31" s="130"/>
      <c r="Y31" s="121">
        <f>M31*4</f>
        <v>1.3118766464227103</v>
      </c>
      <c r="Z31" s="131"/>
      <c r="AA31" s="132">
        <f>1-AA32+IF($Y32&lt;0,$Y32/4,0)</f>
        <v>0.16037396328687303</v>
      </c>
      <c r="AB31" s="131"/>
      <c r="AC31" s="133">
        <f>1-AC32+IF($Y32&lt;0,$Y32/4,0)</f>
        <v>0.44113985784893206</v>
      </c>
      <c r="AD31" s="134"/>
      <c r="AE31" s="133">
        <f>1-AE32+IF($Y32&lt;0,$Y32/4,0)</f>
        <v>0.44113985784893206</v>
      </c>
      <c r="AF31" s="134"/>
      <c r="AG31" s="133">
        <f>1-AG32+IF($Y32&lt;0,$Y32/4,0)</f>
        <v>0.26922296743797314</v>
      </c>
      <c r="AH31" s="123"/>
      <c r="AI31" s="182">
        <f>SUM(AA31,AC31,AE31,AG31)/4</f>
        <v>0.32796916160567757</v>
      </c>
      <c r="AJ31" s="135">
        <f t="shared" si="14"/>
        <v>0.30075691056790255</v>
      </c>
      <c r="AK31" s="136">
        <f t="shared" si="15"/>
        <v>0.3551814126434526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0.67203083839432243</v>
      </c>
      <c r="J32" s="17"/>
      <c r="L32" s="22">
        <f>SUM(L6:L30)</f>
        <v>0.77350190963380738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43409.432244782234</v>
      </c>
      <c r="T32" s="233">
        <f t="shared" si="50"/>
        <v>43409.432244782234</v>
      </c>
      <c r="V32" s="56"/>
      <c r="W32" s="110"/>
      <c r="X32" s="118"/>
      <c r="Y32" s="115">
        <f>SUM(Y6:Y31)</f>
        <v>4</v>
      </c>
      <c r="Z32" s="137"/>
      <c r="AA32" s="138">
        <f>SUM(AA6:AA30)</f>
        <v>0.83962603671312697</v>
      </c>
      <c r="AB32" s="137"/>
      <c r="AC32" s="139">
        <f>SUM(AC6:AC30)</f>
        <v>0.55886014215106794</v>
      </c>
      <c r="AD32" s="137"/>
      <c r="AE32" s="139">
        <f>SUM(AE6:AE30)</f>
        <v>0.55886014215106794</v>
      </c>
      <c r="AF32" s="137"/>
      <c r="AG32" s="139">
        <f>SUM(AG6:AG30)</f>
        <v>0.73077703256202686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-2.4766815850557649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44.400000000000006</v>
      </c>
      <c r="J44" s="38">
        <f t="shared" si="53"/>
        <v>44.400000000000006</v>
      </c>
      <c r="K44" s="40">
        <f t="shared" si="54"/>
        <v>1.9743336623889436E-3</v>
      </c>
      <c r="L44" s="22">
        <f t="shared" si="55"/>
        <v>2.1915103652517275E-3</v>
      </c>
      <c r="M44" s="24">
        <f t="shared" si="56"/>
        <v>2.191510365251728E-3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11.100000000000001</v>
      </c>
      <c r="AB44" s="116">
        <v>0.25</v>
      </c>
      <c r="AC44" s="147">
        <f t="shared" si="65"/>
        <v>11.100000000000001</v>
      </c>
      <c r="AD44" s="116">
        <v>0.25</v>
      </c>
      <c r="AE44" s="147">
        <f t="shared" si="66"/>
        <v>11.100000000000001</v>
      </c>
      <c r="AF44" s="122">
        <f t="shared" si="57"/>
        <v>0.25</v>
      </c>
      <c r="AG44" s="147">
        <f t="shared" si="60"/>
        <v>11.100000000000001</v>
      </c>
      <c r="AH44" s="123">
        <f t="shared" si="61"/>
        <v>1</v>
      </c>
      <c r="AI44" s="112">
        <f t="shared" si="61"/>
        <v>44.400000000000006</v>
      </c>
      <c r="AJ44" s="148">
        <f t="shared" si="62"/>
        <v>22.200000000000003</v>
      </c>
      <c r="AK44" s="147">
        <f t="shared" si="63"/>
        <v>22.200000000000003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23859.599999999999</v>
      </c>
      <c r="J48" s="38">
        <f t="shared" si="53"/>
        <v>23859.600000000002</v>
      </c>
      <c r="K48" s="40">
        <f t="shared" si="54"/>
        <v>0.99802566633761103</v>
      </c>
      <c r="L48" s="22">
        <f t="shared" si="55"/>
        <v>1.177670286278381</v>
      </c>
      <c r="M48" s="24">
        <f t="shared" si="56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5964.9000000000005</v>
      </c>
      <c r="AB48" s="116">
        <v>0.25</v>
      </c>
      <c r="AC48" s="147">
        <f t="shared" si="65"/>
        <v>5964.9000000000005</v>
      </c>
      <c r="AD48" s="116">
        <v>0.25</v>
      </c>
      <c r="AE48" s="147">
        <f t="shared" si="66"/>
        <v>5964.9000000000005</v>
      </c>
      <c r="AF48" s="122">
        <f t="shared" si="57"/>
        <v>0.25</v>
      </c>
      <c r="AG48" s="147">
        <f t="shared" si="60"/>
        <v>5964.9000000000005</v>
      </c>
      <c r="AH48" s="123">
        <f t="shared" si="61"/>
        <v>1</v>
      </c>
      <c r="AI48" s="112">
        <f t="shared" si="61"/>
        <v>23859.600000000002</v>
      </c>
      <c r="AJ48" s="148">
        <f t="shared" si="62"/>
        <v>11929.800000000001</v>
      </c>
      <c r="AK48" s="147">
        <f t="shared" si="63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23904</v>
      </c>
      <c r="J65" s="39">
        <f>SUM(J37:J64)</f>
        <v>23904.000000000004</v>
      </c>
      <c r="K65" s="40">
        <f>SUM(K37:K64)</f>
        <v>1</v>
      </c>
      <c r="L65" s="22">
        <f>SUM(L37:L64)</f>
        <v>1.1798617966436327</v>
      </c>
      <c r="M65" s="24">
        <f>SUM(M37:M64)</f>
        <v>1.1798617966436329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5976.0000000000009</v>
      </c>
      <c r="AB65" s="137"/>
      <c r="AC65" s="153">
        <f>SUM(AC37:AC64)</f>
        <v>5976.0000000000009</v>
      </c>
      <c r="AD65" s="137"/>
      <c r="AE65" s="153">
        <f>SUM(AE37:AE64)</f>
        <v>5976.0000000000009</v>
      </c>
      <c r="AF65" s="137"/>
      <c r="AG65" s="153">
        <f>SUM(AG37:AG64)</f>
        <v>5976.0000000000009</v>
      </c>
      <c r="AH65" s="137"/>
      <c r="AI65" s="153">
        <f>SUM(AI37:AI64)</f>
        <v>23904.000000000004</v>
      </c>
      <c r="AJ65" s="153">
        <f>SUM(AJ37:AJ64)</f>
        <v>11952.000000000002</v>
      </c>
      <c r="AK65" s="153">
        <f>SUM(AK37:AK64)</f>
        <v>11952.000000000002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75">J124*I$83</f>
        <v>20578.387380402342</v>
      </c>
      <c r="K70" s="40">
        <f>B70/B$76</f>
        <v>0.72551076647871748</v>
      </c>
      <c r="L70" s="22">
        <f t="shared" ref="L70:L75" si="76">(L124*G$37*F$9/F$7)/B$130</f>
        <v>1.0157150730702043</v>
      </c>
      <c r="M70" s="24">
        <f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3325.6126195976622</v>
      </c>
      <c r="J71" s="51">
        <f t="shared" si="75"/>
        <v>3325.6126195976622</v>
      </c>
      <c r="K71" s="40">
        <f t="shared" ref="K71:K72" si="78">B71/B$76</f>
        <v>0.57670286278381044</v>
      </c>
      <c r="L71" s="22">
        <f t="shared" si="76"/>
        <v>0.16414672357342852</v>
      </c>
      <c r="M71" s="24">
        <f t="shared" ref="M71:M72" si="79">J71/B$76</f>
        <v>0.16414672357342855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3325.6126195976622</v>
      </c>
      <c r="J74" s="51">
        <f t="shared" si="75"/>
        <v>3325.6126195976622</v>
      </c>
      <c r="K74" s="40">
        <f>B74/B$76</f>
        <v>0.36574531095755181</v>
      </c>
      <c r="L74" s="22">
        <f t="shared" si="76"/>
        <v>0.21871857662997196</v>
      </c>
      <c r="M74" s="24">
        <f>J74/B$76</f>
        <v>0.16414672357342855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831.40315489941531</v>
      </c>
      <c r="AB74" s="156"/>
      <c r="AC74" s="147">
        <f>AC30*$I$83/4</f>
        <v>831.40315489941531</v>
      </c>
      <c r="AD74" s="156"/>
      <c r="AE74" s="147">
        <f>AE30*$I$83/4</f>
        <v>831.40315489941531</v>
      </c>
      <c r="AF74" s="156"/>
      <c r="AG74" s="147">
        <f>AG30*$I$83/4</f>
        <v>831.40315489941531</v>
      </c>
      <c r="AH74" s="155"/>
      <c r="AI74" s="147">
        <f>SUM(AA74,AC74,AE74,AG74)</f>
        <v>3325.6126195976613</v>
      </c>
      <c r="AJ74" s="148">
        <f>(AA74+AC74)</f>
        <v>1662.8063097988306</v>
      </c>
      <c r="AK74" s="147">
        <f>(AE74+AG74)</f>
        <v>1662.8063097988306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23904.000000000004</v>
      </c>
      <c r="J76" s="51">
        <f t="shared" si="75"/>
        <v>23904.000000000004</v>
      </c>
      <c r="K76" s="40">
        <f>SUM(K70:K75)</f>
        <v>2.711048772401718</v>
      </c>
      <c r="L76" s="22">
        <f>SUM(L70:L75)</f>
        <v>1.3985803732736046</v>
      </c>
      <c r="M76" s="24">
        <f>SUM(M70:M75)</f>
        <v>1.3440085202170617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5976.0000000000009</v>
      </c>
      <c r="AB76" s="137"/>
      <c r="AC76" s="153">
        <f>AC65</f>
        <v>5976.0000000000009</v>
      </c>
      <c r="AD76" s="137"/>
      <c r="AE76" s="153">
        <f>AE65</f>
        <v>5976.0000000000009</v>
      </c>
      <c r="AF76" s="137"/>
      <c r="AG76" s="153">
        <f>AG65</f>
        <v>5976.0000000000009</v>
      </c>
      <c r="AH76" s="137"/>
      <c r="AI76" s="153">
        <f>SUM(AA76,AC76,AE76,AG76)</f>
        <v>23904.000000000004</v>
      </c>
      <c r="AJ76" s="154">
        <f>SUM(AA76,AC76)</f>
        <v>11952.000000000002</v>
      </c>
      <c r="AK76" s="154">
        <f>SUM(AE76,AG76)</f>
        <v>11952.000000000002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13787.119999999999</v>
      </c>
      <c r="K77" s="40"/>
      <c r="L77" s="22">
        <f>-(L131*G$37*F$9/F$7)/B$130</f>
        <v>-0.6805093780848962</v>
      </c>
      <c r="M77" s="24">
        <f>-J77/B$76</f>
        <v>-0.68050937808489631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619.65820758167456</v>
      </c>
      <c r="AB77" s="112"/>
      <c r="AC77" s="111">
        <f>AC31*$I$83/4</f>
        <v>1704.49072907509</v>
      </c>
      <c r="AD77" s="112"/>
      <c r="AE77" s="111">
        <f>AE31*$I$83/4</f>
        <v>1704.49072907509</v>
      </c>
      <c r="AF77" s="112"/>
      <c r="AG77" s="111">
        <f>AG31*$I$83/4</f>
        <v>1040.2325790503742</v>
      </c>
      <c r="AH77" s="110"/>
      <c r="AI77" s="154">
        <f>SUM(AA77,AC77,AE77,AG77)</f>
        <v>5068.8722447822292</v>
      </c>
      <c r="AJ77" s="153">
        <f>SUM(AA77,AC77)</f>
        <v>2324.1489366567648</v>
      </c>
      <c r="AK77" s="160">
        <f>SUM(AE77,AG77)</f>
        <v>2744.7233081254644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831.40315489941531</v>
      </c>
      <c r="AB79" s="112"/>
      <c r="AC79" s="112">
        <f>AA79-AA74+AC65-AC70</f>
        <v>831.40315489941531</v>
      </c>
      <c r="AD79" s="112"/>
      <c r="AE79" s="112">
        <f>AC79-AC74+AE65-AE70</f>
        <v>831.40315489941531</v>
      </c>
      <c r="AF79" s="112"/>
      <c r="AG79" s="112">
        <f>AE79-AE74+AG65-AG70</f>
        <v>831.40315489941531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0.67272727272727284</v>
      </c>
      <c r="I98" s="22">
        <f t="shared" si="88"/>
        <v>2.8727949871456462E-3</v>
      </c>
      <c r="J98" s="24">
        <f t="shared" si="89"/>
        <v>2.8727949871456462E-3</v>
      </c>
      <c r="K98" s="22">
        <f t="shared" si="90"/>
        <v>4.2703709268381218E-3</v>
      </c>
      <c r="L98" s="22">
        <f t="shared" si="91"/>
        <v>2.8727949871456462E-3</v>
      </c>
      <c r="M98" s="226">
        <f t="shared" si="92"/>
        <v>2.8727949871456462E-3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0.57212121212121214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0.7151515151515152</v>
      </c>
      <c r="I102" s="22">
        <f t="shared" si="88"/>
        <v>1.5437779116058616</v>
      </c>
      <c r="J102" s="24">
        <f t="shared" si="89"/>
        <v>1.5437779116058616</v>
      </c>
      <c r="K102" s="22">
        <f t="shared" si="90"/>
        <v>2.1586725035166707</v>
      </c>
      <c r="L102" s="22">
        <f t="shared" si="91"/>
        <v>1.5437779116058616</v>
      </c>
      <c r="M102" s="226">
        <f t="shared" si="9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1.5466507065930073</v>
      </c>
      <c r="J119" s="24">
        <f>SUM(J91:J118)</f>
        <v>1.5466507065930073</v>
      </c>
      <c r="K119" s="22">
        <f>SUM(K91:K118)</f>
        <v>2.1629428744435089</v>
      </c>
      <c r="L119" s="22">
        <f>SUM(L91:L118)</f>
        <v>1.5466507065930073</v>
      </c>
      <c r="M119" s="57">
        <f t="shared" si="80"/>
        <v>1.5466507065930073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>(B124)</f>
        <v>1.5692383426871903</v>
      </c>
      <c r="L124" s="29">
        <f>IF(SUMPRODUCT($B$124:$B124,$H$124:$H124)&lt;L$119,($B124*$H124),L$119)</f>
        <v>1.3314749574315554</v>
      </c>
      <c r="M124" s="239">
        <f t="shared" si="93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0.21517574916145188</v>
      </c>
      <c r="J125" s="236">
        <f>IF(SUMPRODUCT($B$124:$B125,$H$124:$H125)&lt;J$119,($B125*$H125),IF(SUMPRODUCT($B$124:$B124,$H$124:$H124)&lt;J$119,J$119-SUMPRODUCT($B$124:$B124,$H$124:$H124),0))</f>
        <v>0.21517574916145188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0.21517574916145188</v>
      </c>
      <c r="M125" s="239">
        <f t="shared" si="93"/>
        <v>0.21517574916145188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0.21517574916145188</v>
      </c>
      <c r="J128" s="227">
        <f>(J30)</f>
        <v>0.21517574916145188</v>
      </c>
      <c r="K128" s="29">
        <f>(B128)</f>
        <v>0.79108621419676206</v>
      </c>
      <c r="L128" s="29">
        <f>IF(L124=L119,0,(L119-L124)/(B119-B124)*K128)</f>
        <v>0.28671259807892391</v>
      </c>
      <c r="M128" s="239">
        <f t="shared" si="93"/>
        <v>0.21517574916145188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1.5466507065930073</v>
      </c>
      <c r="J130" s="227">
        <f>(J119)</f>
        <v>1.5466507065930073</v>
      </c>
      <c r="K130" s="29">
        <f>(B130)</f>
        <v>2.1629428744435089</v>
      </c>
      <c r="L130" s="29">
        <f>(L119)</f>
        <v>1.5466507065930073</v>
      </c>
      <c r="M130" s="239">
        <f t="shared" si="93"/>
        <v>1.5466507065930073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0.89206236989133947</v>
      </c>
      <c r="K131" s="29"/>
      <c r="L131" s="29">
        <f>IF(I131&lt;SUM(L126:L127),0,I131-(SUM(L126:L127)))</f>
        <v>0.89206236989133947</v>
      </c>
      <c r="M131" s="236">
        <f>IF(I131&lt;SUM(M126:M127),0,I131-(SUM(M126:M127)))</f>
        <v>0.89206236989133947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2.7020197696139482E-2</v>
      </c>
      <c r="J6" s="24">
        <f t="shared" ref="J6:J13" si="3">IF(I$32&lt;=1+I$131,I6,B6*H6+J$33*(I6-B6*H6))</f>
        <v>2.7020197696139482E-2</v>
      </c>
      <c r="K6" s="22">
        <f t="shared" ref="K6:K31" si="4">B6</f>
        <v>5.4040395392278964E-2</v>
      </c>
      <c r="L6" s="22">
        <f t="shared" ref="L6:L29" si="5">IF(K6="","",K6*H6)</f>
        <v>2.7020197696139482E-2</v>
      </c>
      <c r="M6" s="223">
        <f t="shared" ref="M6:M31" si="6">J6</f>
        <v>2.7020197696139482E-2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0.10808079078455793</v>
      </c>
      <c r="Z6" s="156">
        <f>Poor!Z6</f>
        <v>0.17</v>
      </c>
      <c r="AA6" s="121">
        <f>$M6*Z6*4</f>
        <v>1.8373734433374849E-2</v>
      </c>
      <c r="AB6" s="156">
        <f>Poor!AB6</f>
        <v>0.17</v>
      </c>
      <c r="AC6" s="121">
        <f t="shared" ref="AC6:AC29" si="7">$M6*AB6*4</f>
        <v>1.8373734433374849E-2</v>
      </c>
      <c r="AD6" s="156">
        <f>Poor!AD6</f>
        <v>0.33</v>
      </c>
      <c r="AE6" s="121">
        <f t="shared" ref="AE6:AE29" si="8">$M6*AD6*4</f>
        <v>3.5666660958904119E-2</v>
      </c>
      <c r="AF6" s="122">
        <f>1-SUM(Z6,AB6,AD6)</f>
        <v>0.32999999999999996</v>
      </c>
      <c r="AG6" s="121">
        <f>$M6*AF6*4</f>
        <v>3.5666660958904112E-2</v>
      </c>
      <c r="AH6" s="123">
        <f>SUM(Z6,AB6,AD6,AF6)</f>
        <v>1</v>
      </c>
      <c r="AI6" s="183">
        <f>SUM(AA6,AC6,AE6,AG6)/4</f>
        <v>2.7020197696139482E-2</v>
      </c>
      <c r="AJ6" s="120">
        <f>(AA6+AC6)/2</f>
        <v>1.8373734433374849E-2</v>
      </c>
      <c r="AK6" s="119">
        <f>(AE6+AG6)/2</f>
        <v>3.5666660958904112E-2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0.15472520136986301</v>
      </c>
      <c r="J7" s="24">
        <f t="shared" si="3"/>
        <v>6.7234056507266549E-2</v>
      </c>
      <c r="K7" s="22">
        <f t="shared" si="4"/>
        <v>6.3088767123287662E-2</v>
      </c>
      <c r="L7" s="22">
        <f t="shared" si="5"/>
        <v>6.8766756164383561E-2</v>
      </c>
      <c r="M7" s="223">
        <f t="shared" si="6"/>
        <v>6.7234056507266549E-2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3126.2176880527131</v>
      </c>
      <c r="T7" s="221">
        <f>IF($B$81=0,0,(SUMIF($N$6:$N$28,$U7,M$6:M$28)+SUMIF($N$91:$N$118,$U7,M$91:M$118))*$I$83*Poor!$B$81/$B$81)</f>
        <v>3111.2133242800937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0.26893622602906619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0.26893622602906619</v>
      </c>
      <c r="AH7" s="123">
        <f t="shared" ref="AH7:AH30" si="12">SUM(Z7,AB7,AD7,AF7)</f>
        <v>1</v>
      </c>
      <c r="AI7" s="183">
        <f t="shared" ref="AI7:AI30" si="13">SUM(AA7,AC7,AE7,AG7)/4</f>
        <v>6.7234056507266549E-2</v>
      </c>
      <c r="AJ7" s="120">
        <f t="shared" ref="AJ7:AJ31" si="14">(AA7+AC7)/2</f>
        <v>0</v>
      </c>
      <c r="AK7" s="119">
        <f t="shared" ref="AK7:AK31" si="15">(AE7+AG7)/2</f>
        <v>0.1344681130145331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7.0555590798184992E-2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7.0555590798184992E-2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855.23200000000008</v>
      </c>
      <c r="T8" s="221">
        <f>IF($B$81=0,0,(SUMIF($N$6:$N$28,$U8,M$6:M$28)+SUMIF($N$91:$N$118,$U8,M$91:M$118))*$I$83*Poor!$B$81/$B$81)</f>
        <v>848.0147013002744</v>
      </c>
      <c r="U8" s="222">
        <v>2</v>
      </c>
      <c r="V8" s="56"/>
      <c r="W8" s="115"/>
      <c r="X8" s="118">
        <f>Poor!X8</f>
        <v>1</v>
      </c>
      <c r="Y8" s="183">
        <f t="shared" si="9"/>
        <v>0.28222236319273997</v>
      </c>
      <c r="Z8" s="125">
        <f>IF($Y8=0,0,AA8/$Y8)</f>
        <v>0.72175608029784366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0.20369570663038641</v>
      </c>
      <c r="AB8" s="125">
        <f>IF($Y8=0,0,AC8/$Y8)</f>
        <v>0.27824391970215639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7.8526656562353553E-2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7.0555590798184992E-2</v>
      </c>
      <c r="AJ8" s="120">
        <f t="shared" si="14"/>
        <v>0.14111118159636998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6.35139121975348E-2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6.35139121975348E-2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417.60612333168569</v>
      </c>
      <c r="T9" s="221">
        <f>IF($B$81=0,0,(SUMIF($N$6:$N$28,$U9,M$6:M$28)+SUMIF($N$91:$N$118,$U9,M$91:M$118))*$I$83*Poor!$B$81/$B$81)</f>
        <v>417.60612333168569</v>
      </c>
      <c r="U9" s="222">
        <v>3</v>
      </c>
      <c r="V9" s="56"/>
      <c r="W9" s="115"/>
      <c r="X9" s="118">
        <f>Poor!X9</f>
        <v>1</v>
      </c>
      <c r="Y9" s="183">
        <f t="shared" si="9"/>
        <v>0.2540556487901392</v>
      </c>
      <c r="Z9" s="125">
        <f>IF($Y9=0,0,AA9/$Y9)</f>
        <v>0.72175608029784377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0.1833662092482965</v>
      </c>
      <c r="AB9" s="125">
        <f>IF($Y9=0,0,AC9/$Y9)</f>
        <v>0.27824391970215623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7.0689439541842702E-2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6.35139121975348E-2</v>
      </c>
      <c r="AJ9" s="120">
        <f t="shared" si="14"/>
        <v>0.1270278243950696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0.72175608029784366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9.1069402539455141E-2</v>
      </c>
      <c r="AB10" s="125">
        <f>IF($Y10=0,0,AC10/$Y10)</f>
        <v>0.27824391970215634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3.5108131707120183E-2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7375.0000000000009</v>
      </c>
      <c r="T11" s="221">
        <f>IF($B$81=0,0,(SUMIF($N$6:$N$28,$U11,M$6:M$28)+SUMIF($N$91:$N$118,$U11,M$91:M$118))*$I$83*Poor!$B$81/$B$81)</f>
        <v>7349.7517220758273</v>
      </c>
      <c r="U11" s="222">
        <v>5</v>
      </c>
      <c r="V11" s="56"/>
      <c r="W11" s="115"/>
      <c r="X11" s="118">
        <f>Poor!X11</f>
        <v>1</v>
      </c>
      <c r="Y11" s="183">
        <f t="shared" si="9"/>
        <v>8.5169835616438358E-2</v>
      </c>
      <c r="Z11" s="125">
        <f>IF($Y11=0,0,AA11/$Y11)</f>
        <v>0.72175608029784377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6.1471846714132236E-2</v>
      </c>
      <c r="AB11" s="125">
        <f>IF($Y11=0,0,AC11/$Y11)</f>
        <v>0.27824391970215623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2.3697988902306122E-2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2.1292458904109589E-2</v>
      </c>
      <c r="AJ11" s="120">
        <f t="shared" si="14"/>
        <v>4.2584917808219179E-2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487.5289174493326</v>
      </c>
      <c r="T12" s="221">
        <f>IF($B$81=0,0,(SUMIF($N$6:$N$28,$U12,M$6:M$28)+SUMIF($N$91:$N$118,$U12,M$91:M$118))*$I$83*Poor!$B$81/$B$81)</f>
        <v>487.5289174493326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329.08201927829958</v>
      </c>
      <c r="T13" s="221">
        <f>IF($B$81=0,0,(SUMIF($N$6:$N$28,$U13,M$6:M$28)+SUMIF($N$91:$N$118,$U13,M$91:M$118))*$I$83*Poor!$B$81/$B$81)</f>
        <v>329.08201927829958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46786.187212107987</v>
      </c>
      <c r="T23" s="179">
        <f>SUM(T7:T22)</f>
        <v>46738.717271711474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1.8439467219591343E-2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1.8439467219591343E-2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7.3757868878365371E-2</v>
      </c>
      <c r="Z27" s="156">
        <f>Poor!Z27</f>
        <v>0.25</v>
      </c>
      <c r="AA27" s="121">
        <f t="shared" si="16"/>
        <v>1.8439467219591343E-2</v>
      </c>
      <c r="AB27" s="156">
        <f>Poor!AB27</f>
        <v>0.25</v>
      </c>
      <c r="AC27" s="121">
        <f t="shared" si="7"/>
        <v>1.8439467219591343E-2</v>
      </c>
      <c r="AD27" s="156">
        <f>Poor!AD27</f>
        <v>0.25</v>
      </c>
      <c r="AE27" s="121">
        <f t="shared" si="8"/>
        <v>1.8439467219591343E-2</v>
      </c>
      <c r="AF27" s="122">
        <f t="shared" si="10"/>
        <v>0.25</v>
      </c>
      <c r="AG27" s="121">
        <f t="shared" si="11"/>
        <v>1.8439467219591343E-2</v>
      </c>
      <c r="AH27" s="123">
        <f t="shared" si="12"/>
        <v>1</v>
      </c>
      <c r="AI27" s="183">
        <f t="shared" si="13"/>
        <v>1.8439467219591343E-2</v>
      </c>
      <c r="AJ27" s="120">
        <f t="shared" si="14"/>
        <v>1.8439467219591343E-2</v>
      </c>
      <c r="AK27" s="119">
        <f t="shared" si="15"/>
        <v>1.8439467219591343E-2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0.30453601416714454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0.30453601416714454</v>
      </c>
      <c r="N29" s="228"/>
      <c r="P29" s="22"/>
      <c r="V29" s="56"/>
      <c r="W29" s="110"/>
      <c r="X29" s="118"/>
      <c r="Y29" s="183">
        <f t="shared" si="9"/>
        <v>1.2181440566685782</v>
      </c>
      <c r="Z29" s="156">
        <f>Poor!Z29</f>
        <v>0.25</v>
      </c>
      <c r="AA29" s="121">
        <f t="shared" si="16"/>
        <v>0.30453601416714454</v>
      </c>
      <c r="AB29" s="156">
        <f>Poor!AB29</f>
        <v>0.25</v>
      </c>
      <c r="AC29" s="121">
        <f t="shared" si="7"/>
        <v>0.30453601416714454</v>
      </c>
      <c r="AD29" s="156">
        <f>Poor!AD29</f>
        <v>0.25</v>
      </c>
      <c r="AE29" s="121">
        <f t="shared" si="8"/>
        <v>0.30453601416714454</v>
      </c>
      <c r="AF29" s="122">
        <f t="shared" si="10"/>
        <v>0.25</v>
      </c>
      <c r="AG29" s="121">
        <f t="shared" si="11"/>
        <v>0.30453601416714454</v>
      </c>
      <c r="AH29" s="123">
        <f t="shared" si="12"/>
        <v>1</v>
      </c>
      <c r="AI29" s="183">
        <f t="shared" si="13"/>
        <v>0.30453601416714454</v>
      </c>
      <c r="AJ29" s="120">
        <f t="shared" si="14"/>
        <v>0.30453601416714454</v>
      </c>
      <c r="AK29" s="119">
        <f t="shared" si="15"/>
        <v>0.30453601416714454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1.412341887205619</v>
      </c>
      <c r="J30" s="230">
        <f>IF(I$32&lt;=1,I30,1-SUM(J6:J29))</f>
        <v>0.27681629990076595</v>
      </c>
      <c r="K30" s="22">
        <f t="shared" si="4"/>
        <v>0.62129400747198005</v>
      </c>
      <c r="L30" s="22">
        <f>IF(L124=L119,0,IF(K30="",0,(L119-L124)/(B119-B124)*K30))</f>
        <v>0.35971852332406362</v>
      </c>
      <c r="M30" s="175">
        <f t="shared" si="6"/>
        <v>0.27681629990076595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1.1072651996030638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0.2994593784194734</v>
      </c>
      <c r="AC30" s="187">
        <f>IF(AC79*4/$I$84+SUM(AC6:AC29)&lt;1,AC79*4/$I$84,1-SUM(AC6:AC29))</f>
        <v>0.3315809484186476</v>
      </c>
      <c r="AD30" s="122">
        <f>IF($Y30=0,0,AE30/($Y$30))</f>
        <v>0.47171196095929008</v>
      </c>
      <c r="AE30" s="187">
        <f>IF(AE79*4/$I$84+SUM(AE6:AE29)&lt;1,AE79*4/$I$84,1-SUM(AE6:AE29))</f>
        <v>0.52231023860674097</v>
      </c>
      <c r="AF30" s="122">
        <f>IF($Y30=0,0,AG30/($Y$30))</f>
        <v>0.22882866062123605</v>
      </c>
      <c r="AG30" s="187">
        <f>IF(AG79*4/$I$84+SUM(AG6:AG29)&lt;1,AG79*4/$I$84,1-SUM(AG6:AG29))</f>
        <v>0.25337401257767467</v>
      </c>
      <c r="AH30" s="123">
        <f t="shared" si="12"/>
        <v>0.99999999999999956</v>
      </c>
      <c r="AI30" s="183">
        <f t="shared" si="13"/>
        <v>0.27681629990076584</v>
      </c>
      <c r="AJ30" s="120">
        <f t="shared" si="14"/>
        <v>0.1657904742093238</v>
      </c>
      <c r="AK30" s="119">
        <f t="shared" si="15"/>
        <v>0.38784212559220782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-8.2150313666825792E-2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2.0926042979826986</v>
      </c>
      <c r="J32" s="17"/>
      <c r="L32" s="22">
        <f>SUM(L6:L30)</f>
        <v>1.0821503136668258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24116.256168188331</v>
      </c>
      <c r="T32" s="233">
        <f t="shared" si="24"/>
        <v>24163.726108584844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-1.7830704748709396E-2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2832</v>
      </c>
      <c r="K37" s="40">
        <f>(B37/B$65)</f>
        <v>8.4170360810280009E-2</v>
      </c>
      <c r="L37" s="22">
        <f t="shared" ref="L37" si="28">(K37*H37)</f>
        <v>7.9456820604904319E-2</v>
      </c>
      <c r="M37" s="24">
        <f>J37/B$65</f>
        <v>7.9456820604904332E-2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0.18789195446548473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532.11001504625278</v>
      </c>
      <c r="AF37" s="122">
        <f t="shared" ref="AF37:AF64" si="29">1-SUM(Z37,AB37,AD37)</f>
        <v>0.81210804553451532</v>
      </c>
      <c r="AG37" s="147">
        <f>$J37*AF37</f>
        <v>2299.8899849537474</v>
      </c>
      <c r="AH37" s="123">
        <f>SUM(Z37,AB37,AD37,AF37)</f>
        <v>1</v>
      </c>
      <c r="AI37" s="112">
        <f>SUM(AA37,AC37,AE37,AG37)</f>
        <v>2832</v>
      </c>
      <c r="AJ37" s="148">
        <f>(AA37+AC37)</f>
        <v>0</v>
      </c>
      <c r="AK37" s="147">
        <f>(AE37+AG37)</f>
        <v>2832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5192</v>
      </c>
      <c r="J38" s="38">
        <f t="shared" ref="J38:J64" si="32">J92*I$83</f>
        <v>3750.7517220758277</v>
      </c>
      <c r="K38" s="40">
        <f t="shared" ref="K38:K64" si="33">(B38/B$65)</f>
        <v>0.11222714774704001</v>
      </c>
      <c r="L38" s="22">
        <f t="shared" ref="L38:L64" si="34">(K38*H38)</f>
        <v>0.10594242747320577</v>
      </c>
      <c r="M38" s="24">
        <f t="shared" ref="M38:M64" si="35">J38/B$65</f>
        <v>0.10523404191896717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0.18789195446548476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704.73607177560996</v>
      </c>
      <c r="AF38" s="122">
        <f t="shared" si="29"/>
        <v>0.81210804553451521</v>
      </c>
      <c r="AG38" s="147">
        <f t="shared" ref="AG38:AG64" si="36">$J38*AF38</f>
        <v>3046.0156503002177</v>
      </c>
      <c r="AH38" s="123">
        <f t="shared" ref="AH38:AI58" si="37">SUM(Z38,AB38,AD38,AF38)</f>
        <v>1</v>
      </c>
      <c r="AI38" s="112">
        <f t="shared" si="37"/>
        <v>3750.7517220758277</v>
      </c>
      <c r="AJ38" s="148">
        <f t="shared" ref="AJ38:AJ64" si="38">(AA38+AC38)</f>
        <v>0</v>
      </c>
      <c r="AK38" s="147">
        <f t="shared" ref="AK38:AK64" si="39">(AE38+AG38)</f>
        <v>3750.7517220758277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0.72175608029784366</v>
      </c>
      <c r="AA39" s="147">
        <f t="shared" ref="AA39:AA64" si="40">$J39*Z39</f>
        <v>0</v>
      </c>
      <c r="AB39" s="122">
        <f>AB8</f>
        <v>0.27824391970215639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0.72175608029784377</v>
      </c>
      <c r="AA40" s="147">
        <f t="shared" si="40"/>
        <v>553.58691358844612</v>
      </c>
      <c r="AB40" s="122">
        <f>AB9</f>
        <v>0.27824391970215623</v>
      </c>
      <c r="AC40" s="147">
        <f t="shared" si="41"/>
        <v>213.41308641155382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670.98657115290121</v>
      </c>
      <c r="K41" s="40">
        <f t="shared" si="33"/>
        <v>1.212053195668032E-2</v>
      </c>
      <c r="L41" s="22">
        <f t="shared" si="34"/>
        <v>1.8495931765894168E-2</v>
      </c>
      <c r="M41" s="24">
        <f t="shared" si="35"/>
        <v>1.8825727264264104E-2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0.72175608029784377</v>
      </c>
      <c r="AA41" s="147">
        <f t="shared" si="40"/>
        <v>484.28863752780825</v>
      </c>
      <c r="AB41" s="122">
        <f>AB11</f>
        <v>0.27824391970215623</v>
      </c>
      <c r="AC41" s="147">
        <f t="shared" si="41"/>
        <v>186.69793362509299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670.98657115290121</v>
      </c>
      <c r="AJ41" s="148">
        <f t="shared" si="38"/>
        <v>670.98657115290121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1260</v>
      </c>
      <c r="J42" s="38">
        <f t="shared" si="32"/>
        <v>105.77998081496355</v>
      </c>
      <c r="K42" s="40">
        <f t="shared" si="33"/>
        <v>2.5251108243084003E-3</v>
      </c>
      <c r="L42" s="22">
        <f t="shared" si="34"/>
        <v>3.5351551540317603E-3</v>
      </c>
      <c r="M42" s="24">
        <f t="shared" si="35"/>
        <v>2.9678463838999931E-3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26.444995203740888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52.889990407481775</v>
      </c>
      <c r="AF42" s="122">
        <f t="shared" si="29"/>
        <v>0.25</v>
      </c>
      <c r="AG42" s="147">
        <f t="shared" si="36"/>
        <v>26.444995203740888</v>
      </c>
      <c r="AH42" s="123">
        <f t="shared" si="37"/>
        <v>1</v>
      </c>
      <c r="AI42" s="112">
        <f t="shared" si="37"/>
        <v>105.77998081496355</v>
      </c>
      <c r="AJ42" s="148">
        <f t="shared" si="38"/>
        <v>26.444995203740888</v>
      </c>
      <c r="AK42" s="147">
        <f t="shared" si="39"/>
        <v>79.334985611222663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71.248149332409653</v>
      </c>
      <c r="K43" s="40">
        <f t="shared" si="33"/>
        <v>1.4028393468380001E-3</v>
      </c>
      <c r="L43" s="22">
        <f t="shared" si="34"/>
        <v>1.9639750855732002E-3</v>
      </c>
      <c r="M43" s="24">
        <f t="shared" si="35"/>
        <v>1.9989941454578771E-3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17.812037333102413</v>
      </c>
      <c r="AB43" s="156">
        <f>Poor!AB43</f>
        <v>0.25</v>
      </c>
      <c r="AC43" s="147">
        <f t="shared" si="41"/>
        <v>17.812037333102413</v>
      </c>
      <c r="AD43" s="156">
        <f>Poor!AD43</f>
        <v>0.25</v>
      </c>
      <c r="AE43" s="147">
        <f t="shared" si="42"/>
        <v>17.812037333102413</v>
      </c>
      <c r="AF43" s="122">
        <f t="shared" si="29"/>
        <v>0.25</v>
      </c>
      <c r="AG43" s="147">
        <f t="shared" si="36"/>
        <v>17.812037333102413</v>
      </c>
      <c r="AH43" s="123">
        <f t="shared" si="37"/>
        <v>1</v>
      </c>
      <c r="AI43" s="112">
        <f t="shared" si="37"/>
        <v>71.248149332409653</v>
      </c>
      <c r="AJ43" s="148">
        <f t="shared" si="38"/>
        <v>35.624074666204827</v>
      </c>
      <c r="AK43" s="147">
        <f t="shared" si="39"/>
        <v>35.624074666204827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23859.599999999999</v>
      </c>
      <c r="J48" s="38">
        <f t="shared" si="32"/>
        <v>23859.600000000002</v>
      </c>
      <c r="K48" s="40">
        <f t="shared" si="33"/>
        <v>0.5673082318612872</v>
      </c>
      <c r="L48" s="22">
        <f t="shared" si="34"/>
        <v>0.66942371359631891</v>
      </c>
      <c r="M48" s="24">
        <f t="shared" si="35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5964.9000000000005</v>
      </c>
      <c r="AB48" s="156">
        <f>Poor!AB48</f>
        <v>0.25</v>
      </c>
      <c r="AC48" s="147">
        <f t="shared" si="41"/>
        <v>5964.9000000000005</v>
      </c>
      <c r="AD48" s="156">
        <f>Poor!AD48</f>
        <v>0.25</v>
      </c>
      <c r="AE48" s="147">
        <f t="shared" si="42"/>
        <v>5964.9000000000005</v>
      </c>
      <c r="AF48" s="122">
        <f t="shared" si="29"/>
        <v>0.25</v>
      </c>
      <c r="AG48" s="147">
        <f t="shared" si="36"/>
        <v>5964.9000000000005</v>
      </c>
      <c r="AH48" s="123">
        <f t="shared" si="37"/>
        <v>1</v>
      </c>
      <c r="AI48" s="112">
        <f t="shared" si="37"/>
        <v>23859.600000000002</v>
      </c>
      <c r="AJ48" s="148">
        <f t="shared" si="38"/>
        <v>11929.800000000001</v>
      </c>
      <c r="AK48" s="147">
        <f t="shared" si="39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42406.6</v>
      </c>
      <c r="J65" s="39">
        <f>SUM(J37:J64)</f>
        <v>40553.366423376108</v>
      </c>
      <c r="K65" s="40">
        <f>SUM(K37:K64)</f>
        <v>1</v>
      </c>
      <c r="L65" s="22">
        <f>SUM(L37:L64)</f>
        <v>1.138708041075136</v>
      </c>
      <c r="M65" s="24">
        <f>SUM(M37:M64)</f>
        <v>1.1377971613090203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9171.0325836530974</v>
      </c>
      <c r="AB65" s="137"/>
      <c r="AC65" s="153">
        <f>SUM(AC37:AC64)</f>
        <v>8506.823057369751</v>
      </c>
      <c r="AD65" s="137"/>
      <c r="AE65" s="153">
        <f>SUM(AE37:AE64)</f>
        <v>9396.4481145624468</v>
      </c>
      <c r="AF65" s="137"/>
      <c r="AG65" s="153">
        <f>SUM(AG37:AG64)</f>
        <v>13479.062667790808</v>
      </c>
      <c r="AH65" s="137"/>
      <c r="AI65" s="153">
        <f>SUM(AI37:AI64)</f>
        <v>40553.366423376108</v>
      </c>
      <c r="AJ65" s="153">
        <f>SUM(AJ37:AJ64)</f>
        <v>17677.855641022848</v>
      </c>
      <c r="AK65" s="153">
        <f>SUM(AK37:AK64)</f>
        <v>22875.510782353256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4">J124*I$83</f>
        <v>20578.387380402342</v>
      </c>
      <c r="K70" s="40">
        <f>B70/B$76</f>
        <v>0.41240245016718524</v>
      </c>
      <c r="L70" s="22">
        <f t="shared" ref="L70:L75" si="45">(L124*G$37*F$9/F$7)/B$130</f>
        <v>0.57736343023405934</v>
      </c>
      <c r="M70" s="24">
        <f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</v>
      </c>
      <c r="J71" s="51">
        <f t="shared" si="44"/>
        <v>13787.12</v>
      </c>
      <c r="K71" s="40">
        <f t="shared" ref="K71:K72" si="47">B71/B$76</f>
        <v>0.32781549856910386</v>
      </c>
      <c r="L71" s="22">
        <f t="shared" si="45"/>
        <v>0.38682228831154253</v>
      </c>
      <c r="M71" s="24">
        <f t="shared" ref="M71:M72" si="48">J71/B$76</f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1909.571253351239</v>
      </c>
      <c r="K72" s="40">
        <f t="shared" si="47"/>
        <v>0.58380562258010216</v>
      </c>
      <c r="L72" s="22">
        <f t="shared" si="45"/>
        <v>1.8538674931875124E-2</v>
      </c>
      <c r="M72" s="24">
        <f t="shared" si="48"/>
        <v>5.3576433795837465E-2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21828.21261959766</v>
      </c>
      <c r="J74" s="51">
        <f t="shared" si="44"/>
        <v>4278.2877896225227</v>
      </c>
      <c r="K74" s="40">
        <f>B74/B$76</f>
        <v>0.1632786836682012</v>
      </c>
      <c r="L74" s="22">
        <f t="shared" si="45"/>
        <v>0.15598364759765904</v>
      </c>
      <c r="M74" s="24">
        <f>J74/B$76</f>
        <v>0.12003500896758101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2699.2250433840136</v>
      </c>
      <c r="AD74" s="156"/>
      <c r="AE74" s="147">
        <f>AE30*$I$84/4</f>
        <v>4251.8512694618612</v>
      </c>
      <c r="AF74" s="156"/>
      <c r="AG74" s="147">
        <f>AG30*$I$84/4</f>
        <v>2062.583762287994</v>
      </c>
      <c r="AH74" s="155"/>
      <c r="AI74" s="147">
        <f>SUM(AA74,AC74,AE74,AG74)</f>
        <v>9013.6600751338683</v>
      </c>
      <c r="AJ74" s="148">
        <f>(AA74+AC74)</f>
        <v>2699.2250433840136</v>
      </c>
      <c r="AK74" s="147">
        <f>(AE74+AG74)</f>
        <v>6314.4350317498556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11381.906696591222</v>
      </c>
      <c r="AB75" s="158"/>
      <c r="AC75" s="149">
        <f>AA75+AC65-SUM(AC70,AC74)</f>
        <v>12044.907865476373</v>
      </c>
      <c r="AD75" s="158"/>
      <c r="AE75" s="149">
        <f>AC75+AE65-SUM(AE70,AE74)</f>
        <v>12044.907865476371</v>
      </c>
      <c r="AF75" s="158"/>
      <c r="AG75" s="149">
        <f>IF(SUM(AG6:AG29)+((AG65-AG70-$J$75)*4/I$83)&lt;1,0,AG65-AG70-$J$75-(1-SUM(AG6:AG29))*I$83/4)</f>
        <v>7355.4709580387107</v>
      </c>
      <c r="AH75" s="134"/>
      <c r="AI75" s="149">
        <f>AI76-SUM(AI70,AI74)</f>
        <v>10961.318967839892</v>
      </c>
      <c r="AJ75" s="151">
        <f>AJ76-SUM(AJ70,AJ74)</f>
        <v>4689.4369074376627</v>
      </c>
      <c r="AK75" s="149">
        <f>AJ75+AK76-SUM(AK70,AK74)</f>
        <v>10961.318967839889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42406.600000000006</v>
      </c>
      <c r="J76" s="51">
        <f t="shared" si="44"/>
        <v>40553.366423376101</v>
      </c>
      <c r="K76" s="40">
        <f>SUM(K70:K75)</f>
        <v>1.5108699560114709</v>
      </c>
      <c r="L76" s="22">
        <f>SUM(L70:L75)</f>
        <v>1.138708041075136</v>
      </c>
      <c r="M76" s="24">
        <f>SUM(M70:M75)</f>
        <v>1.1377971613090205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9171.0325836530974</v>
      </c>
      <c r="AB76" s="137"/>
      <c r="AC76" s="153">
        <f>AC65</f>
        <v>8506.823057369751</v>
      </c>
      <c r="AD76" s="137"/>
      <c r="AE76" s="153">
        <f>AE65</f>
        <v>9396.4481145624468</v>
      </c>
      <c r="AF76" s="137"/>
      <c r="AG76" s="153">
        <f>AG65</f>
        <v>13479.062667790808</v>
      </c>
      <c r="AH76" s="137"/>
      <c r="AI76" s="153">
        <f>SUM(AA76,AC76,AE76,AG76)</f>
        <v>40553.366423376101</v>
      </c>
      <c r="AJ76" s="154">
        <f>SUM(AA76,AC76)</f>
        <v>17677.855641022848</v>
      </c>
      <c r="AK76" s="154">
        <f>SUM(AE76,AG76)</f>
        <v>22875.510782353253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0</v>
      </c>
      <c r="K77" s="40"/>
      <c r="L77" s="22">
        <f>-(L131*G$37*F$9/F$7)/B$130</f>
        <v>-0.36828361337966742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7355.4709580387107</v>
      </c>
      <c r="AB78" s="112"/>
      <c r="AC78" s="112">
        <f>IF(AA75&lt;0,0,AA75)</f>
        <v>11381.906696591222</v>
      </c>
      <c r="AD78" s="112"/>
      <c r="AE78" s="112">
        <f>AC75</f>
        <v>12044.907865476373</v>
      </c>
      <c r="AF78" s="112"/>
      <c r="AG78" s="112">
        <f>AE75</f>
        <v>12044.907865476371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11381.906696591222</v>
      </c>
      <c r="AB79" s="112"/>
      <c r="AC79" s="112">
        <f>AA79-AA74+AC65-AC70</f>
        <v>14744.132908860385</v>
      </c>
      <c r="AD79" s="112"/>
      <c r="AE79" s="112">
        <f>AC79-AC74+AE65-AE70</f>
        <v>16296.759134938231</v>
      </c>
      <c r="AF79" s="112"/>
      <c r="AG79" s="112">
        <f>AE79-AE74+AG65-AG70</f>
        <v>20379.37368816659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0.57212121212121214</v>
      </c>
      <c r="I91" s="22">
        <f t="shared" ref="I91" si="52">(D91*H91)</f>
        <v>0.18323773431523577</v>
      </c>
      <c r="J91" s="24">
        <f>IF(I$32&lt;=1+I$131,I91,L91+J$33*(I91-L91))</f>
        <v>0.18323773431523577</v>
      </c>
      <c r="K91" s="22">
        <f t="shared" ref="K91" si="53">(B91)</f>
        <v>0.32027781951285911</v>
      </c>
      <c r="L91" s="22">
        <f t="shared" ref="L91" si="54">(K91*H91)</f>
        <v>0.18323773431523577</v>
      </c>
      <c r="M91" s="226">
        <f t="shared" si="49"/>
        <v>0.18323773431523577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0.57212121212121214</v>
      </c>
      <c r="I92" s="22">
        <f t="shared" ref="I92:I118" si="58">(D92*H92)</f>
        <v>0.33593584624459888</v>
      </c>
      <c r="J92" s="24">
        <f t="shared" ref="J92:J118" si="59">IF(I$32&lt;=1+I$131,I92,L92+J$33*(I92-L92))</f>
        <v>0.24268335011728234</v>
      </c>
      <c r="K92" s="22">
        <f t="shared" ref="K92:K118" si="60">(B92)</f>
        <v>0.42703709268381218</v>
      </c>
      <c r="L92" s="22">
        <f t="shared" ref="L92:L118" si="61">(K92*H92)</f>
        <v>0.24431697908698105</v>
      </c>
      <c r="M92" s="226">
        <f t="shared" ref="M92:M118" si="62">(J92)</f>
        <v>0.24268335011728234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4.3414568875002245E-2</v>
      </c>
      <c r="K95" s="22">
        <f t="shared" si="60"/>
        <v>4.6120006009851715E-2</v>
      </c>
      <c r="L95" s="22">
        <f t="shared" si="61"/>
        <v>4.2654017679414374E-2</v>
      </c>
      <c r="M95" s="226">
        <f t="shared" si="62"/>
        <v>4.3414568875002245E-2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0.84848484848484851</v>
      </c>
      <c r="I96" s="22">
        <f t="shared" si="58"/>
        <v>8.1525263148727795E-2</v>
      </c>
      <c r="J96" s="24">
        <f t="shared" si="59"/>
        <v>6.8442387077835556E-3</v>
      </c>
      <c r="K96" s="22">
        <f t="shared" si="60"/>
        <v>9.6083345853857742E-3</v>
      </c>
      <c r="L96" s="22">
        <f t="shared" si="61"/>
        <v>8.1525263148727791E-3</v>
      </c>
      <c r="M96" s="226">
        <f t="shared" si="62"/>
        <v>6.8442387077835556E-3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4.6099397803051993E-3</v>
      </c>
      <c r="K97" s="22">
        <f t="shared" si="60"/>
        <v>5.3379636585476524E-3</v>
      </c>
      <c r="L97" s="22">
        <f t="shared" si="61"/>
        <v>4.5291812860404328E-3</v>
      </c>
      <c r="M97" s="226">
        <f t="shared" si="62"/>
        <v>4.6099397803051993E-3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0.57212121212121214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0.7151515151515152</v>
      </c>
      <c r="I102" s="22">
        <f t="shared" si="58"/>
        <v>1.5437779116058616</v>
      </c>
      <c r="J102" s="24">
        <f t="shared" si="59"/>
        <v>1.5437779116058616</v>
      </c>
      <c r="K102" s="22">
        <f t="shared" si="60"/>
        <v>2.1586725035166707</v>
      </c>
      <c r="L102" s="22">
        <f t="shared" si="61"/>
        <v>1.5437779116058616</v>
      </c>
      <c r="M102" s="226">
        <f t="shared" si="6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2.7438168446371747</v>
      </c>
      <c r="J119" s="24">
        <f>SUM(J91:J118)</f>
        <v>2.6239078327242211</v>
      </c>
      <c r="K119" s="22">
        <f>SUM(K91:K118)</f>
        <v>3.8051140143591087</v>
      </c>
      <c r="L119" s="22">
        <f>SUM(L91:L118)</f>
        <v>2.6260084396111565</v>
      </c>
      <c r="M119" s="57">
        <f t="shared" si="49"/>
        <v>2.6239078327242211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63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65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0.12355420550056007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4.2752588964197535E-2</v>
      </c>
      <c r="M126" s="57">
        <f t="shared" si="65"/>
        <v>0.12355420550056007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1.412341887205619</v>
      </c>
      <c r="J128" s="227">
        <f>(J30)</f>
        <v>0.27681629990076595</v>
      </c>
      <c r="K128" s="22">
        <f>(B128)</f>
        <v>0.62129400747198005</v>
      </c>
      <c r="L128" s="22">
        <f>IF(L124=L119,0,(L119-L124)/(B119-B124)*K128)</f>
        <v>0.35971852332406362</v>
      </c>
      <c r="M128" s="57">
        <f t="shared" si="63"/>
        <v>0.27681629990076595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2.7438168446371747</v>
      </c>
      <c r="J130" s="227">
        <f>(J119)</f>
        <v>2.6239078327242211</v>
      </c>
      <c r="K130" s="22">
        <f>(B130)</f>
        <v>3.8051140143591087</v>
      </c>
      <c r="L130" s="22">
        <f>(L119)</f>
        <v>2.6260084396111565</v>
      </c>
      <c r="M130" s="57">
        <f t="shared" si="63"/>
        <v>2.6239078327242211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0.84930978092714193</v>
      </c>
      <c r="M131" s="236">
        <f>IF(I131&lt;SUM(M126:M127),0,I131-(SUM(M126:M127)))</f>
        <v>0.7685081643907794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5.0102778642590294E-2</v>
      </c>
      <c r="J6" s="24">
        <f t="shared" ref="J6:J13" si="3">IF(I$32&lt;=1+I$131,I6,B6*H6+J$33*(I6-B6*H6))</f>
        <v>5.0102778642590294E-2</v>
      </c>
      <c r="K6" s="22">
        <f t="shared" ref="K6:K31" si="4">B6</f>
        <v>0.10020555728518059</v>
      </c>
      <c r="L6" s="22">
        <f t="shared" ref="L6:L29" si="5">IF(K6="","",K6*H6)</f>
        <v>5.0102778642590294E-2</v>
      </c>
      <c r="M6" s="177">
        <f t="shared" ref="M6:M31" si="6">J6</f>
        <v>5.0102778642590294E-2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0.20041111457036118</v>
      </c>
      <c r="Z6" s="156">
        <f>Poor!Z6</f>
        <v>0.17</v>
      </c>
      <c r="AA6" s="121">
        <f>$M6*Z6*4</f>
        <v>3.40698894769614E-2</v>
      </c>
      <c r="AB6" s="156">
        <f>Poor!AB6</f>
        <v>0.17</v>
      </c>
      <c r="AC6" s="121">
        <f t="shared" ref="AC6:AC29" si="7">$M6*AB6*4</f>
        <v>3.40698894769614E-2</v>
      </c>
      <c r="AD6" s="156">
        <f>Poor!AD6</f>
        <v>0.33</v>
      </c>
      <c r="AE6" s="121">
        <f t="shared" ref="AE6:AE29" si="8">$M6*AD6*4</f>
        <v>6.6135667808219195E-2</v>
      </c>
      <c r="AF6" s="122">
        <f>1-SUM(Z6,AB6,AD6)</f>
        <v>0.32999999999999996</v>
      </c>
      <c r="AG6" s="121">
        <f>$M6*AF6*4</f>
        <v>6.6135667808219181E-2</v>
      </c>
      <c r="AH6" s="123">
        <f>SUM(Z6,AB6,AD6,AF6)</f>
        <v>1</v>
      </c>
      <c r="AI6" s="183">
        <f>SUM(AA6,AC6,AE6,AG6)/4</f>
        <v>5.0102778642590287E-2</v>
      </c>
      <c r="AJ6" s="120">
        <f>(AA6+AC6)/2</f>
        <v>3.40698894769614E-2</v>
      </c>
      <c r="AK6" s="119">
        <f>(AE6+AG6)/2</f>
        <v>6.6135667808219195E-2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1.0900000000000001</v>
      </c>
      <c r="F7" s="27">
        <v>8800</v>
      </c>
      <c r="H7" s="24">
        <f t="shared" si="1"/>
        <v>1.0900000000000001</v>
      </c>
      <c r="I7" s="22">
        <f t="shared" si="2"/>
        <v>0.25787533561643827</v>
      </c>
      <c r="J7" s="24">
        <f t="shared" si="3"/>
        <v>0.12053794931337208</v>
      </c>
      <c r="K7" s="22">
        <f t="shared" si="4"/>
        <v>0.11829143835616435</v>
      </c>
      <c r="L7" s="22">
        <f t="shared" si="5"/>
        <v>0.12893766780821914</v>
      </c>
      <c r="M7" s="177">
        <f t="shared" si="6"/>
        <v>0.12053794931337208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5734.8325291434494</v>
      </c>
      <c r="T7" s="221">
        <f>IF($B$81=0,0,(SUMIF($N$6:$N$28,$U7,M$6:M$28)+SUMIF($N$91:$N$118,$U7,M$91:M$118))*$I$83*Poor!$B$81/$B$81)</f>
        <v>5657.3445939778567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0.48215179725348833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0.48215179725348833</v>
      </c>
      <c r="AH7" s="123">
        <f t="shared" ref="AH7:AH30" si="12">SUM(Z7,AB7,AD7,AF7)</f>
        <v>1</v>
      </c>
      <c r="AI7" s="183">
        <f t="shared" ref="AI7:AI30" si="13">SUM(AA7,AC7,AE7,AG7)/4</f>
        <v>0.12053794931337208</v>
      </c>
      <c r="AJ7" s="120">
        <f t="shared" ref="AJ7:AJ31" si="14">(AA7+AC7)/2</f>
        <v>0</v>
      </c>
      <c r="AK7" s="119">
        <f t="shared" ref="AK7:AK31" si="15">(AE7+AG7)/2</f>
        <v>0.24107589862674417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0.18771586068319662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0.18771586068319662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4320.799</v>
      </c>
      <c r="T8" s="221">
        <f>IF($B$81=0,0,(SUMIF($N$6:$N$28,$U8,M$6:M$28)+SUMIF($N$91:$N$118,$U8,M$91:M$118))*$I$83*Poor!$B$81/$B$81)</f>
        <v>4283.0666178758702</v>
      </c>
      <c r="U8" s="222">
        <v>2</v>
      </c>
      <c r="V8" s="56"/>
      <c r="W8" s="115"/>
      <c r="X8" s="118">
        <f>Poor!X8</f>
        <v>1</v>
      </c>
      <c r="Y8" s="183">
        <f t="shared" si="9"/>
        <v>0.75086344273278649</v>
      </c>
      <c r="Z8" s="125">
        <f>IF($Y8=0,0,AA8/$Y8)</f>
        <v>0.36639664545339429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0.27511384661087979</v>
      </c>
      <c r="AB8" s="125">
        <f>IF($Y8=0,0,AC8/$Y8)</f>
        <v>0.36639664545339429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0.27511384661087979</v>
      </c>
      <c r="AD8" s="125">
        <f>IF($Y8=0,0,AE8/$Y8)</f>
        <v>0.26720670909321148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0.20063574951102692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0.18771586068319662</v>
      </c>
      <c r="AJ8" s="120">
        <f t="shared" si="14"/>
        <v>0.27511384661087979</v>
      </c>
      <c r="AK8" s="119">
        <f t="shared" si="15"/>
        <v>0.10031787475551346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5.7791036628095788E-2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5.7791036628095788E-2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774.35507291151771</v>
      </c>
      <c r="T9" s="221">
        <f>IF($B$81=0,0,(SUMIF($N$6:$N$28,$U9,M$6:M$28)+SUMIF($N$91:$N$118,$U9,M$91:M$118))*$I$83*Poor!$B$81/$B$81)</f>
        <v>774.35507291151771</v>
      </c>
      <c r="U9" s="222">
        <v>3</v>
      </c>
      <c r="V9" s="56"/>
      <c r="W9" s="115"/>
      <c r="X9" s="118">
        <f>Poor!X9</f>
        <v>1</v>
      </c>
      <c r="Y9" s="183">
        <f t="shared" si="9"/>
        <v>0.23116414651238315</v>
      </c>
      <c r="Z9" s="125">
        <f>IF($Y9=0,0,AA9/$Y9)</f>
        <v>0.36639664545339429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8.4697767831234144E-2</v>
      </c>
      <c r="AB9" s="125">
        <f>IF($Y9=0,0,AC9/$Y9)</f>
        <v>0.36639664545339429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8.4697767831234144E-2</v>
      </c>
      <c r="AD9" s="125">
        <f>IF($Y9=0,0,AE9/$Y9)</f>
        <v>0.26720670909321137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6.1768610849914862E-2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5.7791036628095788E-2</v>
      </c>
      <c r="AJ9" s="120">
        <f t="shared" si="14"/>
        <v>8.4697767831234144E-2</v>
      </c>
      <c r="AK9" s="119">
        <f t="shared" si="15"/>
        <v>3.0884305424957431E-2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21157.4</v>
      </c>
      <c r="T11" s="221">
        <f>IF($B$81=0,0,(SUMIF($N$6:$N$28,$U11,M$6:M$28)+SUMIF($N$91:$N$118,$U11,M$91:M$118))*$I$83*Poor!$B$81/$B$81)</f>
        <v>21083.603092760175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56640</v>
      </c>
      <c r="T13" s="221">
        <f>IF($B$81=0,0,(SUMIF($N$6:$N$28,$U13,M$6:M$28)+SUMIF($N$91:$N$118,$U13,M$91:M$118))*$I$83*Poor!$B$81/$B$81)</f>
        <v>56640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22739.809190888842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8991.6</v>
      </c>
      <c r="T17" s="221">
        <f>IF($B$81=0,0,(SUMIF($N$6:$N$28,$U17,M$6:M$28)+SUMIF($N$91:$N$118,$U17,M$91:M$118))*$I$83*Poor!$B$81/$B$81)</f>
        <v>8991.6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127455.78660205497</v>
      </c>
      <c r="T23" s="179">
        <f>SUM(T7:T22)</f>
        <v>126966.57856841428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0.25017709490796602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0.25017709490796602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1.0007083796318641</v>
      </c>
      <c r="Z27" s="156">
        <f>Poor!Z27</f>
        <v>0.25</v>
      </c>
      <c r="AA27" s="121">
        <f t="shared" si="16"/>
        <v>0.25017709490796602</v>
      </c>
      <c r="AB27" s="156">
        <f>Poor!AB27</f>
        <v>0.25</v>
      </c>
      <c r="AC27" s="121">
        <f t="shared" si="7"/>
        <v>0.25017709490796602</v>
      </c>
      <c r="AD27" s="156">
        <f>Poor!AD27</f>
        <v>0.25</v>
      </c>
      <c r="AE27" s="121">
        <f t="shared" si="8"/>
        <v>0.25017709490796602</v>
      </c>
      <c r="AF27" s="122">
        <f t="shared" si="10"/>
        <v>0.25</v>
      </c>
      <c r="AG27" s="121">
        <f t="shared" si="11"/>
        <v>0.25017709490796602</v>
      </c>
      <c r="AH27" s="123">
        <f t="shared" si="12"/>
        <v>1</v>
      </c>
      <c r="AI27" s="183">
        <f t="shared" si="13"/>
        <v>0.25017709490796602</v>
      </c>
      <c r="AJ27" s="120">
        <f t="shared" si="14"/>
        <v>0.25017709490796602</v>
      </c>
      <c r="AK27" s="119">
        <f t="shared" si="15"/>
        <v>0.25017709490796602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6.1321147033828786E-4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6.1321147033828786E-4</v>
      </c>
      <c r="N28" s="228"/>
      <c r="O28" s="2"/>
      <c r="P28" s="22"/>
      <c r="V28" s="56"/>
      <c r="W28" s="110"/>
      <c r="X28" s="118"/>
      <c r="Y28" s="183">
        <f t="shared" si="9"/>
        <v>2.4528458813531514E-3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1.2264229406765757E-3</v>
      </c>
      <c r="AF28" s="122">
        <f t="shared" si="10"/>
        <v>0.5</v>
      </c>
      <c r="AG28" s="121">
        <f t="shared" si="11"/>
        <v>1.2264229406765757E-3</v>
      </c>
      <c r="AH28" s="123">
        <f t="shared" si="12"/>
        <v>1</v>
      </c>
      <c r="AI28" s="183">
        <f t="shared" si="13"/>
        <v>6.1321147033828786E-4</v>
      </c>
      <c r="AJ28" s="120">
        <f t="shared" si="14"/>
        <v>0</v>
      </c>
      <c r="AK28" s="119">
        <f t="shared" si="15"/>
        <v>1.2264229406765757E-3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0.35594140117295858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0.35594140117295858</v>
      </c>
      <c r="N29" s="228"/>
      <c r="P29" s="22"/>
      <c r="V29" s="56"/>
      <c r="W29" s="110"/>
      <c r="X29" s="118"/>
      <c r="Y29" s="183">
        <f t="shared" si="9"/>
        <v>1.4237656046918343</v>
      </c>
      <c r="Z29" s="156">
        <f>Poor!Z29</f>
        <v>0.25</v>
      </c>
      <c r="AA29" s="121">
        <f t="shared" si="16"/>
        <v>0.35594140117295858</v>
      </c>
      <c r="AB29" s="156">
        <f>Poor!AB29</f>
        <v>0.25</v>
      </c>
      <c r="AC29" s="121">
        <f t="shared" si="7"/>
        <v>0.35594140117295858</v>
      </c>
      <c r="AD29" s="156">
        <f>Poor!AD29</f>
        <v>0.25</v>
      </c>
      <c r="AE29" s="121">
        <f t="shared" si="8"/>
        <v>0.35594140117295858</v>
      </c>
      <c r="AF29" s="122">
        <f t="shared" si="10"/>
        <v>0.25</v>
      </c>
      <c r="AG29" s="121">
        <f t="shared" si="11"/>
        <v>0.35594140117295858</v>
      </c>
      <c r="AH29" s="123">
        <f t="shared" si="12"/>
        <v>1</v>
      </c>
      <c r="AI29" s="183">
        <f t="shared" si="13"/>
        <v>0.35594140117295858</v>
      </c>
      <c r="AJ29" s="120">
        <f t="shared" si="14"/>
        <v>0.35594140117295858</v>
      </c>
      <c r="AK29" s="119">
        <f t="shared" si="15"/>
        <v>0.35594140117295858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6.9030036576826346</v>
      </c>
      <c r="J30" s="230">
        <f>IF(I$32&lt;=1,I30,1-SUM(J6:J29))</f>
        <v>-2.2879332818517728E-2</v>
      </c>
      <c r="K30" s="22">
        <f t="shared" si="4"/>
        <v>0.73023944458281442</v>
      </c>
      <c r="L30" s="22">
        <f>IF(L124=L119,0,IF(K30="",0,(L119-L124)/(B119-B124)*K30))</f>
        <v>0.38904194024250505</v>
      </c>
      <c r="M30" s="175">
        <f t="shared" si="6"/>
        <v>-2.2879332818517728E-2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-9.1517331274070912E-2</v>
      </c>
      <c r="Z30" s="122">
        <f>IF($Y30=0,0,AA30/($Y$30))</f>
        <v>-1.213128714713417E-15</v>
      </c>
      <c r="AA30" s="187">
        <f>IF(AA79*4/$I$83+SUM(AA6:AA29)&lt;1,AA79*4/$I$83,1-SUM(AA6:AA29))</f>
        <v>1.1102230246251565E-16</v>
      </c>
      <c r="AB30" s="122">
        <f>IF($Y30=0,0,AC30/($Y$30))</f>
        <v>-1.213128714713417E-15</v>
      </c>
      <c r="AC30" s="187">
        <f>IF(AC79*4/$I$83+SUM(AC6:AC29)&lt;1,AC79*4/$I$83,1-SUM(AC6:AC29))</f>
        <v>1.1102230246251565E-16</v>
      </c>
      <c r="AD30" s="122">
        <f>IF($Y30=0,0,AE30/($Y$30))</f>
        <v>-0.7005782611517557</v>
      </c>
      <c r="AE30" s="187">
        <f>IF(AE79*4/$I$83+SUM(AE6:AE29)&lt;1,AE79*4/$I$83,1-SUM(AE6:AE29))</f>
        <v>6.4115052809237794E-2</v>
      </c>
      <c r="AF30" s="122">
        <f>IF($Y30=0,0,AG30/($Y$30))</f>
        <v>1.7005782611517557</v>
      </c>
      <c r="AG30" s="187">
        <f>IF(AG79*4/$I$83+SUM(AG6:AG29)&lt;1,AG79*4/$I$83,1-SUM(AG6:AG29))</f>
        <v>-0.15563238408330871</v>
      </c>
      <c r="AH30" s="123">
        <f t="shared" si="12"/>
        <v>0.99999999999999756</v>
      </c>
      <c r="AI30" s="183">
        <f t="shared" si="13"/>
        <v>-2.2879332818517673E-2</v>
      </c>
      <c r="AJ30" s="120">
        <f t="shared" si="14"/>
        <v>1.1102230246251565E-16</v>
      </c>
      <c r="AK30" s="119">
        <f t="shared" si="15"/>
        <v>-4.5758665637035456E-2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-0.39356556087347228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7.6257627499102272</v>
      </c>
      <c r="J32" s="17"/>
      <c r="L32" s="22">
        <f>SUM(L6:L30)</f>
        <v>1.3935655608734723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-6.5145574893914815E-2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16992</v>
      </c>
      <c r="J37" s="38">
        <f>J91*I$83</f>
        <v>16992</v>
      </c>
      <c r="K37" s="40">
        <f t="shared" ref="K37:K52" si="28">(B37/B$65)</f>
        <v>0.13966859745570373</v>
      </c>
      <c r="L37" s="22">
        <f t="shared" ref="L37:L52" si="29">(K37*H37)</f>
        <v>0.13184715599818431</v>
      </c>
      <c r="M37" s="24">
        <f t="shared" ref="M37:M52" si="30">J37/B$65</f>
        <v>0.13184715599818431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16992</v>
      </c>
      <c r="AH37" s="123">
        <f>SUM(Z37,AB37,AD37,AF37)</f>
        <v>1</v>
      </c>
      <c r="AI37" s="112">
        <f>SUM(AA37,AC37,AE37,AG37)</f>
        <v>16992</v>
      </c>
      <c r="AJ37" s="148">
        <f>(AA37+AC37)</f>
        <v>0</v>
      </c>
      <c r="AK37" s="147">
        <f>(AE37+AG37)</f>
        <v>16992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3398.3999999999996</v>
      </c>
      <c r="J38" s="38">
        <f t="shared" ref="J38:J64" si="33">J92*I$83</f>
        <v>2191.8030927601731</v>
      </c>
      <c r="K38" s="40">
        <f t="shared" si="28"/>
        <v>1.8622479660760496E-2</v>
      </c>
      <c r="L38" s="22">
        <f t="shared" si="29"/>
        <v>1.7579620799757906E-2</v>
      </c>
      <c r="M38" s="24">
        <f t="shared" si="30"/>
        <v>1.7007003548049279E-2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2191.8030927601731</v>
      </c>
      <c r="AH38" s="123">
        <f t="shared" ref="AH38:AI58" si="35">SUM(Z38,AB38,AD38,AF38)</f>
        <v>1</v>
      </c>
      <c r="AI38" s="112">
        <f t="shared" si="35"/>
        <v>2191.8030927601731</v>
      </c>
      <c r="AJ38" s="148">
        <f t="shared" ref="AJ38:AJ64" si="36">(AA38+AC38)</f>
        <v>0</v>
      </c>
      <c r="AK38" s="147">
        <f t="shared" ref="AK38:AK64" si="37">(AE38+AG38)</f>
        <v>2191.8030927601731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1132.8</v>
      </c>
      <c r="K39" s="40">
        <f t="shared" si="28"/>
        <v>9.3112398303802479E-3</v>
      </c>
      <c r="L39" s="22">
        <f t="shared" si="29"/>
        <v>8.7898103998789532E-3</v>
      </c>
      <c r="M39" s="24">
        <f t="shared" si="30"/>
        <v>8.7898103998789532E-3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0.36639664545339429</v>
      </c>
      <c r="AA39" s="147">
        <f>$J39*Z39</f>
        <v>415.05411996960504</v>
      </c>
      <c r="AB39" s="122">
        <f>AB8</f>
        <v>0.36639664545339429</v>
      </c>
      <c r="AC39" s="147">
        <f>$J39*AB39</f>
        <v>415.05411996960504</v>
      </c>
      <c r="AD39" s="122">
        <f>AD8</f>
        <v>0.26720670909321148</v>
      </c>
      <c r="AE39" s="147">
        <f>$J39*AD39</f>
        <v>302.69176006078993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1132.8</v>
      </c>
      <c r="AJ39" s="148">
        <f t="shared" si="36"/>
        <v>830.10823993921008</v>
      </c>
      <c r="AK39" s="147">
        <f t="shared" si="37"/>
        <v>302.69176006078993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0.36639664545339429</v>
      </c>
      <c r="AA40" s="147">
        <f>$J40*Z40</f>
        <v>281.02622706275343</v>
      </c>
      <c r="AB40" s="122">
        <f>AB9</f>
        <v>0.36639664545339429</v>
      </c>
      <c r="AC40" s="147">
        <f>$J40*AB40</f>
        <v>281.02622706275343</v>
      </c>
      <c r="AD40" s="122">
        <f>AD9</f>
        <v>0.26720670909321137</v>
      </c>
      <c r="AE40" s="147">
        <f>$J40*AD40</f>
        <v>204.94754587449313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562.05245412550687</v>
      </c>
      <c r="AK40" s="147">
        <f t="shared" si="37"/>
        <v>204.94754587449313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1440.9278685709132</v>
      </c>
      <c r="K41" s="40">
        <f t="shared" si="28"/>
        <v>6.8786784246934081E-3</v>
      </c>
      <c r="L41" s="22">
        <f t="shared" si="29"/>
        <v>1.049686327608214E-2</v>
      </c>
      <c r="M41" s="24">
        <f t="shared" si="30"/>
        <v>1.1180687468785335E-2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1440.9278685709132</v>
      </c>
      <c r="AH41" s="123">
        <f t="shared" si="35"/>
        <v>1</v>
      </c>
      <c r="AI41" s="112">
        <f t="shared" si="35"/>
        <v>1440.9278685709132</v>
      </c>
      <c r="AJ41" s="148">
        <f t="shared" si="36"/>
        <v>0</v>
      </c>
      <c r="AK41" s="147">
        <f t="shared" si="37"/>
        <v>1440.9278685709132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4900</v>
      </c>
      <c r="J42" s="38">
        <f t="shared" si="33"/>
        <v>2663.1942927227788</v>
      </c>
      <c r="K42" s="40">
        <f t="shared" si="28"/>
        <v>1.5518733050633747E-2</v>
      </c>
      <c r="L42" s="22">
        <f t="shared" si="29"/>
        <v>2.1726226270887244E-2</v>
      </c>
      <c r="M42" s="24">
        <f t="shared" si="30"/>
        <v>2.0664700645368076E-2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665.79857318069469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1331.5971463613894</v>
      </c>
      <c r="AF42" s="122">
        <f t="shared" si="31"/>
        <v>0.25</v>
      </c>
      <c r="AG42" s="147">
        <f t="shared" si="34"/>
        <v>665.79857318069469</v>
      </c>
      <c r="AH42" s="123">
        <f t="shared" si="35"/>
        <v>1</v>
      </c>
      <c r="AI42" s="112">
        <f t="shared" si="35"/>
        <v>2663.1942927227788</v>
      </c>
      <c r="AJ42" s="148">
        <f t="shared" si="36"/>
        <v>665.79857318069469</v>
      </c>
      <c r="AK42" s="147">
        <f t="shared" si="37"/>
        <v>1997.395719542084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178.94445658217771</v>
      </c>
      <c r="K43" s="40">
        <f t="shared" si="28"/>
        <v>9.3112398303802474E-4</v>
      </c>
      <c r="L43" s="22">
        <f t="shared" si="29"/>
        <v>1.3035735762532345E-3</v>
      </c>
      <c r="M43" s="24">
        <f t="shared" si="30"/>
        <v>1.3884956262947682E-3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44.736114145544427</v>
      </c>
      <c r="AB43" s="156">
        <f>Poor!AB43</f>
        <v>0.25</v>
      </c>
      <c r="AC43" s="147">
        <f t="shared" si="39"/>
        <v>44.736114145544427</v>
      </c>
      <c r="AD43" s="156">
        <f>Poor!AD43</f>
        <v>0.25</v>
      </c>
      <c r="AE43" s="147">
        <f t="shared" si="40"/>
        <v>44.736114145544427</v>
      </c>
      <c r="AF43" s="122">
        <f t="shared" si="31"/>
        <v>0.25</v>
      </c>
      <c r="AG43" s="147">
        <f t="shared" si="34"/>
        <v>44.736114145544427</v>
      </c>
      <c r="AH43" s="123">
        <f t="shared" si="35"/>
        <v>1</v>
      </c>
      <c r="AI43" s="112">
        <f t="shared" si="35"/>
        <v>178.94445658217771</v>
      </c>
      <c r="AJ43" s="148">
        <f t="shared" si="36"/>
        <v>89.472228291088854</v>
      </c>
      <c r="AK43" s="147">
        <f t="shared" si="37"/>
        <v>89.472228291088854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56640</v>
      </c>
      <c r="J45" s="38">
        <f t="shared" si="33"/>
        <v>56640</v>
      </c>
      <c r="K45" s="40">
        <f t="shared" si="28"/>
        <v>0.4655619915190124</v>
      </c>
      <c r="L45" s="22">
        <f t="shared" si="29"/>
        <v>0.43949051999394767</v>
      </c>
      <c r="M45" s="24">
        <f t="shared" si="30"/>
        <v>0.43949051999394767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14160</v>
      </c>
      <c r="AB45" s="156">
        <f>Poor!AB45</f>
        <v>0.25</v>
      </c>
      <c r="AC45" s="147">
        <f t="shared" si="39"/>
        <v>14160</v>
      </c>
      <c r="AD45" s="156">
        <f>Poor!AD45</f>
        <v>0.25</v>
      </c>
      <c r="AE45" s="147">
        <f t="shared" si="40"/>
        <v>14160</v>
      </c>
      <c r="AF45" s="122">
        <f t="shared" si="31"/>
        <v>0.25</v>
      </c>
      <c r="AG45" s="147">
        <f t="shared" si="34"/>
        <v>14160</v>
      </c>
      <c r="AH45" s="123">
        <f t="shared" si="35"/>
        <v>1</v>
      </c>
      <c r="AI45" s="112">
        <f t="shared" si="35"/>
        <v>56640</v>
      </c>
      <c r="AJ45" s="148">
        <f t="shared" si="36"/>
        <v>28320</v>
      </c>
      <c r="AK45" s="147">
        <f t="shared" si="37"/>
        <v>28320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22739.809190888838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0.17644651422787583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5684.9522977222096</v>
      </c>
      <c r="AB46" s="156">
        <f>Poor!AB46</f>
        <v>0.25</v>
      </c>
      <c r="AC46" s="147">
        <f t="shared" si="39"/>
        <v>5684.9522977222096</v>
      </c>
      <c r="AD46" s="156">
        <f>Poor!AD46</f>
        <v>0.25</v>
      </c>
      <c r="AE46" s="147">
        <f t="shared" si="40"/>
        <v>5684.9522977222096</v>
      </c>
      <c r="AF46" s="122">
        <f t="shared" si="31"/>
        <v>0.25</v>
      </c>
      <c r="AG46" s="147">
        <f t="shared" si="34"/>
        <v>5684.9522977222096</v>
      </c>
      <c r="AH46" s="123">
        <f t="shared" si="35"/>
        <v>1</v>
      </c>
      <c r="AI46" s="112">
        <f t="shared" si="35"/>
        <v>22739.809190888838</v>
      </c>
      <c r="AJ46" s="148">
        <f t="shared" si="36"/>
        <v>11369.904595444419</v>
      </c>
      <c r="AK46" s="147">
        <f t="shared" si="37"/>
        <v>11369.904595444419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127266.6</v>
      </c>
      <c r="J65" s="39">
        <f>SUM(J37:J64)</f>
        <v>120534.87890152489</v>
      </c>
      <c r="K65" s="40">
        <f>SUM(K37:K64)</f>
        <v>1</v>
      </c>
      <c r="L65" s="22">
        <f>SUM(L37:L64)</f>
        <v>0.93846899163152331</v>
      </c>
      <c r="M65" s="24">
        <f>SUM(M37:M64)</f>
        <v>0.93527430448161519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25198.667332080808</v>
      </c>
      <c r="AB65" s="137"/>
      <c r="AC65" s="153">
        <f>SUM(AC37:AC64)</f>
        <v>24532.868758900117</v>
      </c>
      <c r="AD65" s="137"/>
      <c r="AE65" s="153">
        <f>SUM(AE37:AE64)</f>
        <v>25676.024864164428</v>
      </c>
      <c r="AF65" s="137"/>
      <c r="AG65" s="153">
        <f>SUM(AG37:AG64)</f>
        <v>45127.317946379531</v>
      </c>
      <c r="AH65" s="137"/>
      <c r="AI65" s="153">
        <f>SUM(AI37:AI64)</f>
        <v>120534.87890152489</v>
      </c>
      <c r="AJ65" s="153">
        <f>SUM(AJ37:AJ64)</f>
        <v>49731.536090980924</v>
      </c>
      <c r="AK65" s="153">
        <f>SUM(AK37:AK64)</f>
        <v>70803.342810543953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106688.21261959766</v>
      </c>
      <c r="J74" s="51">
        <f>J128*I$83</f>
        <v>-353.60768230506721</v>
      </c>
      <c r="K74" s="40">
        <f>B74/B$76</f>
        <v>5.3074504288621635E-2</v>
      </c>
      <c r="L74" s="22">
        <f>(L128*G$37*F$9/F$7)/B$130</f>
        <v>4.6655304175089951E-2</v>
      </c>
      <c r="M74" s="24">
        <f>J74/B$76</f>
        <v>-2.7437716131728223E-3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4.2897163314753649E-13</v>
      </c>
      <c r="AB74" s="156"/>
      <c r="AC74" s="147">
        <f>AC30*$I$83/4</f>
        <v>4.2897163314753649E-13</v>
      </c>
      <c r="AD74" s="156"/>
      <c r="AE74" s="147">
        <f>AE30*$I$83/4</f>
        <v>247.72985519918646</v>
      </c>
      <c r="AF74" s="156"/>
      <c r="AG74" s="147">
        <f>AG30*$I$83/4</f>
        <v>-601.33753750425365</v>
      </c>
      <c r="AH74" s="155"/>
      <c r="AI74" s="147">
        <f>SUM(AA74,AC74,AE74,AG74)</f>
        <v>-353.60768230506631</v>
      </c>
      <c r="AJ74" s="148">
        <f>(AA74+AC74)</f>
        <v>8.5794326629507299E-13</v>
      </c>
      <c r="AK74" s="147">
        <f>(AE74+AG74)</f>
        <v>-353.60768230506721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59019.539203427601</v>
      </c>
      <c r="K75" s="40">
        <f>B75/B$76</f>
        <v>0.56135599212570664</v>
      </c>
      <c r="L75" s="22">
        <f>(L129*G$37*F$9/F$7)/B$130</f>
        <v>0.41174984819634824</v>
      </c>
      <c r="M75" s="24">
        <f>J75/B$76</f>
        <v>0.45795423683470299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20054.070486980221</v>
      </c>
      <c r="AB75" s="158"/>
      <c r="AC75" s="149">
        <f>AA75+AC65-SUM(AC70,AC74)</f>
        <v>39442.342400779751</v>
      </c>
      <c r="AD75" s="158"/>
      <c r="AE75" s="149">
        <f>AC75+AE65-SUM(AE70,AE74)</f>
        <v>59726.040564644405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100310.0992034276</v>
      </c>
      <c r="AJ75" s="151">
        <f>AJ76-SUM(AJ70,AJ74)</f>
        <v>39442.342400779751</v>
      </c>
      <c r="AK75" s="149">
        <f>AJ75+AK76-SUM(AK70,AK74)</f>
        <v>100310.0992034276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127266.6</v>
      </c>
      <c r="J76" s="51">
        <f>J130*I$83</f>
        <v>120534.87890152489</v>
      </c>
      <c r="K76" s="40">
        <f>SUM(K70:K75)</f>
        <v>0.74788266285940419</v>
      </c>
      <c r="L76" s="22">
        <f>SUM(L70:L75)</f>
        <v>0.64097053380562008</v>
      </c>
      <c r="M76" s="24">
        <f>SUM(M70:M75)</f>
        <v>0.63777584665571208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25198.667332080808</v>
      </c>
      <c r="AB76" s="137"/>
      <c r="AC76" s="153">
        <f>AC65</f>
        <v>24532.868758900117</v>
      </c>
      <c r="AD76" s="137"/>
      <c r="AE76" s="153">
        <f>AE65</f>
        <v>25676.024864164428</v>
      </c>
      <c r="AF76" s="137"/>
      <c r="AG76" s="153">
        <f>AG65</f>
        <v>45127.317946379531</v>
      </c>
      <c r="AH76" s="137"/>
      <c r="AI76" s="153">
        <f>SUM(AA76,AC76,AE76,AG76)</f>
        <v>120534.87890152488</v>
      </c>
      <c r="AJ76" s="154">
        <f>SUM(AA76,AC76)</f>
        <v>49731.536090980924</v>
      </c>
      <c r="AK76" s="154">
        <f>SUM(AE76,AG76)</f>
        <v>70803.342810543953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20054.070486980221</v>
      </c>
      <c r="AD78" s="112"/>
      <c r="AE78" s="112">
        <f>AC75</f>
        <v>39442.342400779751</v>
      </c>
      <c r="AF78" s="112"/>
      <c r="AG78" s="112">
        <f>AE75</f>
        <v>59726.040564644405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20054.070486980221</v>
      </c>
      <c r="AB79" s="112"/>
      <c r="AC79" s="112">
        <f>AA79-AA74+AC65-AC70</f>
        <v>39442.342400779751</v>
      </c>
      <c r="AD79" s="112"/>
      <c r="AE79" s="112">
        <f>AC79-AC74+AE65-AE70</f>
        <v>59973.770419843597</v>
      </c>
      <c r="AF79" s="112"/>
      <c r="AG79" s="112">
        <f>AE79-AE74+AG65-AG70</f>
        <v>99708.761665923361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0.57212121212121214</v>
      </c>
      <c r="I91" s="22">
        <f t="shared" ref="I91" si="52">(D91*H91)</f>
        <v>1.0994264058914147</v>
      </c>
      <c r="J91" s="24">
        <f>IF(I$32&lt;=1+I$131,I91,L91+J$33*(I91-L91))</f>
        <v>1.0994264058914147</v>
      </c>
      <c r="K91" s="22">
        <f t="shared" ref="K91" si="53">(B91)</f>
        <v>1.9216669170771548</v>
      </c>
      <c r="L91" s="22">
        <f t="shared" ref="L91" si="54">(K91*H91)</f>
        <v>1.0994264058914147</v>
      </c>
      <c r="M91" s="226">
        <f t="shared" si="50"/>
        <v>1.0994264058914147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0.57212121212121214</v>
      </c>
      <c r="I92" s="22">
        <f t="shared" ref="I92:I118" si="59">(D92*H92)</f>
        <v>0.21988528117828296</v>
      </c>
      <c r="J92" s="24">
        <f t="shared" ref="J92:J118" si="60">IF(I$32&lt;=1+I$131,I92,L92+J$33*(I92-L92))</f>
        <v>0.14181533643449884</v>
      </c>
      <c r="K92" s="22">
        <f t="shared" ref="K92:K118" si="61">(B92)</f>
        <v>0.25622225561028733</v>
      </c>
      <c r="L92" s="22">
        <f t="shared" ref="L92:L118" si="62">(K92*H92)</f>
        <v>0.14659018745218863</v>
      </c>
      <c r="M92" s="226">
        <f t="shared" ref="M92:M118" si="63">(J92)</f>
        <v>0.14181533643449884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0.57212121212121214</v>
      </c>
      <c r="I93" s="22">
        <f t="shared" si="59"/>
        <v>7.3295093726094315E-2</v>
      </c>
      <c r="J93" s="24">
        <f t="shared" si="60"/>
        <v>7.3295093726094315E-2</v>
      </c>
      <c r="K93" s="22">
        <f t="shared" si="61"/>
        <v>0.12811112780514367</v>
      </c>
      <c r="L93" s="22">
        <f t="shared" si="62"/>
        <v>7.3295093726094315E-2</v>
      </c>
      <c r="M93" s="226">
        <f t="shared" si="63"/>
        <v>7.3295093726094315E-2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9.3231764812364407E-2</v>
      </c>
      <c r="K95" s="22">
        <f t="shared" si="61"/>
        <v>9.4642095666049877E-2</v>
      </c>
      <c r="L95" s="22">
        <f t="shared" si="62"/>
        <v>8.7529598779631596E-2</v>
      </c>
      <c r="M95" s="226">
        <f t="shared" si="63"/>
        <v>9.3231764812364407E-2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0.84848484848484851</v>
      </c>
      <c r="I96" s="22">
        <f t="shared" si="59"/>
        <v>0.31704269002283025</v>
      </c>
      <c r="J96" s="24">
        <f t="shared" si="60"/>
        <v>0.17231556788128136</v>
      </c>
      <c r="K96" s="22">
        <f t="shared" si="61"/>
        <v>0.21351854634190609</v>
      </c>
      <c r="L96" s="22">
        <f t="shared" si="62"/>
        <v>0.1811672514416173</v>
      </c>
      <c r="M96" s="226">
        <f t="shared" si="63"/>
        <v>0.17231556788128136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1.1578169771323914E-2</v>
      </c>
      <c r="K97" s="22">
        <f t="shared" si="61"/>
        <v>1.2811112780514366E-2</v>
      </c>
      <c r="L97" s="22">
        <f t="shared" si="62"/>
        <v>1.0870035086497039E-2</v>
      </c>
      <c r="M97" s="226">
        <f t="shared" si="63"/>
        <v>1.1578169771323914E-2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0.57212121212121214</v>
      </c>
      <c r="I99" s="22">
        <f t="shared" si="59"/>
        <v>3.6647546863047156</v>
      </c>
      <c r="J99" s="24">
        <f t="shared" si="60"/>
        <v>3.6647546863047156</v>
      </c>
      <c r="K99" s="22">
        <f t="shared" si="61"/>
        <v>6.4055563902571828</v>
      </c>
      <c r="L99" s="22">
        <f t="shared" si="62"/>
        <v>3.6647546863047156</v>
      </c>
      <c r="M99" s="226">
        <f t="shared" si="63"/>
        <v>3.6647546863047156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1.471324546221485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1.471324546221485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0.7151515151515152</v>
      </c>
      <c r="I102" s="22">
        <f t="shared" si="59"/>
        <v>0.58177980645087368</v>
      </c>
      <c r="J102" s="24">
        <f t="shared" si="60"/>
        <v>0.58177980645087368</v>
      </c>
      <c r="K102" s="22">
        <f t="shared" si="61"/>
        <v>0.81350566156266224</v>
      </c>
      <c r="L102" s="22">
        <f t="shared" si="62"/>
        <v>0.58177980645087368</v>
      </c>
      <c r="M102" s="226">
        <f t="shared" si="63"/>
        <v>0.58177980645087368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8.23447861511419</v>
      </c>
      <c r="J119" s="24">
        <f>SUM(J91:J118)</f>
        <v>7.798918826227661</v>
      </c>
      <c r="K119" s="22">
        <f>SUM(K91:K118)</f>
        <v>13.75876146881633</v>
      </c>
      <c r="L119" s="22">
        <f>SUM(L91:L118)</f>
        <v>7.8255581828719496</v>
      </c>
      <c r="M119" s="57">
        <f t="shared" si="50"/>
        <v>7.798918826227661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6.9030036576826346</v>
      </c>
      <c r="J128" s="227">
        <f>(J30)</f>
        <v>-2.2879332818517728E-2</v>
      </c>
      <c r="K128" s="22">
        <f>(B128)</f>
        <v>0.73023944458281442</v>
      </c>
      <c r="L128" s="22">
        <f>IF(L124=L119,0,(L119-L124)/(B119-B124)*K128)</f>
        <v>0.38904194024250505</v>
      </c>
      <c r="M128" s="57">
        <f t="shared" si="90"/>
        <v>-2.2879332818517728E-2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3.8187170352984849</v>
      </c>
      <c r="K129" s="29">
        <f>(B129)</f>
        <v>7.7235631947483352</v>
      </c>
      <c r="L129" s="60">
        <f>IF(SUM(L124:L128)&gt;L130,0,L130-SUM(L124:L128))</f>
        <v>3.4334351188817509</v>
      </c>
      <c r="M129" s="57">
        <f t="shared" si="90"/>
        <v>3.8187170352984849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8.23447861511419</v>
      </c>
      <c r="J130" s="227">
        <f>(J119)</f>
        <v>7.798918826227661</v>
      </c>
      <c r="K130" s="22">
        <f>(B130)</f>
        <v>13.75876146881633</v>
      </c>
      <c r="L130" s="22">
        <f>(L119)</f>
        <v>7.8255581828719496</v>
      </c>
      <c r="M130" s="57">
        <f t="shared" si="90"/>
        <v>7.798918826227661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1749.0906715181311</v>
      </c>
      <c r="H72" s="109">
        <f>Middle!T7</f>
        <v>3111.2133242800937</v>
      </c>
      <c r="I72" s="109">
        <f>Rich!T7</f>
        <v>5657.3445939778567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848.0147013002744</v>
      </c>
      <c r="I73" s="109">
        <f>Rich!T8</f>
        <v>4283.0666178758702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417.60612333168569</v>
      </c>
      <c r="I74" s="109">
        <f>Rich!T9</f>
        <v>774.35507291151771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7349.7517220758273</v>
      </c>
      <c r="I76" s="109">
        <f>Rich!T11</f>
        <v>21083.603092760175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44.400000000000006</v>
      </c>
      <c r="H77" s="109">
        <f>Middle!T12</f>
        <v>487.5289174493326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329.08201927829958</v>
      </c>
      <c r="I78" s="109">
        <f>Rich!T13</f>
        <v>56640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22739.809190888842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23859.600000000002</v>
      </c>
      <c r="H82" s="109">
        <f>Middle!T17</f>
        <v>23859.600000000002</v>
      </c>
      <c r="I82" s="109">
        <f>Rich!T17</f>
        <v>8991.6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27493.011135514094</v>
      </c>
      <c r="H88" s="109">
        <f>Middle!T23</f>
        <v>46738.717271711474</v>
      </c>
      <c r="I88" s="109">
        <f>Rich!T23</f>
        <v>126966.57856841428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5068.8722447822256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18855.992244782228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43409.432244782234</v>
      </c>
      <c r="H100" s="238">
        <f t="shared" si="0"/>
        <v>24163.726108584844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2016-06-02T06:21:15Z</dcterms:modified>
  <cp:category/>
</cp:coreProperties>
</file>