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1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1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1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<sst xmlns="http://schemas.openxmlformats.org/spreadsheetml/2006/main" count="790" uniqueCount="145">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</sst>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-0.000142304398522669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0.011823948786881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0.436798841251959</c:v>
                </c:pt>
                <c:pt idx="2" formatCode="0.0%">
                  <c:v>0.393907983735113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05896"/>
        <c:axId val="-1994502584"/>
      </c:barChart>
      <c:catAx>
        <c:axId val="-19945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0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0.0289006044155491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0.0394270450398282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0.0514117343708156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0.00188666915122259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0.00998572744823242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0.00514332790446213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0.00519499585938269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0.000283000372683389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0.00132066840585581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0.00103766803317243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0.0347461568683494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0.00226400298146711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0.174546136262496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73688"/>
        <c:axId val="-1992670664"/>
      </c:barChart>
      <c:catAx>
        <c:axId val="-199267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7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0.0194628134668938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0.043678881952457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0.00913630349537445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0.079209820731097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0.00258267648386557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0.00276749463822661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0.00416430018614526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0.000968927470716782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0.00239809549002404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0.00122084861310315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0.00145339120607517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0.033718675980944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734920"/>
        <c:axId val="-1993731864"/>
      </c:barChart>
      <c:catAx>
        <c:axId val="-19937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73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0.00107925021210039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0.00245529423252839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45512"/>
        <c:axId val="-1992642488"/>
      </c:barChart>
      <c:catAx>
        <c:axId val="-199264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4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3275.328750715406</c:v>
                </c:pt>
                <c:pt idx="5">
                  <c:v>3693.727358022644</c:v>
                </c:pt>
                <c:pt idx="6">
                  <c:v>7108.708312548004</c:v>
                </c:pt>
                <c:pt idx="7">
                  <c:v>18152.10512048037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174.6100301091065</c:v>
                </c:pt>
                <c:pt idx="5">
                  <c:v>350.0000000000001</c:v>
                </c:pt>
                <c:pt idx="6">
                  <c:v>11724.4203392061</c:v>
                </c:pt>
                <c:pt idx="7">
                  <c:v>51409.18334455189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1319.956799967936</c:v>
                </c:pt>
                <c:pt idx="7">
                  <c:v>1843.483157462461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11750.89629684742</c:v>
                </c:pt>
                <c:pt idx="7">
                  <c:v>22105.07183544798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12787.2</c:v>
                </c:pt>
                <c:pt idx="6">
                  <c:v>2337.417029754996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10312.21410899218</c:v>
                </c:pt>
                <c:pt idx="5">
                  <c:v>6917.771287193746</c:v>
                </c:pt>
                <c:pt idx="6">
                  <c:v>34825.32846539532</c:v>
                </c:pt>
                <c:pt idx="7">
                  <c:v>109032.0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18066.3978338496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461448"/>
        <c:axId val="-199245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61448"/>
        <c:axId val="-1992458104"/>
      </c:lineChart>
      <c:catAx>
        <c:axId val="-19924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5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5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6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861032"/>
        <c:axId val="-19918578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61032"/>
        <c:axId val="-1991857800"/>
      </c:lineChart>
      <c:catAx>
        <c:axId val="-199186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5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85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6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652808"/>
        <c:axId val="-19936495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652808"/>
        <c:axId val="-1993649528"/>
      </c:lineChart>
      <c:catAx>
        <c:axId val="-1993652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64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5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0.460560872542633</c:v>
                </c:pt>
                <c:pt idx="2">
                  <c:v>0.460560872542633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0.270301918943167</c:v>
                </c:pt>
                <c:pt idx="2">
                  <c:v>0.243759996215781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-0.134312708956096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67864"/>
        <c:axId val="-1993564488"/>
      </c:barChart>
      <c:catAx>
        <c:axId val="-199356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6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0.0657626992004156</c:v>
                </c:pt>
                <c:pt idx="2">
                  <c:v>0.0116893935149573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0.395366407419931</c:v>
                </c:pt>
                <c:pt idx="2">
                  <c:v>0.395366407419931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05912"/>
        <c:axId val="-1993502504"/>
      </c:barChart>
      <c:catAx>
        <c:axId val="-19935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0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0.550174073946432</c:v>
                </c:pt>
                <c:pt idx="2">
                  <c:v>0.577041258543059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422360"/>
        <c:axId val="-1992418824"/>
      </c:barChart>
      <c:catAx>
        <c:axId val="-19924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1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1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2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0.259990508131891</c:v>
                </c:pt>
                <c:pt idx="2">
                  <c:v>0.251061006405549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-0.0700735606106675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358696"/>
        <c:axId val="-1992355384"/>
      </c:barChart>
      <c:catAx>
        <c:axId val="-199235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5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0.0218147537599434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0.0963176848336507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0.000139925472915757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-5.81913327847301E-5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0.000254044251336322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0.0104535852917921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0.043861201948295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0.00389123589499402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0.000474473805948858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0.0450157038046516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0.00156071405860777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0.0141890389872586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0.217867179161893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0.399965594467274</c:v>
                </c:pt>
                <c:pt idx="2" formatCode="0.0%">
                  <c:v>0.229219032051653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077976"/>
        <c:axId val="-1995081272"/>
      </c:barChart>
      <c:catAx>
        <c:axId val="-19950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8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8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985304"/>
        <c:axId val="-1992988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985304"/>
        <c:axId val="-1992988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985304"/>
        <c:axId val="-1992988744"/>
      </c:scatterChart>
      <c:catAx>
        <c:axId val="-1992985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298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5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394600"/>
        <c:axId val="-1993391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394600"/>
        <c:axId val="-1993391224"/>
      </c:lineChart>
      <c:catAx>
        <c:axId val="-199339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1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39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4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0360"/>
        <c:axId val="-19941437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7320"/>
        <c:axId val="-1994150216"/>
      </c:scatterChart>
      <c:valAx>
        <c:axId val="-1994140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3704"/>
        <c:crosses val="autoZero"/>
        <c:crossBetween val="midCat"/>
      </c:valAx>
      <c:valAx>
        <c:axId val="-199414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0360"/>
        <c:crosses val="autoZero"/>
        <c:crossBetween val="midCat"/>
      </c:valAx>
      <c:valAx>
        <c:axId val="-1994147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150216"/>
        <c:crosses val="autoZero"/>
        <c:crossBetween val="midCat"/>
      </c:valAx>
      <c:valAx>
        <c:axId val="-1994150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73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240248"/>
        <c:axId val="-1994246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240248"/>
        <c:axId val="-1994246008"/>
      </c:lineChart>
      <c:catAx>
        <c:axId val="-199424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6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246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02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0.0162249457037882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0.223237624791224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-0.000220512018685314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0.00202845729837265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0.00094459504043622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0.0416742782207636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-0.000148091406173233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0.107833516209159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0.00640670101874627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0.130669077518254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-1.0777649328585E-5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0.0463956149527213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0.000784097050624277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0.0343766037099012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0.00769670861823451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0.234414301748329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0.35800615594754</c:v>
                </c:pt>
                <c:pt idx="2" formatCode="0.0%">
                  <c:v>0.07587595837898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391512"/>
        <c:axId val="-1996394872"/>
      </c:barChart>
      <c:catAx>
        <c:axId val="-19963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39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0.00191444849359485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-0.000756214881920829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0.000745218409927173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0.415997112136579</c:v>
                </c:pt>
                <c:pt idx="2" formatCode="0.0%">
                  <c:v>0.401709486954922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953880"/>
        <c:axId val="-2136834648"/>
      </c:barChart>
      <c:catAx>
        <c:axId val="-19939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3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3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-1.529697098978333</c:v>
                </c:pt>
                <c:pt idx="1">
                  <c:v>-1.443865888628161</c:v>
                </c:pt>
                <c:pt idx="2">
                  <c:v>-1.481924058784567</c:v>
                </c:pt>
                <c:pt idx="3">
                  <c:v>6.031118981331514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156920"/>
        <c:axId val="-1995160312"/>
      </c:barChart>
      <c:catAx>
        <c:axId val="-199515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60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16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5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0.26817299513468</c:v>
                </c:pt>
                <c:pt idx="1">
                  <c:v>0.622438532477976</c:v>
                </c:pt>
                <c:pt idx="2">
                  <c:v>0.616070759227664</c:v>
                </c:pt>
                <c:pt idx="3">
                  <c:v>0.583646475292422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438904"/>
        <c:axId val="-1996432840"/>
      </c:barChart>
      <c:catAx>
        <c:axId val="-1996438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2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643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0.0148340325567615</c:v>
                </c:pt>
                <c:pt idx="1">
                  <c:v>0.0148340325567615</c:v>
                </c:pt>
                <c:pt idx="2">
                  <c:v>0.0287954749631253</c:v>
                </c:pt>
                <c:pt idx="3">
                  <c:v>0.0287954749631253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0.385270739334603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0.000559701891663027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-0.000255837747473503</c:v>
                </c:pt>
                <c:pt idx="1">
                  <c:v>2.30724163345821E-5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0.000680838593581343</c:v>
                </c:pt>
                <c:pt idx="3">
                  <c:v>0.000335338411763945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0.0418143411671682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0.043861201948295</c:v>
                </c:pt>
                <c:pt idx="1">
                  <c:v>0.043861201948295</c:v>
                </c:pt>
                <c:pt idx="2">
                  <c:v>0.043861201948295</c:v>
                </c:pt>
                <c:pt idx="3">
                  <c:v>0.043861201948295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0.0155649435799761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0.217867179161893</c:v>
                </c:pt>
                <c:pt idx="1">
                  <c:v>0.217867179161893</c:v>
                </c:pt>
                <c:pt idx="2">
                  <c:v>0.217867179161893</c:v>
                </c:pt>
                <c:pt idx="3">
                  <c:v>0.217867179161893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0.0494786503188784</c:v>
                </c:pt>
                <c:pt idx="1">
                  <c:v>0.590177855881838</c:v>
                </c:pt>
                <c:pt idx="2">
                  <c:v>0.575558647298227</c:v>
                </c:pt>
                <c:pt idx="3">
                  <c:v>0.476590075631077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310504"/>
        <c:axId val="-1995313896"/>
      </c:barChart>
      <c:catAx>
        <c:axId val="-199531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3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31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0.011032963078576</c:v>
                </c:pt>
                <c:pt idx="1">
                  <c:v>0.011032963078576</c:v>
                </c:pt>
                <c:pt idx="2">
                  <c:v>0.0214169283290004</c:v>
                </c:pt>
                <c:pt idx="3">
                  <c:v>0.0214169283290004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0.0326437910849335</c:v>
                </c:pt>
                <c:pt idx="1">
                  <c:v>0.0582237661175913</c:v>
                </c:pt>
                <c:pt idx="2">
                  <c:v>0.0224657761308086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0.257199613622875</c:v>
                </c:pt>
                <c:pt idx="1">
                  <c:v>0.458743597217323</c:v>
                </c:pt>
                <c:pt idx="2">
                  <c:v>0.177007288324697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-0.000882048074741254</c:v>
                </c:pt>
                <c:pt idx="1">
                  <c:v>-0.000453142595366528</c:v>
                </c:pt>
                <c:pt idx="2">
                  <c:v>0.000453142595366528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0.00233705422139242</c:v>
                </c:pt>
                <c:pt idx="1">
                  <c:v>0.00416839141129307</c:v>
                </c:pt>
                <c:pt idx="2">
                  <c:v>0.00160838356080511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0.00253151470836907</c:v>
                </c:pt>
                <c:pt idx="3">
                  <c:v>0.00124686545337581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0.166697112883054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-0.000592365624692933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0.107833516209159</c:v>
                </c:pt>
                <c:pt idx="1">
                  <c:v>0.107833516209159</c:v>
                </c:pt>
                <c:pt idx="2">
                  <c:v>0.107833516209159</c:v>
                </c:pt>
                <c:pt idx="3">
                  <c:v>0.107833516209159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0.0256268040749851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0.153719102792474</c:v>
                </c:pt>
                <c:pt idx="1">
                  <c:v>0.092252368727887</c:v>
                </c:pt>
                <c:pt idx="2">
                  <c:v>0.12298573576018</c:v>
                </c:pt>
                <c:pt idx="3">
                  <c:v>0.153719102792474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0.015393417236469</c:v>
                </c:pt>
                <c:pt idx="3">
                  <c:v>0.015393417236469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0.234414301748329</c:v>
                </c:pt>
                <c:pt idx="1">
                  <c:v>0.234414301748329</c:v>
                </c:pt>
                <c:pt idx="2">
                  <c:v>0.234414301748329</c:v>
                </c:pt>
                <c:pt idx="3">
                  <c:v>0.234414301748329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0.00062798872404668</c:v>
                </c:pt>
                <c:pt idx="1">
                  <c:v>-2.22044604925031E-16</c:v>
                </c:pt>
                <c:pt idx="2">
                  <c:v>0.259513391686915</c:v>
                </c:pt>
                <c:pt idx="3">
                  <c:v>0.232038190521026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230232"/>
        <c:axId val="-2036233656"/>
      </c:barChart>
      <c:catAx>
        <c:axId val="-203623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623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821000"/>
        <c:axId val="-1992817976"/>
      </c:barChart>
      <c:catAx>
        <c:axId val="-19928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81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2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3275.3287507154064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174.61003010910653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1.9144484935948551E-3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1.9144484935948551E-3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-7.5621488192082875E-4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-7.5621488192082875E-4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7.452184099271729E-4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7.452184099271729E-4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69314.653444724128</v>
      </c>
      <c r="T23" s="179">
        <f>SUM(T7:T22)</f>
        <v>68413.301668486223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1.0281839700809079</v>
      </c>
      <c r="J30" s="229">
        <f>IF(I$32&lt;=1,I30,1-SUM(J6:J29))</f>
        <v>0.40170948695492159</v>
      </c>
      <c r="K30" s="22">
        <f t="shared" si="4"/>
        <v>0.65941317907845587</v>
      </c>
      <c r="L30" s="22">
        <f>IF(L124=L119,0,IF(K30="",0,(L119-L124)/(B119-B124)*K30))</f>
        <v>0.41599711213657919</v>
      </c>
      <c r="M30" s="175">
        <f t="shared" si="6"/>
        <v>0.40170948695492159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1.6068379478196864</v>
      </c>
      <c r="Z30" s="122">
        <f>IF($Y30=0,0,AA30/($Y$30))</f>
        <v>0.16689486049203833</v>
      </c>
      <c r="AA30" s="187">
        <f>IF(AA79*4/$I$83+SUM(AA6:AA29)&lt;1,AA79*4/$I$83,1-SUM(AA6:AA29))</f>
        <v>0.26817299513467974</v>
      </c>
      <c r="AB30" s="122">
        <f>IF($Y30=0,0,AC30/($Y$30))</f>
        <v>0.38736857896750621</v>
      </c>
      <c r="AC30" s="187">
        <f>IF(AC79*4/$I$83+SUM(AC6:AC29)&lt;1,AC79*4/$I$83,1-SUM(AC6:AC29))</f>
        <v>0.62243853247797576</v>
      </c>
      <c r="AD30" s="122">
        <f>IF($Y30=0,0,AE30/($Y$30))</f>
        <v>0.38340565709417618</v>
      </c>
      <c r="AE30" s="187">
        <f>IF(AE79*4/$I$83+SUM(AE6:AE29)&lt;1,AE79*4/$I$83,1-SUM(AE6:AE29))</f>
        <v>0.61607075922766441</v>
      </c>
      <c r="AF30" s="122">
        <f>IF($Y30=0,0,AG30/($Y$30))</f>
        <v>0.36322671871446011</v>
      </c>
      <c r="AG30" s="187">
        <f>IF(AG79*4/$I$83+SUM(AG6:AG29)&lt;1,AG79*4/$I$83,1-SUM(AG6:AG29))</f>
        <v>0.58364647529242153</v>
      </c>
      <c r="AH30" s="123">
        <f t="shared" si="12"/>
        <v>1.3008958152681807</v>
      </c>
      <c r="AI30" s="183">
        <f t="shared" si="13"/>
        <v>0.52258219053318533</v>
      </c>
      <c r="AJ30" s="120">
        <f t="shared" si="14"/>
        <v>0.44530576380632775</v>
      </c>
      <c r="AK30" s="119">
        <f t="shared" si="15"/>
        <v>0.59985861726004297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-3.2602244996390528E-2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2560.3521914896846</v>
      </c>
      <c r="T31" s="232">
        <f>IF(T25&gt;T$23,T25-T$23,0)</f>
        <v>3461.7039677275898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1.6282499850271748</v>
      </c>
      <c r="J32" s="17"/>
      <c r="L32" s="22">
        <f>SUM(L6:L30)</f>
        <v>1.0326022449963905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43482.752191489679</v>
      </c>
      <c r="T32" s="232">
        <f t="shared" si="24"/>
        <v>44384.103967727584</v>
      </c>
      <c r="V32" s="56"/>
      <c r="W32" s="110"/>
      <c r="X32" s="118"/>
      <c r="Y32" s="115">
        <f>SUM(Y6:Y31)</f>
        <v>3.516509185686945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4.7927862000509448E-2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3461.7039677275861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53.316039727971464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1.0792502121003921E-3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13.329009931992866</v>
      </c>
      <c r="AB52" s="156">
        <f>Poor!AB57</f>
        <v>0.25</v>
      </c>
      <c r="AC52" s="147">
        <f t="shared" si="41"/>
        <v>13.329009931992866</v>
      </c>
      <c r="AD52" s="156">
        <f>Poor!AD57</f>
        <v>0.25</v>
      </c>
      <c r="AE52" s="147">
        <f t="shared" si="42"/>
        <v>13.329009931992866</v>
      </c>
      <c r="AF52" s="122">
        <f t="shared" si="29"/>
        <v>0.25</v>
      </c>
      <c r="AG52" s="147">
        <f t="shared" si="36"/>
        <v>13.329009931992866</v>
      </c>
      <c r="AH52" s="123">
        <f t="shared" si="37"/>
        <v>1</v>
      </c>
      <c r="AI52" s="112">
        <f t="shared" si="37"/>
        <v>53.316039727971464</v>
      </c>
      <c r="AJ52" s="148">
        <f t="shared" si="38"/>
        <v>26.658019863985732</v>
      </c>
      <c r="AK52" s="147">
        <f t="shared" si="39"/>
        <v>26.658019863985732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121.29399038113507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2.4552942325283917E-3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56702.239999999998</v>
      </c>
      <c r="J65" s="39">
        <f>SUM(J37:J64)</f>
        <v>56876.850030109112</v>
      </c>
      <c r="K65" s="40">
        <f>SUM(K37:K64)</f>
        <v>1</v>
      </c>
      <c r="L65" s="22">
        <f>SUM(L37:L64)</f>
        <v>1.1704953341025486</v>
      </c>
      <c r="M65" s="24">
        <f>SUM(M37:M64)</f>
        <v>1.1513299332019415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12991.169009931995</v>
      </c>
      <c r="AB65" s="137"/>
      <c r="AC65" s="153">
        <f>SUM(AC37:AC64)</f>
        <v>12326.829009931995</v>
      </c>
      <c r="AD65" s="137"/>
      <c r="AE65" s="153">
        <f>SUM(AE37:AE64)</f>
        <v>12409.429009931995</v>
      </c>
      <c r="AF65" s="137"/>
      <c r="AG65" s="153">
        <f>SUM(AG37:AG64)</f>
        <v>12368.129009931994</v>
      </c>
      <c r="AH65" s="137"/>
      <c r="AI65" s="153">
        <f>SUM(AI37:AI64)</f>
        <v>50095.556039727977</v>
      </c>
      <c r="AJ65" s="153">
        <f>SUM(AJ37:AJ64)</f>
        <v>25317.99801986399</v>
      </c>
      <c r="AK65" s="153">
        <f>SUM(AK37:AK64)</f>
        <v>24777.558019863991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31744.884112937154</v>
      </c>
      <c r="J74" s="51">
        <f t="shared" si="44"/>
        <v>12402.664777440512</v>
      </c>
      <c r="K74" s="40">
        <f>B74/B$76</f>
        <v>0.24977033456699416</v>
      </c>
      <c r="L74" s="22">
        <f t="shared" si="45"/>
        <v>0.2599905081318914</v>
      </c>
      <c r="M74" s="24">
        <f>J74/B$76</f>
        <v>0.25106100640554874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2069.9410077604521</v>
      </c>
      <c r="AB74" s="156"/>
      <c r="AC74" s="147">
        <f>AC30*$I$83/4</f>
        <v>4804.4026302474722</v>
      </c>
      <c r="AD74" s="156"/>
      <c r="AE74" s="147">
        <f>AE30*$I$83/4</f>
        <v>4755.2518387133741</v>
      </c>
      <c r="AF74" s="156"/>
      <c r="AG74" s="147">
        <f>AG30*$I$83/4</f>
        <v>4504.9792304251268</v>
      </c>
      <c r="AH74" s="155"/>
      <c r="AI74" s="147">
        <f>SUM(AA74,AC74,AE74,AG74)</f>
        <v>16134.574707146425</v>
      </c>
      <c r="AJ74" s="148">
        <f>(AA74+AC74)</f>
        <v>6874.3436380079238</v>
      </c>
      <c r="AK74" s="147">
        <f>(AE74+AG74)</f>
        <v>9260.231069138501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6305.6998381469857</v>
      </c>
      <c r="AB75" s="158"/>
      <c r="AC75" s="149">
        <f>AA75+AC65-SUM(AC70,AC74)</f>
        <v>7588.7872460657982</v>
      </c>
      <c r="AD75" s="158"/>
      <c r="AE75" s="149">
        <f>AC75+AE65-SUM(AE70,AE74)</f>
        <v>9003.6254455187081</v>
      </c>
      <c r="AF75" s="158"/>
      <c r="AG75" s="149">
        <f>IF(SUM(AG6:AG29)+((AG65-AG70-$J$75)*4/I$83)&lt;1,0,AG65-AG70-$J$75-(1-SUM(AG6:AG29))*I$83/4)</f>
        <v>1623.8108077411553</v>
      </c>
      <c r="AH75" s="134"/>
      <c r="AI75" s="149">
        <f>AI76-SUM(AI70,AI74)</f>
        <v>9003.6254455187081</v>
      </c>
      <c r="AJ75" s="151">
        <f>AJ76-SUM(AJ70,AJ74)</f>
        <v>5964.9764383246438</v>
      </c>
      <c r="AK75" s="149">
        <f>AJ75+AK76-SUM(AK70,AK74)</f>
        <v>9003.6254455187081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56702.239999999998</v>
      </c>
      <c r="J76" s="51">
        <f t="shared" si="44"/>
        <v>56876.850030109104</v>
      </c>
      <c r="K76" s="40">
        <f>SUM(K70:K75)</f>
        <v>1.7392141942015522</v>
      </c>
      <c r="L76" s="22">
        <f>SUM(L70:L75)</f>
        <v>1.2303329955389515</v>
      </c>
      <c r="M76" s="24">
        <f>SUM(M70:M75)</f>
        <v>1.221403493812609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12991.169009931995</v>
      </c>
      <c r="AB76" s="137"/>
      <c r="AC76" s="153">
        <f>AC65</f>
        <v>12326.829009931995</v>
      </c>
      <c r="AD76" s="137"/>
      <c r="AE76" s="153">
        <f>AE65</f>
        <v>12409.429009931995</v>
      </c>
      <c r="AF76" s="137"/>
      <c r="AG76" s="153">
        <f>AG65</f>
        <v>12368.129009931994</v>
      </c>
      <c r="AH76" s="137"/>
      <c r="AI76" s="153">
        <f>SUM(AA76,AC76,AE76,AG76)</f>
        <v>50095.556039727984</v>
      </c>
      <c r="AJ76" s="154">
        <f>SUM(AA76,AC76)</f>
        <v>25317.99801986399</v>
      </c>
      <c r="AK76" s="154">
        <f>SUM(AE76,AG76)</f>
        <v>24777.558019863987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3461.7039677275866</v>
      </c>
      <c r="K77" s="40"/>
      <c r="L77" s="22">
        <f>-(L131*G$37*F$9/F$7)/B$130</f>
        <v>-0.4651430807743433</v>
      </c>
      <c r="M77" s="24">
        <f>-J77/B$76</f>
        <v>-7.0073560610667524E-2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1623.8108077411553</v>
      </c>
      <c r="AB78" s="112"/>
      <c r="AC78" s="112">
        <f>IF(AA75&lt;0,0,AA75)</f>
        <v>6305.6998381469857</v>
      </c>
      <c r="AD78" s="112"/>
      <c r="AE78" s="112">
        <f>AC75</f>
        <v>7588.7872460657982</v>
      </c>
      <c r="AF78" s="112"/>
      <c r="AG78" s="112">
        <f>AE75</f>
        <v>9003.6254455187081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8375.6408459074373</v>
      </c>
      <c r="AB79" s="112"/>
      <c r="AC79" s="112">
        <f>AA79-AA74+AC65-AC70</f>
        <v>12393.18987631327</v>
      </c>
      <c r="AD79" s="112"/>
      <c r="AE79" s="112">
        <f>AC79-AC74+AE65-AE70</f>
        <v>13758.877284232083</v>
      </c>
      <c r="AF79" s="112"/>
      <c r="AG79" s="112">
        <f>AE79-AE74+AG65-AG70</f>
        <v>15132.415483684992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1.7268513944316641E-3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1.7268513944316641E-3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3.9285869223320358E-3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3.9285869223320358E-3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1.8365269196847067</v>
      </c>
      <c r="J119" s="24">
        <f>SUM(J91:J118)</f>
        <v>1.8421823580014705</v>
      </c>
      <c r="K119" s="22">
        <f>SUM(K91:K118)</f>
        <v>2.6400780549925003</v>
      </c>
      <c r="L119" s="22">
        <f>SUM(L91:L118)</f>
        <v>1.8728479060819714</v>
      </c>
      <c r="M119" s="57">
        <f t="shared" si="49"/>
        <v>1.8421823580014705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1.0281839700809079</v>
      </c>
      <c r="J128" s="226">
        <f>(J30)</f>
        <v>0.40170948695492159</v>
      </c>
      <c r="K128" s="29">
        <f>(B128)</f>
        <v>0.65941317907845587</v>
      </c>
      <c r="L128" s="29">
        <f>IF(L124=L119,0,(L119-L124)/(B119-B124)*K128)</f>
        <v>0.41599711213657919</v>
      </c>
      <c r="M128" s="238">
        <f t="shared" si="66"/>
        <v>0.40170948695492159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1.8365269196847067</v>
      </c>
      <c r="J130" s="226">
        <f>(J119)</f>
        <v>1.8421823580014705</v>
      </c>
      <c r="K130" s="29">
        <f>(B130)</f>
        <v>2.6400780549925003</v>
      </c>
      <c r="L130" s="29">
        <f>(L119)</f>
        <v>1.8728479060819714</v>
      </c>
      <c r="M130" s="238">
        <f t="shared" si="66"/>
        <v>1.8421823580014705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0.11212101188085466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3693.7273580226442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12787.200000000003</v>
      </c>
      <c r="T12" s="220">
        <f>IF($B$81=0,0,(SUMIF($N$6:$N$28,$U12,M$6:M$28)+SUMIF($N$91:$N$118,$U12,M$91:M$118))*$I$83*Poor!$B$81/$B$81)</f>
        <v>12787.200000000003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6917.7712871937456</v>
      </c>
      <c r="T13" s="220">
        <f>IF($B$81=0,0,(SUMIF($N$6:$N$28,$U13,M$6:M$28)+SUMIF($N$91:$N$118,$U13,M$91:M$118))*$I$83*Poor!$B$81/$B$81)</f>
        <v>6917.7712871937456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-1.4230439852266948E-4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-1.4230439852266948E-4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-5.6921759409067792E-4</v>
      </c>
      <c r="Z18" s="116">
        <v>1.2941</v>
      </c>
      <c r="AA18" s="121">
        <f t="shared" ref="AA18:AA20" si="25">$M18*Z18*4</f>
        <v>-7.3662448851274627E-4</v>
      </c>
      <c r="AB18" s="116">
        <v>1.1765000000000001</v>
      </c>
      <c r="AC18" s="121">
        <f t="shared" ref="AC18:AC20" si="26">$M18*AB18*4</f>
        <v>-6.6968449944768268E-4</v>
      </c>
      <c r="AD18" s="116">
        <v>1.2353000000000001</v>
      </c>
      <c r="AE18" s="121">
        <f t="shared" ref="AE18:AE20" si="27">$M18*AD18*4</f>
        <v>-7.0315449398021448E-4</v>
      </c>
      <c r="AF18" s="122">
        <f t="shared" ref="AF18:AF20" si="28">1-SUM(Z18,AB18,AD18)</f>
        <v>-2.7059000000000002</v>
      </c>
      <c r="AG18" s="121">
        <f t="shared" ref="AG18:AG20" si="29">$M18*AF18*4</f>
        <v>1.5402458878499654E-3</v>
      </c>
      <c r="AH18" s="123">
        <f t="shared" ref="AH18:AH20" si="30">SUM(Z18,AB18,AD18,AF18)</f>
        <v>1</v>
      </c>
      <c r="AI18" s="183">
        <f t="shared" ref="AI18:AI20" si="31">SUM(AA18,AC18,AE18,AG18)/4</f>
        <v>-1.4230439852266951E-4</v>
      </c>
      <c r="AJ18" s="120">
        <f t="shared" ref="AJ18:AJ20" si="32">(AA18+AC18)/2</f>
        <v>-7.0315449398021448E-4</v>
      </c>
      <c r="AK18" s="119">
        <f t="shared" ref="AK18:AK20" si="33">(AE18+AG18)/2</f>
        <v>4.1854569693487546E-4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1.1823948786881014E-2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1.1823948786881014E-2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4.7295795147524057E-2</v>
      </c>
      <c r="Z19" s="116">
        <v>2.2940999999999998</v>
      </c>
      <c r="AA19" s="121">
        <f t="shared" si="25"/>
        <v>0.10850128364793493</v>
      </c>
      <c r="AB19" s="116">
        <v>2.1764999999999999</v>
      </c>
      <c r="AC19" s="121">
        <f t="shared" si="26"/>
        <v>0.1029392981385861</v>
      </c>
      <c r="AD19" s="116">
        <v>2.2353000000000001</v>
      </c>
      <c r="AE19" s="121">
        <f t="shared" si="27"/>
        <v>0.10572029089326053</v>
      </c>
      <c r="AF19" s="122">
        <f t="shared" si="28"/>
        <v>-5.7058999999999997</v>
      </c>
      <c r="AG19" s="121">
        <f t="shared" si="29"/>
        <v>-0.26986507753225752</v>
      </c>
      <c r="AH19" s="123">
        <f t="shared" si="30"/>
        <v>1</v>
      </c>
      <c r="AI19" s="183">
        <f t="shared" si="31"/>
        <v>1.1823948786881006E-2</v>
      </c>
      <c r="AJ19" s="120">
        <f t="shared" si="32"/>
        <v>0.10572029089326052</v>
      </c>
      <c r="AK19" s="119">
        <f t="shared" si="33"/>
        <v>-8.2072393319498504E-2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68985.981032974829</v>
      </c>
      <c r="T23" s="179">
        <f>SUM(T7:T22)</f>
        <v>65173.808804621782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0.92111408116996618</v>
      </c>
      <c r="J30" s="229">
        <f>IF(I$32&lt;=1,I30,1-SUM(J6:J29))</f>
        <v>0.39390798373511338</v>
      </c>
      <c r="K30" s="22">
        <f t="shared" si="4"/>
        <v>0.71440989937733512</v>
      </c>
      <c r="L30" s="22">
        <f>IF(L124=L119,0,IF(K30="",0,(L119-L124)/(B119-B124)*K30))</f>
        <v>0.43679884125195861</v>
      </c>
      <c r="M30" s="175">
        <f t="shared" si="6"/>
        <v>0.39390798373511338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1.5756319349404535</v>
      </c>
      <c r="Z30" s="122">
        <f>IF($Y30=0,0,AA30/($Y$30))</f>
        <v>-0.9708467219129725</v>
      </c>
      <c r="AA30" s="187">
        <f>IF(AA79*4/$I$83+SUM(AA6:AA29)&lt;1,AA79*4/$I$83,1-SUM(AA6:AA29))</f>
        <v>-1.5296970989783332</v>
      </c>
      <c r="AB30" s="122">
        <f>IF($Y30=0,0,AC30/($Y$30))</f>
        <v>-0.91637257192475485</v>
      </c>
      <c r="AC30" s="187">
        <f>IF(AC79*4/$I$83+SUM(AC6:AC29)&lt;1,AC79*4/$I$83,1-SUM(AC6:AC29))</f>
        <v>-1.4438658886281615</v>
      </c>
      <c r="AD30" s="122">
        <f>IF($Y30=0,0,AE30/($Y$30))</f>
        <v>-0.9405267981196207</v>
      </c>
      <c r="AE30" s="187">
        <f>IF(AE79*4/$I$83+SUM(AE6:AE29)&lt;1,AE79*4/$I$83,1-SUM(AE6:AE29))</f>
        <v>-1.4819240587845672</v>
      </c>
      <c r="AF30" s="122">
        <f>IF($Y30=0,0,AG30/($Y$30))</f>
        <v>3.8277460919573478</v>
      </c>
      <c r="AG30" s="187">
        <f>IF(AG79*4/$I$83+SUM(AG6:AG29)&lt;1,AG79*4/$I$83,1-SUM(AG6:AG29))</f>
        <v>6.0311189813315149</v>
      </c>
      <c r="AH30" s="123">
        <f t="shared" si="12"/>
        <v>0.99999999999999956</v>
      </c>
      <c r="AI30" s="183">
        <f t="shared" si="13"/>
        <v>0.39390798373511338</v>
      </c>
      <c r="AJ30" s="120">
        <f t="shared" si="14"/>
        <v>-1.4867814938032473</v>
      </c>
      <c r="AK30" s="119">
        <f t="shared" si="15"/>
        <v>2.2745974612734736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-7.5877786982255557E-2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2889.0246032389841</v>
      </c>
      <c r="T31" s="232">
        <f>IF(T25&gt;T$23,T25-T$23,0)</f>
        <v>6701.1968315920312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1.5298662961349128</v>
      </c>
      <c r="J32" s="17"/>
      <c r="L32" s="22">
        <f>SUM(L6:L30)</f>
        <v>1.0758777869822556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43811.424603238978</v>
      </c>
      <c r="T32" s="232">
        <f t="shared" si="50"/>
        <v>47623.596831592025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0.99999999999999933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4.753558972322023E-2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6701.196831592024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>E10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>E11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E14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75">
        <f>E15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7"/>
        <v>0</v>
      </c>
      <c r="E50" s="75">
        <f>E16</f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5.0508593475973342E-3</v>
      </c>
      <c r="L50" s="22">
        <f t="shared" ref="L50:L64" si="72">(K50*H50)</f>
        <v>7.0712030866362675E-3</v>
      </c>
      <c r="M50" s="24">
        <f t="shared" ref="M50:M64" si="73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7"/>
        <v>0</v>
      </c>
      <c r="E52" s="75">
        <f>E18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0</v>
      </c>
      <c r="J52" s="38">
        <f t="shared" si="70"/>
        <v>0</v>
      </c>
      <c r="K52" s="40">
        <f t="shared" si="71"/>
        <v>4.6099113093150271E-3</v>
      </c>
      <c r="L52" s="22">
        <f t="shared" si="72"/>
        <v>6.4538758330410376E-3</v>
      </c>
      <c r="M52" s="24">
        <f t="shared" si="73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2.8060329708874078E-3</v>
      </c>
      <c r="L53" s="22">
        <f t="shared" si="72"/>
        <v>3.9284461592423705E-3</v>
      </c>
      <c r="M53" s="24">
        <f t="shared" si="73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75">
        <f>E20</f>
        <v>1</v>
      </c>
      <c r="F54" s="26">
        <v>1.4</v>
      </c>
      <c r="G54" s="22">
        <f t="shared" si="59"/>
        <v>1.65</v>
      </c>
      <c r="H54" s="24">
        <f t="shared" si="68"/>
        <v>1.4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7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12787.2</v>
      </c>
      <c r="J55" s="38">
        <f t="shared" si="70"/>
        <v>12787.200000000003</v>
      </c>
      <c r="K55" s="40">
        <f t="shared" si="71"/>
        <v>0.23089642731873528</v>
      </c>
      <c r="L55" s="22">
        <f t="shared" si="72"/>
        <v>0.25629503432379619</v>
      </c>
      <c r="M55" s="24">
        <f t="shared" si="73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7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3996.0000000000005</v>
      </c>
      <c r="J57" s="38">
        <f t="shared" si="70"/>
        <v>3996.0000000000009</v>
      </c>
      <c r="K57" s="40">
        <f t="shared" si="71"/>
        <v>7.2155133537104774E-2</v>
      </c>
      <c r="L57" s="22">
        <f t="shared" si="72"/>
        <v>8.0092198226186309E-2</v>
      </c>
      <c r="M57" s="24">
        <f t="shared" si="73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7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33417.599999999999</v>
      </c>
      <c r="J61" s="38">
        <f t="shared" si="70"/>
        <v>33417.600000000006</v>
      </c>
      <c r="K61" s="40">
        <f t="shared" si="71"/>
        <v>0.56762038382522428</v>
      </c>
      <c r="L61" s="22">
        <f t="shared" si="72"/>
        <v>0.66979205291376465</v>
      </c>
      <c r="M61" s="24">
        <f t="shared" si="73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4"/>
        <v>1</v>
      </c>
      <c r="AI61" s="112">
        <f t="shared" si="74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8"/>
        <v>1.1100000000000001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53396.487999999998</v>
      </c>
      <c r="J65" s="39">
        <f>SUM(J37:J64)</f>
        <v>53396.488000000012</v>
      </c>
      <c r="K65" s="40">
        <f>SUM(K37:K64)</f>
        <v>1</v>
      </c>
      <c r="L65" s="22">
        <f>SUM(L37:L64)</f>
        <v>1.1485957207997195</v>
      </c>
      <c r="M65" s="24">
        <f>SUM(M37:M64)</f>
        <v>1.0702307561256705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12679.000000000004</v>
      </c>
      <c r="AB65" s="137"/>
      <c r="AC65" s="153">
        <f>SUM(AC37:AC64)</f>
        <v>12637.700000000003</v>
      </c>
      <c r="AD65" s="137"/>
      <c r="AE65" s="153">
        <f>SUM(AE37:AE64)</f>
        <v>12720.300000000003</v>
      </c>
      <c r="AF65" s="137"/>
      <c r="AG65" s="153">
        <f>SUM(AG37:AG64)</f>
        <v>15359.488000000001</v>
      </c>
      <c r="AH65" s="137"/>
      <c r="AI65" s="153">
        <f>SUM(AI37:AI64)</f>
        <v>53396.488000000012</v>
      </c>
      <c r="AJ65" s="153">
        <f>SUM(AJ37:AJ64)</f>
        <v>25316.700000000004</v>
      </c>
      <c r="AK65" s="153">
        <f>SUM(AK37:AK64)</f>
        <v>28079.788000000004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5">J124*I$83</f>
        <v>24957.355887062851</v>
      </c>
      <c r="K70" s="40">
        <f>B70/B$76</f>
        <v>0.35730185451668017</v>
      </c>
      <c r="L70" s="22">
        <f t="shared" ref="L70:L75" si="76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22978.533333333333</v>
      </c>
      <c r="J71" s="51">
        <f t="shared" si="75"/>
        <v>22978.533333333333</v>
      </c>
      <c r="K71" s="40">
        <f t="shared" ref="K71:K72" si="78">B71/B$76</f>
        <v>0.39030582418867238</v>
      </c>
      <c r="L71" s="22">
        <f t="shared" si="76"/>
        <v>0.46056087254263323</v>
      </c>
      <c r="M71" s="24">
        <f t="shared" ref="M71:M72" si="79">J71/B$76</f>
        <v>0.46056087254263334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0.69509445307410933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5.1109886255449218E-2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28439.132112937157</v>
      </c>
      <c r="J74" s="51">
        <f t="shared" si="75"/>
        <v>12161.795611195847</v>
      </c>
      <c r="K74" s="40">
        <f>B74/B$76</f>
        <v>0.26793606253444902</v>
      </c>
      <c r="L74" s="22">
        <f t="shared" si="76"/>
        <v>0.2703019189431668</v>
      </c>
      <c r="M74" s="24">
        <f>J74/B$76</f>
        <v>0.24375999621578087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-11807.239401705063</v>
      </c>
      <c r="AB74" s="156"/>
      <c r="AC74" s="147">
        <f>AC30*$I$83/4</f>
        <v>-11144.735923454735</v>
      </c>
      <c r="AD74" s="156"/>
      <c r="AE74" s="147">
        <f>AE30*$I$83/4</f>
        <v>-11438.494685583286</v>
      </c>
      <c r="AF74" s="156"/>
      <c r="AG74" s="147">
        <f>AG30*$I$83/4</f>
        <v>46552.265621938925</v>
      </c>
      <c r="AH74" s="155"/>
      <c r="AI74" s="147">
        <f>SUM(AA74,AC74,AE74,AG74)</f>
        <v>12161.795611195841</v>
      </c>
      <c r="AJ74" s="148">
        <f>(AA74+AC74)</f>
        <v>-22951.975325159798</v>
      </c>
      <c r="AK74" s="147">
        <f>(AE74+AG74)</f>
        <v>35113.770936355635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18246.900429939353</v>
      </c>
      <c r="AB75" s="158"/>
      <c r="AC75" s="149">
        <f>AA75+AC65-SUM(AC70,AC74)</f>
        <v>35789.997381628375</v>
      </c>
      <c r="AD75" s="158"/>
      <c r="AE75" s="149">
        <f>AC75+AE65-SUM(AE70,AE74)</f>
        <v>53709.453095445948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16277.336501741316</v>
      </c>
      <c r="AJ75" s="151">
        <f>AJ76-SUM(AJ70,AJ74)</f>
        <v>35789.997381628375</v>
      </c>
      <c r="AK75" s="149">
        <f>AJ75+AK76-SUM(AK70,AK74)</f>
        <v>16277.336501741316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53396.488000000012</v>
      </c>
      <c r="J76" s="51">
        <f t="shared" si="75"/>
        <v>53396.488000000012</v>
      </c>
      <c r="K76" s="40">
        <f>SUM(K70:K75)</f>
        <v>1.7617480805693599</v>
      </c>
      <c r="L76" s="22">
        <f>SUM(L70:L75)</f>
        <v>1.2310853878091521</v>
      </c>
      <c r="M76" s="24">
        <f>SUM(M70:M75)</f>
        <v>1.2045434650817664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12679.000000000004</v>
      </c>
      <c r="AB76" s="137"/>
      <c r="AC76" s="153">
        <f>AC65</f>
        <v>12637.700000000003</v>
      </c>
      <c r="AD76" s="137"/>
      <c r="AE76" s="153">
        <f>AE65</f>
        <v>12720.300000000003</v>
      </c>
      <c r="AF76" s="137"/>
      <c r="AG76" s="153">
        <f>AG65</f>
        <v>15359.488000000001</v>
      </c>
      <c r="AH76" s="137"/>
      <c r="AI76" s="153">
        <f>SUM(AA76,AC76,AE76,AG76)</f>
        <v>53396.488000000012</v>
      </c>
      <c r="AJ76" s="154">
        <f>SUM(AA76,AC76)</f>
        <v>25316.700000000004</v>
      </c>
      <c r="AK76" s="154">
        <f>SUM(AE76,AG76)</f>
        <v>28079.788000000004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75"/>
        <v>6701.196831592024</v>
      </c>
      <c r="K77" s="40"/>
      <c r="L77" s="22">
        <f>-(L131*G$37*F$9/F$7)/B$130</f>
        <v>-0.46056087254263334</v>
      </c>
      <c r="M77" s="24">
        <f>-J77/B$76</f>
        <v>-0.13431270895609609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18246.900429939353</v>
      </c>
      <c r="AD78" s="112"/>
      <c r="AE78" s="112">
        <f>AC75</f>
        <v>35789.997381628375</v>
      </c>
      <c r="AF78" s="112"/>
      <c r="AG78" s="112">
        <f>AE75</f>
        <v>53709.453095445948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6439.6610282342908</v>
      </c>
      <c r="AB79" s="112"/>
      <c r="AC79" s="112">
        <f>AA79-AA74+AC65-AC70</f>
        <v>24645.261458173642</v>
      </c>
      <c r="AD79" s="112"/>
      <c r="AE79" s="112">
        <f>AC79-AC74+AE65-AE70</f>
        <v>42270.958409862666</v>
      </c>
      <c r="AF79" s="112"/>
      <c r="AG79" s="112">
        <f>AE79-AE74+AG65-AG70</f>
        <v>62829.602123680233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5">
        <f t="shared" si="80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 (hides): quantity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5">
        <f t="shared" ref="M92:M118" si="92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0.18704627826306652</v>
      </c>
      <c r="C93" s="60">
        <f t="shared" si="81"/>
        <v>0</v>
      </c>
      <c r="D93" s="24">
        <f t="shared" si="86"/>
        <v>0.18704627826306652</v>
      </c>
      <c r="H93" s="24">
        <f t="shared" si="87"/>
        <v>0.57212121212121214</v>
      </c>
      <c r="I93" s="22">
        <f t="shared" si="88"/>
        <v>0.10701314344262715</v>
      </c>
      <c r="J93" s="24">
        <f t="shared" si="89"/>
        <v>0.10701314344262715</v>
      </c>
      <c r="K93" s="22">
        <f t="shared" si="90"/>
        <v>0.18704627826306652</v>
      </c>
      <c r="L93" s="22">
        <f t="shared" si="91"/>
        <v>0.10701314344262715</v>
      </c>
      <c r="M93" s="225">
        <f t="shared" si="92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Goat sales - local: no. sold</v>
      </c>
      <c r="B94" s="60">
        <f t="shared" si="81"/>
        <v>3.5298304797930127E-2</v>
      </c>
      <c r="C94" s="60">
        <f t="shared" si="81"/>
        <v>-7.0596609595860255E-2</v>
      </c>
      <c r="D94" s="24">
        <f t="shared" si="86"/>
        <v>-3.5298304797930127E-2</v>
      </c>
      <c r="H94" s="24">
        <f t="shared" si="87"/>
        <v>0.57212121212121214</v>
      </c>
      <c r="I94" s="22">
        <f t="shared" si="88"/>
        <v>-2.0194908926815781E-2</v>
      </c>
      <c r="J94" s="24">
        <f t="shared" si="89"/>
        <v>-2.0194908926815781E-2</v>
      </c>
      <c r="K94" s="22">
        <f t="shared" si="90"/>
        <v>3.5298304797930127E-2</v>
      </c>
      <c r="L94" s="22">
        <f t="shared" si="91"/>
        <v>2.0194908926815781E-2</v>
      </c>
      <c r="M94" s="225">
        <f t="shared" si="92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Sheep sales - local: no. sold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Chicken sales: no. sold</v>
      </c>
      <c r="B96" s="60">
        <f t="shared" si="81"/>
        <v>7.4818511305226607E-3</v>
      </c>
      <c r="C96" s="60">
        <f t="shared" si="81"/>
        <v>0</v>
      </c>
      <c r="D96" s="24">
        <f t="shared" si="86"/>
        <v>7.4818511305226607E-3</v>
      </c>
      <c r="H96" s="24">
        <f t="shared" si="87"/>
        <v>0.7151515151515152</v>
      </c>
      <c r="I96" s="22">
        <f t="shared" si="88"/>
        <v>5.3506571721313578E-3</v>
      </c>
      <c r="J96" s="24">
        <f t="shared" si="89"/>
        <v>5.3506571721313578E-3</v>
      </c>
      <c r="K96" s="22">
        <f t="shared" si="90"/>
        <v>7.4818511305226607E-3</v>
      </c>
      <c r="L96" s="22">
        <f t="shared" si="91"/>
        <v>5.3506571721313578E-3</v>
      </c>
      <c r="M96" s="225">
        <f t="shared" si="92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Tomato</v>
      </c>
      <c r="B98" s="60">
        <f t="shared" si="81"/>
        <v>2.5652061018934837E-2</v>
      </c>
      <c r="C98" s="60">
        <f t="shared" si="81"/>
        <v>-2.5652061018934837E-2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2.5652061018934837E-2</v>
      </c>
      <c r="L98" s="22">
        <f t="shared" si="91"/>
        <v>2.1765385106975014E-2</v>
      </c>
      <c r="M98" s="225">
        <f t="shared" si="9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Onions</v>
      </c>
      <c r="B99" s="60">
        <f t="shared" si="81"/>
        <v>5.3441793789447578E-2</v>
      </c>
      <c r="C99" s="60">
        <f t="shared" si="81"/>
        <v>-4.5425524721030439E-2</v>
      </c>
      <c r="D99" s="24">
        <f t="shared" si="86"/>
        <v>8.0162690684171395E-3</v>
      </c>
      <c r="H99" s="24">
        <f t="shared" si="87"/>
        <v>0.84848484848484851</v>
      </c>
      <c r="I99" s="22">
        <f t="shared" si="88"/>
        <v>6.8016828459296942E-3</v>
      </c>
      <c r="J99" s="24">
        <f t="shared" si="89"/>
        <v>6.8016828459296942E-3</v>
      </c>
      <c r="K99" s="22">
        <f t="shared" si="90"/>
        <v>5.3441793789447578E-2</v>
      </c>
      <c r="L99" s="22">
        <f t="shared" si="91"/>
        <v>4.5344552306197945E-2</v>
      </c>
      <c r="M99" s="225">
        <f t="shared" si="92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Beetroot</v>
      </c>
      <c r="B100" s="60">
        <f t="shared" si="81"/>
        <v>2.6720896894723788E-3</v>
      </c>
      <c r="C100" s="60">
        <f t="shared" si="81"/>
        <v>2.6720896894723788E-3</v>
      </c>
      <c r="D100" s="24">
        <f t="shared" si="86"/>
        <v>5.3441793789447576E-3</v>
      </c>
      <c r="H100" s="24">
        <f t="shared" si="87"/>
        <v>0.84848484848484851</v>
      </c>
      <c r="I100" s="22">
        <f t="shared" si="88"/>
        <v>4.5344552306197947E-3</v>
      </c>
      <c r="J100" s="24">
        <f t="shared" si="89"/>
        <v>4.5344552306197947E-3</v>
      </c>
      <c r="K100" s="22">
        <f t="shared" si="90"/>
        <v>2.6720896894723788E-3</v>
      </c>
      <c r="L100" s="22">
        <f t="shared" si="91"/>
        <v>2.2672276153098973E-3</v>
      </c>
      <c r="M100" s="225">
        <f t="shared" si="92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Beans: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Chillies: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5">
        <f t="shared" si="9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Cabbage</v>
      </c>
      <c r="B104" s="60">
        <f t="shared" si="81"/>
        <v>1.346733203494079E-2</v>
      </c>
      <c r="C104" s="60">
        <f t="shared" si="81"/>
        <v>-1.346733203494079E-2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1.346733203494079E-2</v>
      </c>
      <c r="L104" s="22">
        <f t="shared" si="91"/>
        <v>1.1426827181161883E-2</v>
      </c>
      <c r="M104" s="225">
        <f t="shared" si="9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Groundnuts (dry): no. local meas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Spinach</v>
      </c>
      <c r="B106" s="60">
        <f t="shared" si="81"/>
        <v>1.2291612571572944E-2</v>
      </c>
      <c r="C106" s="60">
        <f t="shared" si="81"/>
        <v>-1.2291612571572944E-2</v>
      </c>
      <c r="D106" s="24">
        <f t="shared" si="86"/>
        <v>0</v>
      </c>
      <c r="H106" s="24">
        <f t="shared" si="87"/>
        <v>0.84848484848484851</v>
      </c>
      <c r="I106" s="22">
        <f t="shared" si="88"/>
        <v>0</v>
      </c>
      <c r="J106" s="24">
        <f t="shared" si="89"/>
        <v>0</v>
      </c>
      <c r="K106" s="22">
        <f t="shared" si="90"/>
        <v>1.2291612571572944E-2</v>
      </c>
      <c r="L106" s="22">
        <f t="shared" si="91"/>
        <v>1.0429247030425529E-2</v>
      </c>
      <c r="M106" s="225">
        <f t="shared" si="9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Other crop: Potatoes</v>
      </c>
      <c r="B107" s="60">
        <f t="shared" si="81"/>
        <v>7.4818511305226607E-3</v>
      </c>
      <c r="C107" s="60">
        <f t="shared" si="81"/>
        <v>-7.4818511305226607E-3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7.4818511305226607E-3</v>
      </c>
      <c r="L107" s="22">
        <f t="shared" si="91"/>
        <v>6.3482373228677122E-3</v>
      </c>
      <c r="M107" s="225">
        <f t="shared" si="9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Other crop: pumpkin / butternut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0.84848484848484851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0.61564946445443613</v>
      </c>
      <c r="C109" s="60">
        <f t="shared" si="81"/>
        <v>0</v>
      </c>
      <c r="D109" s="24">
        <f t="shared" si="86"/>
        <v>0.61564946445443613</v>
      </c>
      <c r="H109" s="24">
        <f t="shared" si="87"/>
        <v>0.67272727272727284</v>
      </c>
      <c r="I109" s="22">
        <f t="shared" si="88"/>
        <v>0.41416418517843895</v>
      </c>
      <c r="J109" s="24">
        <f t="shared" si="89"/>
        <v>0.41416418517843895</v>
      </c>
      <c r="K109" s="22">
        <f t="shared" si="90"/>
        <v>0.61564946445443613</v>
      </c>
      <c r="L109" s="22">
        <f t="shared" si="91"/>
        <v>0.41416418517843895</v>
      </c>
      <c r="M109" s="225">
        <f t="shared" si="92"/>
        <v>0.41416418517843895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0.19239045764201129</v>
      </c>
      <c r="C111" s="60">
        <f t="shared" si="81"/>
        <v>0</v>
      </c>
      <c r="D111" s="24">
        <f t="shared" si="86"/>
        <v>0.19239045764201129</v>
      </c>
      <c r="H111" s="24">
        <f t="shared" si="87"/>
        <v>0.67272727272727284</v>
      </c>
      <c r="I111" s="22">
        <f t="shared" si="88"/>
        <v>0.12942630786826217</v>
      </c>
      <c r="J111" s="24">
        <f t="shared" si="89"/>
        <v>0.12942630786826217</v>
      </c>
      <c r="K111" s="22">
        <f t="shared" si="90"/>
        <v>0.19239045764201129</v>
      </c>
      <c r="L111" s="22">
        <f t="shared" si="91"/>
        <v>0.12942630786826217</v>
      </c>
      <c r="M111" s="225">
        <f t="shared" si="92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0.48484848484848486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0.57212121212121214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1.5134716001171555</v>
      </c>
      <c r="C115" s="60">
        <f t="shared" si="81"/>
        <v>0</v>
      </c>
      <c r="D115" s="24">
        <f t="shared" si="86"/>
        <v>1.5134716001171555</v>
      </c>
      <c r="H115" s="24">
        <f t="shared" si="87"/>
        <v>0.7151515151515152</v>
      </c>
      <c r="I115" s="22">
        <f t="shared" si="88"/>
        <v>1.0823615079625719</v>
      </c>
      <c r="J115" s="24">
        <f t="shared" si="89"/>
        <v>1.0823615079625719</v>
      </c>
      <c r="K115" s="22">
        <f t="shared" si="90"/>
        <v>1.5134716001171555</v>
      </c>
      <c r="L115" s="22">
        <f t="shared" si="91"/>
        <v>1.0823615079625719</v>
      </c>
      <c r="M115" s="225">
        <f t="shared" si="92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0.7151515151515152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Remittances: no. times per year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0.67272727272727284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1.7294570307737653</v>
      </c>
      <c r="J119" s="24">
        <f>SUM(J91:J118)</f>
        <v>1.7294570307737653</v>
      </c>
      <c r="K119" s="22">
        <f>SUM(K91:K118)</f>
        <v>2.6663446966400137</v>
      </c>
      <c r="L119" s="22">
        <f>SUM(L91:L118)</f>
        <v>1.8560921871137852</v>
      </c>
      <c r="M119" s="57">
        <f t="shared" si="80"/>
        <v>1.7294570307737653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93"/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0.92111408116996618</v>
      </c>
      <c r="J128" s="226">
        <f>(J30)</f>
        <v>0.39390798373511338</v>
      </c>
      <c r="K128" s="29">
        <f>(B128)</f>
        <v>0.71440989937733512</v>
      </c>
      <c r="L128" s="29">
        <f>IF(L124=L119,0,(L119-L124)/(B119-B124)*K128)</f>
        <v>0.43679884125195861</v>
      </c>
      <c r="M128" s="238">
        <f t="shared" si="93"/>
        <v>0.39390798373511338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1.7294570307737653</v>
      </c>
      <c r="J130" s="226">
        <f>(J119)</f>
        <v>1.7294570307737653</v>
      </c>
      <c r="K130" s="29">
        <f>(B130)</f>
        <v>2.6663446966400137</v>
      </c>
      <c r="L130" s="29">
        <f>(L119)</f>
        <v>1.8560921871137852</v>
      </c>
      <c r="M130" s="238">
        <f t="shared" si="93"/>
        <v>1.7294570307737653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0.21704483588875179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2.1814753759943413E-2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2.1814753759943413E-2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8.7259015039773652E-2</v>
      </c>
      <c r="Z6" s="156">
        <f>Poor!Z6</f>
        <v>0.17</v>
      </c>
      <c r="AA6" s="121">
        <f>$M6*Z6*4</f>
        <v>1.4834032556761521E-2</v>
      </c>
      <c r="AB6" s="156">
        <f>Poor!AB6</f>
        <v>0.17</v>
      </c>
      <c r="AC6" s="121">
        <f t="shared" ref="AC6:AC29" si="7">$M6*AB6*4</f>
        <v>1.4834032556761521E-2</v>
      </c>
      <c r="AD6" s="156">
        <f>Poor!AD6</f>
        <v>0.33</v>
      </c>
      <c r="AE6" s="121">
        <f t="shared" ref="AE6:AE29" si="8">$M6*AD6*4</f>
        <v>2.8795474963125307E-2</v>
      </c>
      <c r="AF6" s="122">
        <f>1-SUM(Z6,AB6,AD6)</f>
        <v>0.32999999999999996</v>
      </c>
      <c r="AG6" s="121">
        <f>$M6*AF6*4</f>
        <v>2.8795474963125303E-2</v>
      </c>
      <c r="AH6" s="123">
        <f>SUM(Z6,AB6,AD6,AF6)</f>
        <v>1</v>
      </c>
      <c r="AI6" s="183">
        <f>SUM(AA6,AC6,AE6,AG6)/4</f>
        <v>2.1814753759943413E-2</v>
      </c>
      <c r="AJ6" s="120">
        <f>(AA6+AC6)/2</f>
        <v>1.4834032556761521E-2</v>
      </c>
      <c r="AK6" s="119">
        <f>(AE6+AG6)/2</f>
        <v>2.8795474963125303E-2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7108.708312548004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11724.420339206097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9.6317684833650774E-2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9.6317684833650774E-2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1319.9567999679357</v>
      </c>
      <c r="U9" s="221">
        <v>3</v>
      </c>
      <c r="V9" s="56"/>
      <c r="W9" s="115"/>
      <c r="X9" s="118">
        <f>Poor!X9</f>
        <v>1</v>
      </c>
      <c r="Y9" s="183">
        <f t="shared" si="9"/>
        <v>0.3852707393346031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0.3852707393346031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9.6317684833650774E-2</v>
      </c>
      <c r="AJ9" s="120">
        <f t="shared" si="14"/>
        <v>0.19263536966730155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1.3992547291575687E-4</v>
      </c>
      <c r="K10" s="22">
        <f t="shared" si="4"/>
        <v>0</v>
      </c>
      <c r="L10" s="22">
        <f t="shared" si="5"/>
        <v>0</v>
      </c>
      <c r="M10" s="222">
        <f t="shared" si="6"/>
        <v>1.3992547291575687E-4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3876.357060031411</v>
      </c>
      <c r="U10" s="221">
        <v>4</v>
      </c>
      <c r="V10" s="56"/>
      <c r="W10" s="115"/>
      <c r="X10" s="118">
        <f>Poor!X10</f>
        <v>1</v>
      </c>
      <c r="Y10" s="183">
        <f t="shared" si="9"/>
        <v>5.597018916630275E-4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5.597018916630275E-4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1.3992547291575687E-4</v>
      </c>
      <c r="AJ10" s="120">
        <f t="shared" si="14"/>
        <v>2.7985094583151375E-4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-5.8191332784730151E-5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-5.8191332784730151E-5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11750.896296847424</v>
      </c>
      <c r="U11" s="221">
        <v>5</v>
      </c>
      <c r="V11" s="56"/>
      <c r="W11" s="115"/>
      <c r="X11" s="118">
        <f>Poor!X11</f>
        <v>1</v>
      </c>
      <c r="Y11" s="183">
        <f t="shared" si="9"/>
        <v>-2.327653311389206E-4</v>
      </c>
      <c r="Z11" s="125">
        <f>IF($Y11=0,0,AA11/$Y11)</f>
        <v>1.0991230791187365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-2.5583774747350271E-4</v>
      </c>
      <c r="AB11" s="125">
        <f>IF($Y11=0,0,AC11/$Y11)</f>
        <v>-9.9123079118736426E-2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2.307241633458211E-5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-5.8191332784730151E-5</v>
      </c>
      <c r="AJ11" s="120">
        <f t="shared" si="14"/>
        <v>-1.163826655694603E-4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2.5404425133632196E-4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2.5404425133632196E-4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2337.4170297549963</v>
      </c>
      <c r="T12" s="220">
        <f>IF($B$81=0,0,(SUMIF($N$6:$N$28,$U12,M$6:M$28)+SUMIF($N$91:$N$118,$U12,M$91:M$118))*$I$83*Poor!$B$81/$B$81)</f>
        <v>2337.4170297549963</v>
      </c>
      <c r="U12" s="221">
        <v>6</v>
      </c>
      <c r="V12" s="56"/>
      <c r="W12" s="117"/>
      <c r="X12" s="118"/>
      <c r="Y12" s="183">
        <f t="shared" si="9"/>
        <v>1.0161770053452878E-3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6.8083859358134295E-4</v>
      </c>
      <c r="AF12" s="122">
        <f>1-SUM(Z12,AB12,AD12)</f>
        <v>0.32999999999999996</v>
      </c>
      <c r="AG12" s="121">
        <f>$M12*AF12*4</f>
        <v>3.3533841176394496E-4</v>
      </c>
      <c r="AH12" s="123">
        <f t="shared" si="12"/>
        <v>1</v>
      </c>
      <c r="AI12" s="183">
        <f t="shared" si="13"/>
        <v>2.5404425133632196E-4</v>
      </c>
      <c r="AJ12" s="120">
        <f t="shared" si="14"/>
        <v>0</v>
      </c>
      <c r="AK12" s="119">
        <f t="shared" si="15"/>
        <v>5.0808850267264392E-4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1.0453585291792054E-2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1.0453585291792054E-2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34825.328465395316</v>
      </c>
      <c r="T13" s="220">
        <f>IF($B$81=0,0,(SUMIF($N$6:$N$28,$U13,M$6:M$28)+SUMIF($N$91:$N$118,$U13,M$91:M$118))*$I$83*Poor!$B$81/$B$81)</f>
        <v>34825.328465395316</v>
      </c>
      <c r="U13" s="221">
        <v>7</v>
      </c>
      <c r="V13" s="56"/>
      <c r="W13" s="110"/>
      <c r="X13" s="118"/>
      <c r="Y13" s="183">
        <f t="shared" si="9"/>
        <v>4.1814341167168215E-2</v>
      </c>
      <c r="Z13" s="156">
        <f>Poor!Z13</f>
        <v>1</v>
      </c>
      <c r="AA13" s="121">
        <f>$M13*Z13*4</f>
        <v>4.1814341167168215E-2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1.0453585291792054E-2</v>
      </c>
      <c r="AJ13" s="120">
        <f t="shared" si="14"/>
        <v>2.0907170583584107E-2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18066.397833849598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4.3861201948295014E-2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4.3861201948295014E-2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0.17544480779318006</v>
      </c>
      <c r="Z15" s="156">
        <f>Poor!Z15</f>
        <v>0.25</v>
      </c>
      <c r="AA15" s="121">
        <f t="shared" si="16"/>
        <v>4.3861201948295014E-2</v>
      </c>
      <c r="AB15" s="156">
        <f>Poor!AB15</f>
        <v>0.25</v>
      </c>
      <c r="AC15" s="121">
        <f t="shared" si="7"/>
        <v>4.3861201948295014E-2</v>
      </c>
      <c r="AD15" s="156">
        <f>Poor!AD15</f>
        <v>0.25</v>
      </c>
      <c r="AE15" s="121">
        <f t="shared" si="8"/>
        <v>4.3861201948295014E-2</v>
      </c>
      <c r="AF15" s="122">
        <f t="shared" si="10"/>
        <v>0.25</v>
      </c>
      <c r="AG15" s="121">
        <f t="shared" si="11"/>
        <v>4.3861201948295014E-2</v>
      </c>
      <c r="AH15" s="123">
        <f t="shared" si="12"/>
        <v>1</v>
      </c>
      <c r="AI15" s="183">
        <f t="shared" si="13"/>
        <v>4.3861201948295014E-2</v>
      </c>
      <c r="AJ15" s="120">
        <f t="shared" si="14"/>
        <v>4.3861201948295014E-2</v>
      </c>
      <c r="AK15" s="119">
        <f t="shared" si="15"/>
        <v>4.3861201948295014E-2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3.8912358949940206E-3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3.8912358949940206E-3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1.5564943579976082E-2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1.5564943579976082E-2</v>
      </c>
      <c r="AH16" s="123">
        <f t="shared" si="12"/>
        <v>1</v>
      </c>
      <c r="AI16" s="183">
        <f t="shared" si="13"/>
        <v>3.8912358949940206E-3</v>
      </c>
      <c r="AJ16" s="120">
        <f t="shared" si="14"/>
        <v>0</v>
      </c>
      <c r="AK16" s="119">
        <f t="shared" si="15"/>
        <v>7.7824717899880411E-3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10053.599999999999</v>
      </c>
      <c r="T17" s="220">
        <f>IF($B$81=0,0,(SUMIF($N$6:$N$28,$U17,M$6:M$28)+SUMIF($N$91:$N$118,$U17,M$91:M$118))*$I$83*Poor!$B$81/$B$81)</f>
        <v>10053.599999999999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4.7447380594885859E-4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4.7447380594885859E-4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4.5015703804651613E-2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4.5015703804651613E-2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1.5607140586077683E-3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1.5607140586077683E-3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124163.34948739989</v>
      </c>
      <c r="T23" s="179">
        <f>SUM(T7:T22)</f>
        <v>113778.24310777462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1.418903898725863E-2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1.418903898725863E-2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5.675615594903452E-2</v>
      </c>
      <c r="Z27" s="156">
        <f>Poor!Z27</f>
        <v>0.25</v>
      </c>
      <c r="AA27" s="121">
        <f t="shared" si="16"/>
        <v>1.418903898725863E-2</v>
      </c>
      <c r="AB27" s="156">
        <f>Poor!AB27</f>
        <v>0.25</v>
      </c>
      <c r="AC27" s="121">
        <f t="shared" si="7"/>
        <v>1.418903898725863E-2</v>
      </c>
      <c r="AD27" s="156">
        <f>Poor!AD27</f>
        <v>0.25</v>
      </c>
      <c r="AE27" s="121">
        <f t="shared" si="8"/>
        <v>1.418903898725863E-2</v>
      </c>
      <c r="AF27" s="122">
        <f t="shared" si="10"/>
        <v>0.25</v>
      </c>
      <c r="AG27" s="121">
        <f t="shared" si="11"/>
        <v>1.418903898725863E-2</v>
      </c>
      <c r="AH27" s="123">
        <f t="shared" si="12"/>
        <v>1</v>
      </c>
      <c r="AI27" s="183">
        <f t="shared" si="13"/>
        <v>1.418903898725863E-2</v>
      </c>
      <c r="AJ27" s="120">
        <f t="shared" si="14"/>
        <v>1.418903898725863E-2</v>
      </c>
      <c r="AK27" s="119">
        <f t="shared" si="15"/>
        <v>1.418903898725863E-2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0.21786717916189327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0.21786717916189327</v>
      </c>
      <c r="N29" s="227"/>
      <c r="P29" s="22"/>
      <c r="V29" s="56"/>
      <c r="W29" s="110"/>
      <c r="X29" s="118"/>
      <c r="Y29" s="183">
        <f t="shared" si="9"/>
        <v>0.87146871664757308</v>
      </c>
      <c r="Z29" s="156">
        <f>Poor!Z29</f>
        <v>0.25</v>
      </c>
      <c r="AA29" s="121">
        <f t="shared" si="16"/>
        <v>0.21786717916189327</v>
      </c>
      <c r="AB29" s="156">
        <f>Poor!AB29</f>
        <v>0.25</v>
      </c>
      <c r="AC29" s="121">
        <f t="shared" si="7"/>
        <v>0.21786717916189327</v>
      </c>
      <c r="AD29" s="156">
        <f>Poor!AD29</f>
        <v>0.25</v>
      </c>
      <c r="AE29" s="121">
        <f t="shared" si="8"/>
        <v>0.21786717916189327</v>
      </c>
      <c r="AF29" s="122">
        <f t="shared" si="10"/>
        <v>0.25</v>
      </c>
      <c r="AG29" s="121">
        <f t="shared" si="11"/>
        <v>0.21786717916189327</v>
      </c>
      <c r="AH29" s="123">
        <f t="shared" si="12"/>
        <v>1</v>
      </c>
      <c r="AI29" s="183">
        <f t="shared" si="13"/>
        <v>0.21786717916189327</v>
      </c>
      <c r="AJ29" s="120">
        <f t="shared" si="14"/>
        <v>0.21786717916189327</v>
      </c>
      <c r="AK29" s="119">
        <f t="shared" si="15"/>
        <v>0.21786717916189327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2.0321875005410948</v>
      </c>
      <c r="J30" s="229">
        <f>IF(I$32&lt;=1,I30,1-SUM(J6:J29))</f>
        <v>0.22921903205165328</v>
      </c>
      <c r="K30" s="22">
        <f t="shared" si="4"/>
        <v>0.6807752441843089</v>
      </c>
      <c r="L30" s="22">
        <f>IF(L124=L119,0,IF(K30="",0,(L119-L124)/(B119-B124)*K30))</f>
        <v>0.39996559446727392</v>
      </c>
      <c r="M30" s="175">
        <f t="shared" si="6"/>
        <v>0.22921903205165328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0.91687612820661313</v>
      </c>
      <c r="Z30" s="122">
        <f>IF($Y30=0,0,AA30/($Y$30))</f>
        <v>5.3964378389540414E-2</v>
      </c>
      <c r="AA30" s="187">
        <f>IF(AA79*4/$I$84+SUM(AA6:AA29)&lt;1,AA79*4/$I$84,1-SUM(AA6:AA29))</f>
        <v>4.9478650318878437E-2</v>
      </c>
      <c r="AB30" s="122">
        <f>IF($Y30=0,0,AC30/($Y$30))</f>
        <v>0.64368330434800525</v>
      </c>
      <c r="AC30" s="187">
        <f>IF(AC79*4/$I$84+SUM(AC6:AC29)&lt;1,AC79*4/$I$84,1-SUM(AC6:AC29))</f>
        <v>0.59017785588183802</v>
      </c>
      <c r="AD30" s="122">
        <f>IF($Y30=0,0,AE30/($Y$30))</f>
        <v>0.62773872019550314</v>
      </c>
      <c r="AE30" s="187">
        <f>IF(AE79*4/$I$84+SUM(AE6:AE29)&lt;1,AE79*4/$I$84,1-SUM(AE6:AE29))</f>
        <v>0.57555864729822737</v>
      </c>
      <c r="AF30" s="122">
        <f>IF($Y30=0,0,AG30/($Y$30))</f>
        <v>0.51979767055695481</v>
      </c>
      <c r="AG30" s="187">
        <f>IF(AG79*4/$I$84+SUM(AG6:AG29)&lt;1,AG79*4/$I$84,1-SUM(AG6:AG29))</f>
        <v>0.47659007563107736</v>
      </c>
      <c r="AH30" s="123">
        <f t="shared" si="12"/>
        <v>1.8451840734900036</v>
      </c>
      <c r="AI30" s="183">
        <f t="shared" si="13"/>
        <v>0.4229513072825053</v>
      </c>
      <c r="AJ30" s="120">
        <f t="shared" si="14"/>
        <v>0.31982825310035823</v>
      </c>
      <c r="AK30" s="119">
        <f t="shared" si="15"/>
        <v>0.52607436146465236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-0.16362443890302081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2.8091575222438698</v>
      </c>
      <c r="J32" s="17"/>
      <c r="L32" s="22">
        <f>SUM(L6:L30)</f>
        <v>1.1636244389030208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3.2250708990765919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0.53504835595882272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2991.357060031411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2.8900604415549112E-2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0.5795559208070401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1733.6586953891449</v>
      </c>
      <c r="AD37" s="122">
        <f>IF($J37=0,0,AE37/($J37))</f>
        <v>0.42044407919295984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1257.6983646422661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2991.357060031411</v>
      </c>
      <c r="AJ37" s="148">
        <f>(AA37+AC37)</f>
        <v>1733.6586953891449</v>
      </c>
      <c r="AK37" s="147">
        <f>(AE37+AG37)</f>
        <v>1257.6983646422661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0.5795559208070401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512.90698991423051</v>
      </c>
      <c r="AD38" s="122">
        <f>IF($J38=0,0,AE38/($J38))</f>
        <v>0.4204440791929599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372.09301008576949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512.90698991423051</v>
      </c>
      <c r="AK38" s="147">
        <f t="shared" ref="AK38:AK64" si="39">(AE38+AG38)</f>
        <v>372.09301008576949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4080.8962968474234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3.9427045039828253E-2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4080.8962968474234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4080.8962968474234</v>
      </c>
      <c r="AJ40" s="148">
        <f t="shared" si="38"/>
        <v>4080.8962968474234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1.0991230791187365</v>
      </c>
      <c r="AA41" s="147">
        <f t="shared" si="40"/>
        <v>622.54331201285231</v>
      </c>
      <c r="AB41" s="122">
        <f>AB11</f>
        <v>-9.9123079118736426E-2</v>
      </c>
      <c r="AC41" s="147">
        <f t="shared" si="41"/>
        <v>-56.143312012852313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5321.3715660512744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5.1411734370815657E-2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1330.3428915128186</v>
      </c>
      <c r="AB43" s="156">
        <f>Poor!AB43</f>
        <v>0.25</v>
      </c>
      <c r="AC43" s="147">
        <f t="shared" si="41"/>
        <v>1330.3428915128186</v>
      </c>
      <c r="AD43" s="156">
        <f>Poor!AD43</f>
        <v>0.25</v>
      </c>
      <c r="AE43" s="147">
        <f t="shared" si="42"/>
        <v>1330.3428915128186</v>
      </c>
      <c r="AF43" s="122">
        <f t="shared" si="29"/>
        <v>0.25</v>
      </c>
      <c r="AG43" s="147">
        <f t="shared" si="36"/>
        <v>1330.3428915128186</v>
      </c>
      <c r="AH43" s="123">
        <f t="shared" si="37"/>
        <v>1</v>
      </c>
      <c r="AI43" s="112">
        <f t="shared" si="37"/>
        <v>5321.3715660512744</v>
      </c>
      <c r="AJ43" s="148">
        <f t="shared" si="38"/>
        <v>2660.6857830256372</v>
      </c>
      <c r="AK43" s="147">
        <f t="shared" si="39"/>
        <v>2660.6857830256372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195.27969049729444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1.8866691512225925E-3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48.81992262432361</v>
      </c>
      <c r="AB44" s="156">
        <f>Poor!AB44</f>
        <v>0.25</v>
      </c>
      <c r="AC44" s="147">
        <f t="shared" si="41"/>
        <v>48.81992262432361</v>
      </c>
      <c r="AD44" s="156">
        <f>Poor!AD44</f>
        <v>0.25</v>
      </c>
      <c r="AE44" s="147">
        <f t="shared" si="42"/>
        <v>48.81992262432361</v>
      </c>
      <c r="AF44" s="122">
        <f t="shared" si="29"/>
        <v>0.25</v>
      </c>
      <c r="AG44" s="147">
        <f t="shared" si="36"/>
        <v>48.81992262432361</v>
      </c>
      <c r="AH44" s="123">
        <f t="shared" si="37"/>
        <v>1</v>
      </c>
      <c r="AI44" s="112">
        <f t="shared" si="37"/>
        <v>195.27969049729444</v>
      </c>
      <c r="AJ44" s="148">
        <f t="shared" si="38"/>
        <v>97.639845248647219</v>
      </c>
      <c r="AK44" s="147">
        <f t="shared" si="39"/>
        <v>97.639845248647219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1033.5727195292966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9.9857274482324197E-3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258.39317988232415</v>
      </c>
      <c r="AB45" s="156">
        <f>Poor!AB45</f>
        <v>0.25</v>
      </c>
      <c r="AC45" s="147">
        <f t="shared" si="41"/>
        <v>258.39317988232415</v>
      </c>
      <c r="AD45" s="156">
        <f>Poor!AD45</f>
        <v>0.25</v>
      </c>
      <c r="AE45" s="147">
        <f t="shared" si="42"/>
        <v>258.39317988232415</v>
      </c>
      <c r="AF45" s="122">
        <f t="shared" si="29"/>
        <v>0.25</v>
      </c>
      <c r="AG45" s="147">
        <f t="shared" si="36"/>
        <v>258.39317988232415</v>
      </c>
      <c r="AH45" s="123">
        <f t="shared" si="37"/>
        <v>1</v>
      </c>
      <c r="AI45" s="112">
        <f t="shared" si="37"/>
        <v>1033.5727195292966</v>
      </c>
      <c r="AJ45" s="148">
        <f t="shared" si="38"/>
        <v>516.7863597646483</v>
      </c>
      <c r="AK45" s="147">
        <f t="shared" si="39"/>
        <v>516.7863597646483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532.36015475135275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5.1433279044621298E-3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133.09003868783819</v>
      </c>
      <c r="AB46" s="156">
        <f>Poor!AB46</f>
        <v>0.25</v>
      </c>
      <c r="AC46" s="147">
        <f t="shared" si="41"/>
        <v>133.09003868783819</v>
      </c>
      <c r="AD46" s="156">
        <f>Poor!AD46</f>
        <v>0.25</v>
      </c>
      <c r="AE46" s="147">
        <f t="shared" si="42"/>
        <v>133.09003868783819</v>
      </c>
      <c r="AF46" s="122">
        <f t="shared" si="29"/>
        <v>0.25</v>
      </c>
      <c r="AG46" s="147">
        <f t="shared" si="36"/>
        <v>133.09003868783819</v>
      </c>
      <c r="AH46" s="123">
        <f t="shared" si="37"/>
        <v>1</v>
      </c>
      <c r="AI46" s="112">
        <f t="shared" si="37"/>
        <v>532.36015475135275</v>
      </c>
      <c r="AJ46" s="148">
        <f t="shared" si="38"/>
        <v>266.18007737567638</v>
      </c>
      <c r="AK46" s="147">
        <f t="shared" si="39"/>
        <v>266.18007737567638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537.70804642540588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5.1949958593826952E-3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134.42701160635147</v>
      </c>
      <c r="AB47" s="156">
        <f>Poor!AB47</f>
        <v>0.25</v>
      </c>
      <c r="AC47" s="147">
        <f t="shared" si="41"/>
        <v>134.42701160635147</v>
      </c>
      <c r="AD47" s="156">
        <f>Poor!AD47</f>
        <v>0.25</v>
      </c>
      <c r="AE47" s="147">
        <f t="shared" si="42"/>
        <v>134.42701160635147</v>
      </c>
      <c r="AF47" s="122">
        <f t="shared" si="29"/>
        <v>0.25</v>
      </c>
      <c r="AG47" s="147">
        <f t="shared" si="36"/>
        <v>134.42701160635147</v>
      </c>
      <c r="AH47" s="123">
        <f t="shared" si="37"/>
        <v>1</v>
      </c>
      <c r="AI47" s="112">
        <f t="shared" si="37"/>
        <v>537.70804642540588</v>
      </c>
      <c r="AJ47" s="148">
        <f t="shared" si="38"/>
        <v>268.85402321270294</v>
      </c>
      <c r="AK47" s="147">
        <f t="shared" si="39"/>
        <v>268.85402321270294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29.291953574594167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2.8300037268338892E-4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7.3229883936485418</v>
      </c>
      <c r="AB49" s="156">
        <f>Poor!AB49</f>
        <v>0.25</v>
      </c>
      <c r="AC49" s="147">
        <f t="shared" si="41"/>
        <v>7.3229883936485418</v>
      </c>
      <c r="AD49" s="156">
        <f>Poor!AD49</f>
        <v>0.25</v>
      </c>
      <c r="AE49" s="147">
        <f t="shared" si="42"/>
        <v>7.3229883936485418</v>
      </c>
      <c r="AF49" s="122">
        <f t="shared" si="29"/>
        <v>0.25</v>
      </c>
      <c r="AG49" s="147">
        <f t="shared" si="36"/>
        <v>7.3229883936485418</v>
      </c>
      <c r="AH49" s="123">
        <f t="shared" si="37"/>
        <v>1</v>
      </c>
      <c r="AI49" s="112">
        <f t="shared" si="37"/>
        <v>29.291953574594167</v>
      </c>
      <c r="AJ49" s="148">
        <f t="shared" si="38"/>
        <v>14.645976787297084</v>
      </c>
      <c r="AK49" s="147">
        <f t="shared" si="39"/>
        <v>14.645976787297084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136.69578334810612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1.3206684058558148E-3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34.17394583702653</v>
      </c>
      <c r="AB50" s="156">
        <f>Poor!AB55</f>
        <v>0.25</v>
      </c>
      <c r="AC50" s="147">
        <f t="shared" si="41"/>
        <v>34.17394583702653</v>
      </c>
      <c r="AD50" s="156">
        <f>Poor!AD55</f>
        <v>0.25</v>
      </c>
      <c r="AE50" s="147">
        <f t="shared" si="42"/>
        <v>34.17394583702653</v>
      </c>
      <c r="AF50" s="122">
        <f t="shared" si="29"/>
        <v>0.25</v>
      </c>
      <c r="AG50" s="147">
        <f t="shared" si="36"/>
        <v>34.17394583702653</v>
      </c>
      <c r="AH50" s="123">
        <f t="shared" si="37"/>
        <v>1</v>
      </c>
      <c r="AI50" s="112">
        <f t="shared" si="37"/>
        <v>136.69578334810612</v>
      </c>
      <c r="AJ50" s="148">
        <f t="shared" si="38"/>
        <v>68.347891674053059</v>
      </c>
      <c r="AK50" s="147">
        <f t="shared" si="39"/>
        <v>68.347891674053059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107.40382977351194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1.037668033172426E-3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26.850957443377986</v>
      </c>
      <c r="AB52" s="156">
        <f>Poor!AB57</f>
        <v>0.25</v>
      </c>
      <c r="AC52" s="147">
        <f t="shared" si="41"/>
        <v>26.850957443377986</v>
      </c>
      <c r="AD52" s="156">
        <f>Poor!AD57</f>
        <v>0.25</v>
      </c>
      <c r="AE52" s="147">
        <f t="shared" si="42"/>
        <v>26.850957443377986</v>
      </c>
      <c r="AF52" s="122">
        <f t="shared" si="29"/>
        <v>0.25</v>
      </c>
      <c r="AG52" s="147">
        <f t="shared" si="36"/>
        <v>26.850957443377986</v>
      </c>
      <c r="AH52" s="123">
        <f t="shared" si="37"/>
        <v>1</v>
      </c>
      <c r="AI52" s="112">
        <f t="shared" si="37"/>
        <v>107.40382977351194</v>
      </c>
      <c r="AJ52" s="148">
        <f t="shared" si="38"/>
        <v>53.701914886755972</v>
      </c>
      <c r="AK52" s="147">
        <f t="shared" si="39"/>
        <v>53.701914886755972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3596.4009666585066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3.474615686834942E-2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234.33562859675334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2.2640029814671113E-3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18066.397833849598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0.17454613626249552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4516.5994584623995</v>
      </c>
      <c r="AB59" s="156">
        <f>Poor!AB59</f>
        <v>0.25</v>
      </c>
      <c r="AC59" s="147">
        <f t="shared" si="41"/>
        <v>4516.5994584623995</v>
      </c>
      <c r="AD59" s="156">
        <f>Poor!AD59</f>
        <v>0.25</v>
      </c>
      <c r="AE59" s="147">
        <f t="shared" si="42"/>
        <v>4516.5994584623995</v>
      </c>
      <c r="AF59" s="122">
        <f t="shared" si="29"/>
        <v>0.25</v>
      </c>
      <c r="AG59" s="147">
        <f t="shared" si="36"/>
        <v>4516.5994584623995</v>
      </c>
      <c r="AH59" s="123">
        <f t="shared" ref="AH59:AI64" si="43">SUM(Z59,AB59,AD59,AF59)</f>
        <v>1</v>
      </c>
      <c r="AI59" s="112">
        <f t="shared" si="43"/>
        <v>18066.397833849598</v>
      </c>
      <c r="AJ59" s="148">
        <f t="shared" si="38"/>
        <v>9033.1989169247991</v>
      </c>
      <c r="AK59" s="147">
        <f t="shared" si="39"/>
        <v>9033.1989169247991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87700.560000000012</v>
      </c>
      <c r="J65" s="39">
        <f>SUM(J37:J64)</f>
        <v>97145.271529934544</v>
      </c>
      <c r="K65" s="40">
        <f>SUM(K37:K64)</f>
        <v>0.99999999999999989</v>
      </c>
      <c r="L65" s="22">
        <f>SUM(L37:L64)</f>
        <v>1.0435619535288148</v>
      </c>
      <c r="M65" s="24">
        <f>SUM(M37:M64)</f>
        <v>0.93855631640920256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22698.660003310382</v>
      </c>
      <c r="AB65" s="137"/>
      <c r="AC65" s="153">
        <f>SUM(AC37:AC64)</f>
        <v>13453.74276774063</v>
      </c>
      <c r="AD65" s="137"/>
      <c r="AE65" s="153">
        <f>SUM(AE37:AE64)</f>
        <v>13140.911769178143</v>
      </c>
      <c r="AF65" s="137"/>
      <c r="AG65" s="153">
        <f>SUM(AG37:AG64)</f>
        <v>11387.220394450109</v>
      </c>
      <c r="AH65" s="137"/>
      <c r="AI65" s="153">
        <f>SUM(AI37:AI64)</f>
        <v>60680.534934679265</v>
      </c>
      <c r="AJ65" s="153">
        <f>SUM(AJ37:AJ64)</f>
        <v>36152.402771051013</v>
      </c>
      <c r="AK65" s="153">
        <f>SUM(AK37:AK64)</f>
        <v>24528.132163628252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40922.400000000009</v>
      </c>
      <c r="K72" s="40">
        <f t="shared" si="47"/>
        <v>0.33505627747451816</v>
      </c>
      <c r="L72" s="22">
        <f t="shared" si="45"/>
        <v>0.3953664074199314</v>
      </c>
      <c r="M72" s="24">
        <f t="shared" si="48"/>
        <v>0.39536640741993151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1209.9106757656527</v>
      </c>
      <c r="K73" s="40">
        <f>B73/B$76</f>
        <v>0.28984107047968699</v>
      </c>
      <c r="L73" s="22">
        <f t="shared" si="45"/>
        <v>6.576269920041565E-2</v>
      </c>
      <c r="M73" s="24">
        <f>J73/B$76</f>
        <v>1.1689393514957276E-2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62743.20411293715</v>
      </c>
      <c r="J74" s="51">
        <f t="shared" si="44"/>
        <v>7077.0716337726699</v>
      </c>
      <c r="K74" s="40">
        <f>B74/B$76</f>
        <v>0.12307260637485801</v>
      </c>
      <c r="L74" s="22">
        <f t="shared" si="45"/>
        <v>0.11930653204062396</v>
      </c>
      <c r="M74" s="24">
        <f>J74/B$76</f>
        <v>6.8374200606469926E-2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604.83286372523685</v>
      </c>
      <c r="AB74" s="156"/>
      <c r="AC74" s="147">
        <f>AC30*$I$84/4</f>
        <v>7214.4037959749194</v>
      </c>
      <c r="AD74" s="156"/>
      <c r="AE74" s="147">
        <f>AE30*$I$84/4</f>
        <v>7035.6968640752812</v>
      </c>
      <c r="AF74" s="156"/>
      <c r="AG74" s="147">
        <f>AG30*$I$84/4</f>
        <v>5825.8933582306709</v>
      </c>
      <c r="AH74" s="155"/>
      <c r="AI74" s="147">
        <f>SUM(AA74,AC74,AE74,AG74)</f>
        <v>20680.826882006109</v>
      </c>
      <c r="AJ74" s="148">
        <f>(AA74+AC74)</f>
        <v>7819.2366597001565</v>
      </c>
      <c r="AK74" s="147">
        <f>(AE74+AG74)</f>
        <v>12861.590222305953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17323.724240904092</v>
      </c>
      <c r="AB75" s="158"/>
      <c r="AC75" s="149">
        <f>AA75+AC65-SUM(AC70,AC74)</f>
        <v>17323.724240904092</v>
      </c>
      <c r="AD75" s="158"/>
      <c r="AE75" s="149">
        <f>AC75+AE65-SUM(AE70,AE74)</f>
        <v>17189.600174241241</v>
      </c>
      <c r="AF75" s="158"/>
      <c r="AG75" s="149">
        <f>IF(SUM(AG6:AG29)+((AG65-AG70-$J$75)*4/I$83)&lt;1,0,AG65-AG70-$J$75-(1-SUM(AG6:AG29))*I$83/4)</f>
        <v>1469.2360730846599</v>
      </c>
      <c r="AH75" s="134"/>
      <c r="AI75" s="149">
        <f>AI76-SUM(AI70,AI74)</f>
        <v>15042.352165610304</v>
      </c>
      <c r="AJ75" s="151">
        <f>AJ76-SUM(AJ70,AJ74)</f>
        <v>15854.488167819429</v>
      </c>
      <c r="AK75" s="149">
        <f>AJ75+AK76-SUM(AK70,AK74)</f>
        <v>15042.352165610304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87700.56</v>
      </c>
      <c r="J76" s="51">
        <f t="shared" si="44"/>
        <v>97145.271529934515</v>
      </c>
      <c r="K76" s="40">
        <f>SUM(K70:K75)</f>
        <v>1.1083391742682622</v>
      </c>
      <c r="L76" s="22">
        <f>SUM(L70:L75)</f>
        <v>1.043561953528815</v>
      </c>
      <c r="M76" s="24">
        <f>SUM(M70:M75)</f>
        <v>0.93855631640920256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22698.660003310382</v>
      </c>
      <c r="AB76" s="137"/>
      <c r="AC76" s="153">
        <f>AC65</f>
        <v>13453.74276774063</v>
      </c>
      <c r="AD76" s="137"/>
      <c r="AE76" s="153">
        <f>AE65</f>
        <v>13140.911769178143</v>
      </c>
      <c r="AF76" s="137"/>
      <c r="AG76" s="153">
        <f>AG65</f>
        <v>11387.220394450109</v>
      </c>
      <c r="AH76" s="137"/>
      <c r="AI76" s="153">
        <f>SUM(AA76,AC76,AE76,AG76)</f>
        <v>60680.534934679265</v>
      </c>
      <c r="AJ76" s="154">
        <f>SUM(AA76,AC76)</f>
        <v>36152.402771051013</v>
      </c>
      <c r="AK76" s="154">
        <f>SUM(AE76,AG76)</f>
        <v>24528.132163628252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1469.2360730846599</v>
      </c>
      <c r="AB78" s="112"/>
      <c r="AC78" s="112">
        <f>IF(AA75&lt;0,0,AA75)</f>
        <v>17323.724240904092</v>
      </c>
      <c r="AD78" s="112"/>
      <c r="AE78" s="112">
        <f>AC75</f>
        <v>17323.724240904092</v>
      </c>
      <c r="AF78" s="112"/>
      <c r="AG78" s="112">
        <f>AE75</f>
        <v>17189.600174241241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17928.55710462933</v>
      </c>
      <c r="AB79" s="112"/>
      <c r="AC79" s="112">
        <f>AA79-AA74+AC65-AC70</f>
        <v>24538.12803687901</v>
      </c>
      <c r="AD79" s="112"/>
      <c r="AE79" s="112">
        <f>AC79-AC74+AE65-AE70</f>
        <v>24225.297038316523</v>
      </c>
      <c r="AF79" s="112"/>
      <c r="AG79" s="112">
        <f>AE79-AE74+AG65-AG70</f>
        <v>22337.481596925638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9.6886961910792019E-2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9.6886961910792019E-2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0.13217601113469107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0.13217601113469107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0.17235372236966179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0.17235372236966179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6.3249072429233675E-3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6.3249072429233675E-3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3.3476351602111036E-2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3.3476351602111036E-2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1.7242594916327392E-2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1.7242594916327392E-2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1.7415807597571664E-2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1.7415807597571664E-2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9.4873608643850516E-4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9.4873608643850516E-4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4.4274350700463571E-3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4.4274350700463571E-3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3.478698983607852E-3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3.478698983607852E-3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0.11648370839050537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0.11648370839050537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7.5898886915080413E-3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7.5898886915080413E-3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0.5851519439725531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0.5851519439725531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2.840530450144894</v>
      </c>
      <c r="J119" s="24">
        <f>SUM(J91:J118)</f>
        <v>3.1464348901349415</v>
      </c>
      <c r="K119" s="22">
        <f>SUM(K91:K118)</f>
        <v>5.5314928661767722</v>
      </c>
      <c r="L119" s="22">
        <f>SUM(L91:L118)</f>
        <v>3.4984578796109917</v>
      </c>
      <c r="M119" s="57">
        <f t="shared" si="49"/>
        <v>3.1464348901349415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1.3254342194965394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1.3254342194965394</v>
      </c>
      <c r="M126" s="57">
        <f t="shared" si="65"/>
        <v>1.3254342194965394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3.9187755659344958E-2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0.22046418271977464</v>
      </c>
      <c r="M127" s="57">
        <f t="shared" si="63"/>
        <v>3.9187755659344958E-2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2.0321875005410948</v>
      </c>
      <c r="J128" s="226">
        <f>(J30)</f>
        <v>0.22921903205165328</v>
      </c>
      <c r="K128" s="22">
        <f>(B128)</f>
        <v>0.6807752441843089</v>
      </c>
      <c r="L128" s="22">
        <f>IF(L124=L119,0,(L119-L124)/(B119-B124)*K128)</f>
        <v>0.39996559446727392</v>
      </c>
      <c r="M128" s="57">
        <f t="shared" si="63"/>
        <v>0.22921903205165328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2.840530450144894</v>
      </c>
      <c r="J130" s="226">
        <f>(J119)</f>
        <v>3.1464348901349415</v>
      </c>
      <c r="K130" s="22">
        <f>(B130)</f>
        <v>5.5314928661767722</v>
      </c>
      <c r="L130" s="22">
        <f>(L119)</f>
        <v>3.4984578796109917</v>
      </c>
      <c r="M130" s="57">
        <f t="shared" si="63"/>
        <v>3.1464348901349415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1.6224945703788168E-2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1.6224945703788168E-2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6.4899782815152671E-2</v>
      </c>
      <c r="Z6" s="156">
        <f>Poor!Z6</f>
        <v>0.17</v>
      </c>
      <c r="AA6" s="121">
        <f>$M6*Z6*4</f>
        <v>1.1032963078575955E-2</v>
      </c>
      <c r="AB6" s="156">
        <f>Poor!AB6</f>
        <v>0.17</v>
      </c>
      <c r="AC6" s="121">
        <f t="shared" ref="AC6:AC29" si="7">$M6*AB6*4</f>
        <v>1.1032963078575955E-2</v>
      </c>
      <c r="AD6" s="156">
        <f>Poor!AD6</f>
        <v>0.33</v>
      </c>
      <c r="AE6" s="121">
        <f t="shared" ref="AE6:AE29" si="8">$M6*AD6*4</f>
        <v>2.1416928329000381E-2</v>
      </c>
      <c r="AF6" s="122">
        <f>1-SUM(Z6,AB6,AD6)</f>
        <v>0.32999999999999996</v>
      </c>
      <c r="AG6" s="121">
        <f>$M6*AF6*4</f>
        <v>2.1416928329000377E-2</v>
      </c>
      <c r="AH6" s="123">
        <f>SUM(Z6,AB6,AD6,AF6)</f>
        <v>1</v>
      </c>
      <c r="AI6" s="183">
        <f>SUM(AA6,AC6,AE6,AG6)/4</f>
        <v>1.6224945703788164E-2</v>
      </c>
      <c r="AJ6" s="120">
        <f>(AA6+AC6)/2</f>
        <v>1.1032963078575955E-2</v>
      </c>
      <c r="AK6" s="119">
        <f>(AE6+AG6)/2</f>
        <v>2.1416928329000377E-2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18152.105120480373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51409.183344551893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0.28803345074941289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3.2643791084933461E-2</v>
      </c>
      <c r="AB8" s="125">
        <f>IF($Y8=0,0,AC8/$Y8)</f>
        <v>0.51373911280227613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5.8223766117591294E-2</v>
      </c>
      <c r="AD8" s="125">
        <f>IF($Y8=0,0,AE8/$Y8)</f>
        <v>0.19822743644831109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2.2465776130808593E-2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2.8333333333333339E-2</v>
      </c>
      <c r="AJ8" s="120">
        <f t="shared" si="14"/>
        <v>4.5433778601262381E-2</v>
      </c>
      <c r="AK8" s="119">
        <f t="shared" si="15"/>
        <v>1.1232888065404296E-2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0.22323762479122372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0.22323762479122372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1843.4831574624613</v>
      </c>
      <c r="U9" s="221">
        <v>3</v>
      </c>
      <c r="V9" s="56"/>
      <c r="W9" s="115"/>
      <c r="X9" s="118">
        <f>Poor!X9</f>
        <v>1</v>
      </c>
      <c r="Y9" s="183">
        <f t="shared" si="9"/>
        <v>0.89295049916489488</v>
      </c>
      <c r="Z9" s="125">
        <f>IF($Y9=0,0,AA9/$Y9)</f>
        <v>0.28803345074941283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0.25719961362287536</v>
      </c>
      <c r="AB9" s="125">
        <f>IF($Y9=0,0,AC9/$Y9)</f>
        <v>0.51373911280227613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0.45874359721732272</v>
      </c>
      <c r="AD9" s="125">
        <f>IF($Y9=0,0,AE9/$Y9)</f>
        <v>0.19822743644831103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0.17700728832469681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0.22323762479122372</v>
      </c>
      <c r="AJ9" s="120">
        <f t="shared" si="14"/>
        <v>0.35797160542009904</v>
      </c>
      <c r="AK9" s="119">
        <f t="shared" si="15"/>
        <v>8.8503644162348405E-2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-2.2051201868531368E-4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-2.2051201868531368E-4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7292.521577910421</v>
      </c>
      <c r="U10" s="221">
        <v>4</v>
      </c>
      <c r="V10" s="56"/>
      <c r="W10" s="115"/>
      <c r="X10" s="118">
        <f>Poor!X10</f>
        <v>1</v>
      </c>
      <c r="Y10" s="183">
        <f t="shared" si="9"/>
        <v>-8.8204807474125471E-4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-8.8204807474125471E-4</v>
      </c>
      <c r="AB10" s="125">
        <f>IF($Y10=0,0,AC10/$Y10)</f>
        <v>0.51373911280227613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-4.5314259536652791E-4</v>
      </c>
      <c r="AD10" s="125">
        <f>IF($Y10=0,0,AE10/$Y10)</f>
        <v>-0.51373911280227613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4.5314259536652791E-4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-2.2051201868531368E-4</v>
      </c>
      <c r="AJ10" s="120">
        <f t="shared" si="14"/>
        <v>-6.6759533505389131E-4</v>
      </c>
      <c r="AK10" s="119">
        <f t="shared" si="15"/>
        <v>2.2657129768326395E-4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2.0284572983726517E-3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2.0284572983726517E-3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22105.071835447976</v>
      </c>
      <c r="U11" s="221">
        <v>5</v>
      </c>
      <c r="V11" s="56"/>
      <c r="W11" s="115"/>
      <c r="X11" s="118">
        <f>Poor!X11</f>
        <v>1</v>
      </c>
      <c r="Y11" s="183">
        <f t="shared" si="9"/>
        <v>8.1138291934906067E-3</v>
      </c>
      <c r="Z11" s="125">
        <f>IF($Y11=0,0,AA11/$Y11)</f>
        <v>0.28803345074941289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2.3370542213924251E-3</v>
      </c>
      <c r="AB11" s="125">
        <f>IF($Y11=0,0,AC11/$Y11)</f>
        <v>0.51373911280227613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4.1683914112930721E-3</v>
      </c>
      <c r="AD11" s="125">
        <f>IF($Y11=0,0,AE11/$Y11)</f>
        <v>0.19822743644831098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1.6083835608051095E-3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2.0284572983726517E-3</v>
      </c>
      <c r="AJ11" s="120">
        <f t="shared" si="14"/>
        <v>3.2527228163427486E-3</v>
      </c>
      <c r="AK11" s="119">
        <f t="shared" si="15"/>
        <v>8.0419178040255475E-4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9.4459504043621992E-4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9.4459504043621992E-4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3.7783801617448797E-3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2.5315147083690695E-3</v>
      </c>
      <c r="AF12" s="122">
        <f>1-SUM(Z12,AB12,AD12)</f>
        <v>0.32999999999999996</v>
      </c>
      <c r="AG12" s="121">
        <f>$M12*AF12*4</f>
        <v>1.2468654533758102E-3</v>
      </c>
      <c r="AH12" s="123">
        <f t="shared" si="12"/>
        <v>1</v>
      </c>
      <c r="AI12" s="183">
        <f t="shared" si="13"/>
        <v>9.4459504043621992E-4</v>
      </c>
      <c r="AJ12" s="120">
        <f t="shared" si="14"/>
        <v>0</v>
      </c>
      <c r="AK12" s="119">
        <f t="shared" si="15"/>
        <v>1.8891900808724398E-3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4.1674278220763576E-2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4.1674278220763576E-2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109032</v>
      </c>
      <c r="T13" s="220">
        <f>IF($B$81=0,0,(SUMIF($N$6:$N$28,$U13,M$6:M$28)+SUMIF($N$91:$N$118,$U13,M$91:M$118))*$I$83*Poor!$B$81/$B$81)</f>
        <v>109032</v>
      </c>
      <c r="U13" s="221">
        <v>7</v>
      </c>
      <c r="V13" s="56"/>
      <c r="W13" s="110"/>
      <c r="X13" s="118"/>
      <c r="Y13" s="183">
        <f t="shared" si="9"/>
        <v>0.1666971128830543</v>
      </c>
      <c r="Z13" s="156">
        <f>Poor!Z13</f>
        <v>1</v>
      </c>
      <c r="AA13" s="121">
        <f>$M13*Z13*4</f>
        <v>0.1666971128830543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4.1674278220763576E-2</v>
      </c>
      <c r="AJ13" s="120">
        <f t="shared" si="14"/>
        <v>8.3348556441527152E-2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-1.4809140617323333E-4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-1.4809140617323333E-4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-5.9236562469293331E-4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-5.9236562469293331E-4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-1.4809140617323333E-4</v>
      </c>
      <c r="AJ14" s="120">
        <f t="shared" si="14"/>
        <v>-2.9618281234646666E-4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0.10783351620915911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0.10783351620915911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0.43133406483663644</v>
      </c>
      <c r="Z15" s="156">
        <f>Poor!Z15</f>
        <v>0.25</v>
      </c>
      <c r="AA15" s="121">
        <f t="shared" si="16"/>
        <v>0.10783351620915911</v>
      </c>
      <c r="AB15" s="156">
        <f>Poor!AB15</f>
        <v>0.25</v>
      </c>
      <c r="AC15" s="121">
        <f t="shared" si="7"/>
        <v>0.10783351620915911</v>
      </c>
      <c r="AD15" s="156">
        <f>Poor!AD15</f>
        <v>0.25</v>
      </c>
      <c r="AE15" s="121">
        <f t="shared" si="8"/>
        <v>0.10783351620915911</v>
      </c>
      <c r="AF15" s="122">
        <f t="shared" si="10"/>
        <v>0.25</v>
      </c>
      <c r="AG15" s="121">
        <f t="shared" si="11"/>
        <v>0.10783351620915911</v>
      </c>
      <c r="AH15" s="123">
        <f t="shared" si="12"/>
        <v>1</v>
      </c>
      <c r="AI15" s="183">
        <f t="shared" si="13"/>
        <v>0.10783351620915911</v>
      </c>
      <c r="AJ15" s="120">
        <f t="shared" si="14"/>
        <v>0.10783351620915911</v>
      </c>
      <c r="AK15" s="119">
        <f t="shared" si="15"/>
        <v>0.10783351620915911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6.4067010187462701E-3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6.4067010187462701E-3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2.562680407498508E-2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2.562680407498508E-2</v>
      </c>
      <c r="AH16" s="123">
        <f t="shared" si="12"/>
        <v>1</v>
      </c>
      <c r="AI16" s="183">
        <f t="shared" si="13"/>
        <v>6.4067010187462701E-3</v>
      </c>
      <c r="AJ16" s="120">
        <f t="shared" si="14"/>
        <v>0</v>
      </c>
      <c r="AK16" s="119">
        <f t="shared" si="15"/>
        <v>1.281340203749254E-2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0.13066907751825366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0.13066907751825366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12567</v>
      </c>
      <c r="T17" s="220">
        <f>IF($B$81=0,0,(SUMIF($N$6:$N$28,$U17,M$6:M$28)+SUMIF($N$91:$N$118,$U17,M$91:M$118))*$I$83*Poor!$B$81/$B$81)</f>
        <v>12567</v>
      </c>
      <c r="U17" s="221">
        <v>11</v>
      </c>
      <c r="V17" s="56"/>
      <c r="W17" s="110"/>
      <c r="X17" s="118"/>
      <c r="Y17" s="183">
        <f t="shared" si="9"/>
        <v>0.52267631007301463</v>
      </c>
      <c r="Z17" s="156">
        <f>Poor!Z17</f>
        <v>0.29409999999999997</v>
      </c>
      <c r="AA17" s="121">
        <f t="shared" si="16"/>
        <v>0.15371910279247358</v>
      </c>
      <c r="AB17" s="156">
        <f>Poor!AB17</f>
        <v>0.17649999999999999</v>
      </c>
      <c r="AC17" s="121">
        <f t="shared" si="7"/>
        <v>9.2252368727887071E-2</v>
      </c>
      <c r="AD17" s="156">
        <f>Poor!AD17</f>
        <v>0.23530000000000001</v>
      </c>
      <c r="AE17" s="121">
        <f t="shared" si="8"/>
        <v>0.12298573576018035</v>
      </c>
      <c r="AF17" s="122">
        <f t="shared" si="10"/>
        <v>0.29410000000000003</v>
      </c>
      <c r="AG17" s="121">
        <f t="shared" si="11"/>
        <v>0.15371910279247361</v>
      </c>
      <c r="AH17" s="123">
        <f t="shared" si="12"/>
        <v>1</v>
      </c>
      <c r="AI17" s="183">
        <f t="shared" si="13"/>
        <v>0.13066907751825366</v>
      </c>
      <c r="AJ17" s="120">
        <f t="shared" si="14"/>
        <v>0.12298573576018032</v>
      </c>
      <c r="AK17" s="119">
        <f t="shared" si="15"/>
        <v>0.13835241927632697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-1.0777649328585023E-5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-1.0777649328585023E-5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4.6395614952721279E-2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4.6395614952721279E-2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7.84097050624277E-4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7.84097050624277E-4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390352.2194770663</v>
      </c>
      <c r="T23" s="179">
        <f>SUM(T7:T22)</f>
        <v>391570.61503585312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3.4376603709901178E-2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3.4376603709901178E-2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0.13750641483960471</v>
      </c>
      <c r="Z27" s="156">
        <f>Poor!Z27</f>
        <v>0.25</v>
      </c>
      <c r="AA27" s="121">
        <f t="shared" si="16"/>
        <v>3.4376603709901178E-2</v>
      </c>
      <c r="AB27" s="156">
        <f>Poor!AB27</f>
        <v>0.25</v>
      </c>
      <c r="AC27" s="121">
        <f t="shared" si="7"/>
        <v>3.4376603709901178E-2</v>
      </c>
      <c r="AD27" s="156">
        <f>Poor!AD27</f>
        <v>0.25</v>
      </c>
      <c r="AE27" s="121">
        <f t="shared" si="8"/>
        <v>3.4376603709901178E-2</v>
      </c>
      <c r="AF27" s="122">
        <f t="shared" si="10"/>
        <v>0.25</v>
      </c>
      <c r="AG27" s="121">
        <f t="shared" si="11"/>
        <v>3.4376603709901178E-2</v>
      </c>
      <c r="AH27" s="123">
        <f t="shared" si="12"/>
        <v>1</v>
      </c>
      <c r="AI27" s="183">
        <f t="shared" si="13"/>
        <v>3.4376603709901178E-2</v>
      </c>
      <c r="AJ27" s="120">
        <f t="shared" si="14"/>
        <v>3.4376603709901178E-2</v>
      </c>
      <c r="AK27" s="119">
        <f t="shared" si="15"/>
        <v>3.4376603709901178E-2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7.6967086182345113E-3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7.6967086182345113E-3</v>
      </c>
      <c r="N28" s="227"/>
      <c r="O28" s="2"/>
      <c r="P28" s="22"/>
      <c r="V28" s="56"/>
      <c r="W28" s="110"/>
      <c r="X28" s="118"/>
      <c r="Y28" s="183">
        <f t="shared" si="9"/>
        <v>3.0786834472938045E-2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1.5393417236469023E-2</v>
      </c>
      <c r="AF28" s="122">
        <f t="shared" si="10"/>
        <v>0.5</v>
      </c>
      <c r="AG28" s="121">
        <f t="shared" si="11"/>
        <v>1.5393417236469023E-2</v>
      </c>
      <c r="AH28" s="123">
        <f t="shared" si="12"/>
        <v>1</v>
      </c>
      <c r="AI28" s="183">
        <f t="shared" si="13"/>
        <v>7.6967086182345113E-3</v>
      </c>
      <c r="AJ28" s="120">
        <f t="shared" si="14"/>
        <v>0</v>
      </c>
      <c r="AK28" s="119">
        <f t="shared" si="15"/>
        <v>1.5393417236469023E-2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0.23441430174832922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0.23441430174832922</v>
      </c>
      <c r="N29" s="227"/>
      <c r="P29" s="22"/>
      <c r="V29" s="56"/>
      <c r="W29" s="110"/>
      <c r="X29" s="118"/>
      <c r="Y29" s="183">
        <f t="shared" si="9"/>
        <v>0.93765720699331689</v>
      </c>
      <c r="Z29" s="156">
        <f>Poor!Z29</f>
        <v>0.25</v>
      </c>
      <c r="AA29" s="121">
        <f t="shared" si="16"/>
        <v>0.23441430174832922</v>
      </c>
      <c r="AB29" s="156">
        <f>Poor!AB29</f>
        <v>0.25</v>
      </c>
      <c r="AC29" s="121">
        <f t="shared" si="7"/>
        <v>0.23441430174832922</v>
      </c>
      <c r="AD29" s="156">
        <f>Poor!AD29</f>
        <v>0.25</v>
      </c>
      <c r="AE29" s="121">
        <f t="shared" si="8"/>
        <v>0.23441430174832922</v>
      </c>
      <c r="AF29" s="122">
        <f t="shared" si="10"/>
        <v>0.25</v>
      </c>
      <c r="AG29" s="121">
        <f t="shared" si="11"/>
        <v>0.23441430174832922</v>
      </c>
      <c r="AH29" s="123">
        <f t="shared" si="12"/>
        <v>1</v>
      </c>
      <c r="AI29" s="183">
        <f t="shared" si="13"/>
        <v>0.23441430174832922</v>
      </c>
      <c r="AJ29" s="120">
        <f t="shared" si="14"/>
        <v>0.23441430174832922</v>
      </c>
      <c r="AK29" s="119">
        <f t="shared" si="15"/>
        <v>0.23441430174832922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10.004361582957729</v>
      </c>
      <c r="J30" s="229">
        <f>IF(I$32&lt;=1,I30,1-SUM(J6:J29))</f>
        <v>7.587595837897998E-2</v>
      </c>
      <c r="K30" s="22">
        <f t="shared" si="4"/>
        <v>0.610559792652553</v>
      </c>
      <c r="L30" s="22">
        <f>IF(L124=L119,0,IF(K30="",0,(L119-L124)/(B119-B124)*K30))</f>
        <v>0.35800615594753965</v>
      </c>
      <c r="M30" s="175">
        <f t="shared" si="6"/>
        <v>7.587595837897998E-2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0.30350383351591992</v>
      </c>
      <c r="Z30" s="122">
        <f>IF($Y30=0,0,AA30/($Y$30))</f>
        <v>2.0691294629520368E-3</v>
      </c>
      <c r="AA30" s="187">
        <f>IF(AA79*4/$I$83+SUM(AA6:AA29)&lt;1,AA79*4/$I$83,1-SUM(AA6:AA29))</f>
        <v>6.2798872404667971E-4</v>
      </c>
      <c r="AB30" s="122">
        <f>IF($Y30=0,0,AC30/($Y$30))</f>
        <v>-7.3160395489167428E-16</v>
      </c>
      <c r="AC30" s="187">
        <f>IF(AC79*4/$I$83+SUM(AC6:AC29)&lt;1,AC79*4/$I$83,1-SUM(AC6:AC29))</f>
        <v>-2.2204460492503131E-16</v>
      </c>
      <c r="AD30" s="122">
        <f>IF($Y30=0,0,AE30/($Y$30))</f>
        <v>0.8550580356122659</v>
      </c>
      <c r="AE30" s="187">
        <f>IF(AE79*4/$I$83+SUM(AE6:AE29)&lt;1,AE79*4/$I$83,1-SUM(AE6:AE29))</f>
        <v>0.25951339168691467</v>
      </c>
      <c r="AF30" s="122">
        <f>IF($Y30=0,0,AG30/($Y$30))</f>
        <v>0.76453133337063794</v>
      </c>
      <c r="AG30" s="187">
        <f>IF(AG79*4/$I$83+SUM(AG6:AG29)&lt;1,AG79*4/$I$83,1-SUM(AG6:AG29))</f>
        <v>0.23203819052102637</v>
      </c>
      <c r="AH30" s="123">
        <f t="shared" si="12"/>
        <v>1.6216584984458553</v>
      </c>
      <c r="AI30" s="183">
        <f t="shared" si="13"/>
        <v>0.12304489273299687</v>
      </c>
      <c r="AJ30" s="120">
        <f t="shared" si="14"/>
        <v>3.1399436202322883E-4</v>
      </c>
      <c r="AK30" s="119">
        <f t="shared" si="15"/>
        <v>0.24577579110397052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-0.28472933903180686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11.000807250320232</v>
      </c>
      <c r="J32" s="17"/>
      <c r="L32" s="22">
        <f>SUM(L6:L30)</f>
        <v>1.2847293390318069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3.8113242625839319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-3.7278382865346446E-2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5834.017262328337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1.9462813466893755E-2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5834.017262328337</v>
      </c>
      <c r="AH37" s="123">
        <f>SUM(Z37,AB37,AD37,AF37)</f>
        <v>1</v>
      </c>
      <c r="AI37" s="112">
        <f>SUM(AA37,AC37,AE37,AG37)</f>
        <v>5834.017262328337</v>
      </c>
      <c r="AJ37" s="148">
        <f>(AA37+AC37)</f>
        <v>0</v>
      </c>
      <c r="AK37" s="147">
        <f>(AE37+AG37)</f>
        <v>5834.017262328337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13092.832223012896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4.3678881952457019E-2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0.28803345074941289</v>
      </c>
      <c r="AA39" s="147">
        <f>$J39*Z39</f>
        <v>3771.1736452775112</v>
      </c>
      <c r="AB39" s="122">
        <f>AB8</f>
        <v>0.51373911280227613</v>
      </c>
      <c r="AC39" s="147">
        <f>$J39*AB39</f>
        <v>6726.3000103196982</v>
      </c>
      <c r="AD39" s="122">
        <f>AD8</f>
        <v>0.19822743644831109</v>
      </c>
      <c r="AE39" s="147">
        <f>$J39*AD39</f>
        <v>2595.3585674156884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13092.832223012898</v>
      </c>
      <c r="AJ39" s="148">
        <f t="shared" si="36"/>
        <v>10497.473655597209</v>
      </c>
      <c r="AK39" s="147">
        <f t="shared" si="37"/>
        <v>2595.3585674156884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2738.6252453454831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9.1363034953744534E-3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0.28803345074941283</v>
      </c>
      <c r="AA40" s="147">
        <f>$J40*Z40</f>
        <v>788.81567972631683</v>
      </c>
      <c r="AB40" s="122">
        <f>AB9</f>
        <v>0.51373911280227613</v>
      </c>
      <c r="AC40" s="147">
        <f>$J40*AB40</f>
        <v>1406.9389038417044</v>
      </c>
      <c r="AD40" s="122">
        <f>AD9</f>
        <v>0.19822743644831103</v>
      </c>
      <c r="AE40" s="147">
        <f>$J40*AD40</f>
        <v>542.87066177746192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2738.6252453454831</v>
      </c>
      <c r="AJ40" s="148">
        <f t="shared" si="36"/>
        <v>2195.7545835680212</v>
      </c>
      <c r="AK40" s="147">
        <f t="shared" si="37"/>
        <v>542.87066177746192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0.28803345074941289</v>
      </c>
      <c r="AA41" s="147">
        <f>$J41*Z41</f>
        <v>176.73732537983975</v>
      </c>
      <c r="AB41" s="122">
        <f>AB11</f>
        <v>0.51373911280227613</v>
      </c>
      <c r="AC41" s="147">
        <f>$J41*AB41</f>
        <v>315.23031961547667</v>
      </c>
      <c r="AD41" s="122">
        <f>AD11</f>
        <v>0.19822743644831098</v>
      </c>
      <c r="AE41" s="147">
        <f>$J41*AD41</f>
        <v>121.63235500468362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491.96764499531639</v>
      </c>
      <c r="AK41" s="147">
        <f t="shared" si="37"/>
        <v>121.63235500468362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23743.302183787782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7.9209820731096975E-2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5935.8255459469456</v>
      </c>
      <c r="AB43" s="156">
        <f>Poor!AB43</f>
        <v>0.25</v>
      </c>
      <c r="AC43" s="147">
        <f t="shared" si="39"/>
        <v>5935.8255459469456</v>
      </c>
      <c r="AD43" s="156">
        <f>Poor!AD43</f>
        <v>0.25</v>
      </c>
      <c r="AE43" s="147">
        <f t="shared" si="40"/>
        <v>5935.8255459469456</v>
      </c>
      <c r="AF43" s="122">
        <f t="shared" si="31"/>
        <v>0.25</v>
      </c>
      <c r="AG43" s="147">
        <f t="shared" si="34"/>
        <v>5935.8255459469456</v>
      </c>
      <c r="AH43" s="123">
        <f t="shared" si="35"/>
        <v>1</v>
      </c>
      <c r="AI43" s="112">
        <f t="shared" si="35"/>
        <v>23743.302183787782</v>
      </c>
      <c r="AJ43" s="148">
        <f t="shared" si="36"/>
        <v>11871.651091893891</v>
      </c>
      <c r="AK43" s="147">
        <f t="shared" si="37"/>
        <v>11871.651091893891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871.31384160689095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2.9067824121503474E-3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217.82846040172274</v>
      </c>
      <c r="AB44" s="156">
        <f>Poor!AB44</f>
        <v>0.25</v>
      </c>
      <c r="AC44" s="147">
        <f t="shared" si="39"/>
        <v>217.82846040172274</v>
      </c>
      <c r="AD44" s="156">
        <f>Poor!AD44</f>
        <v>0.25</v>
      </c>
      <c r="AE44" s="147">
        <f t="shared" si="40"/>
        <v>217.82846040172274</v>
      </c>
      <c r="AF44" s="122">
        <f t="shared" si="31"/>
        <v>0.25</v>
      </c>
      <c r="AG44" s="147">
        <f t="shared" si="34"/>
        <v>217.82846040172274</v>
      </c>
      <c r="AH44" s="123">
        <f t="shared" si="35"/>
        <v>1</v>
      </c>
      <c r="AI44" s="112">
        <f t="shared" si="35"/>
        <v>871.31384160689095</v>
      </c>
      <c r="AJ44" s="148">
        <f t="shared" si="36"/>
        <v>435.65692080344547</v>
      </c>
      <c r="AK44" s="147">
        <f t="shared" si="37"/>
        <v>435.65692080344547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774.16244139167327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2.5826764838655729E-3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193.54061034791832</v>
      </c>
      <c r="AB45" s="156">
        <f>Poor!AB45</f>
        <v>0.25</v>
      </c>
      <c r="AC45" s="147">
        <f t="shared" si="39"/>
        <v>193.54061034791832</v>
      </c>
      <c r="AD45" s="156">
        <f>Poor!AD45</f>
        <v>0.25</v>
      </c>
      <c r="AE45" s="147">
        <f t="shared" si="40"/>
        <v>193.54061034791832</v>
      </c>
      <c r="AF45" s="122">
        <f t="shared" si="31"/>
        <v>0.25</v>
      </c>
      <c r="AG45" s="147">
        <f t="shared" si="34"/>
        <v>193.54061034791832</v>
      </c>
      <c r="AH45" s="123">
        <f t="shared" si="35"/>
        <v>1</v>
      </c>
      <c r="AI45" s="112">
        <f t="shared" si="35"/>
        <v>774.16244139167327</v>
      </c>
      <c r="AJ45" s="148">
        <f t="shared" si="36"/>
        <v>387.08122069583663</v>
      </c>
      <c r="AK45" s="147">
        <f t="shared" si="37"/>
        <v>387.08122069583663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829.56205279770313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2.767494638226611E-3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207.39051319942578</v>
      </c>
      <c r="AB46" s="156">
        <f>Poor!AB46</f>
        <v>0.25</v>
      </c>
      <c r="AC46" s="147">
        <f t="shared" si="39"/>
        <v>207.39051319942578</v>
      </c>
      <c r="AD46" s="156">
        <f>Poor!AD46</f>
        <v>0.25</v>
      </c>
      <c r="AE46" s="147">
        <f t="shared" si="40"/>
        <v>207.39051319942578</v>
      </c>
      <c r="AF46" s="122">
        <f t="shared" si="31"/>
        <v>0.25</v>
      </c>
      <c r="AG46" s="147">
        <f t="shared" si="34"/>
        <v>207.39051319942578</v>
      </c>
      <c r="AH46" s="123">
        <f t="shared" si="35"/>
        <v>1</v>
      </c>
      <c r="AI46" s="112">
        <f t="shared" si="35"/>
        <v>829.56205279770313</v>
      </c>
      <c r="AJ46" s="148">
        <f t="shared" si="36"/>
        <v>414.78102639885157</v>
      </c>
      <c r="AK46" s="147">
        <f t="shared" si="37"/>
        <v>414.78102639885157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1248.2573093974158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4.164300186145266E-3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312.06432734935396</v>
      </c>
      <c r="AB47" s="156">
        <f>Poor!AB47</f>
        <v>0.25</v>
      </c>
      <c r="AC47" s="147">
        <f t="shared" si="39"/>
        <v>312.06432734935396</v>
      </c>
      <c r="AD47" s="156">
        <f>Poor!AD47</f>
        <v>0.25</v>
      </c>
      <c r="AE47" s="147">
        <f t="shared" si="40"/>
        <v>312.06432734935396</v>
      </c>
      <c r="AF47" s="122">
        <f t="shared" si="31"/>
        <v>0.25</v>
      </c>
      <c r="AG47" s="147">
        <f t="shared" si="34"/>
        <v>312.06432734935396</v>
      </c>
      <c r="AH47" s="123">
        <f t="shared" si="35"/>
        <v>1</v>
      </c>
      <c r="AI47" s="112">
        <f t="shared" si="35"/>
        <v>1248.2573093974158</v>
      </c>
      <c r="AJ47" s="148">
        <f t="shared" si="36"/>
        <v>624.12865469870792</v>
      </c>
      <c r="AK47" s="147">
        <f t="shared" si="37"/>
        <v>624.12865469870792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290.43794720229698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9.6892747071678246E-4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72.609486800574246</v>
      </c>
      <c r="AB48" s="156">
        <f>Poor!AB48</f>
        <v>0.25</v>
      </c>
      <c r="AC48" s="147">
        <f t="shared" si="39"/>
        <v>72.609486800574246</v>
      </c>
      <c r="AD48" s="156">
        <f>Poor!AD48</f>
        <v>0.25</v>
      </c>
      <c r="AE48" s="147">
        <f t="shared" si="40"/>
        <v>72.609486800574246</v>
      </c>
      <c r="AF48" s="122">
        <f t="shared" si="31"/>
        <v>0.25</v>
      </c>
      <c r="AG48" s="147">
        <f t="shared" si="34"/>
        <v>72.609486800574246</v>
      </c>
      <c r="AH48" s="123">
        <f t="shared" si="35"/>
        <v>1</v>
      </c>
      <c r="AI48" s="112">
        <f t="shared" si="35"/>
        <v>290.43794720229698</v>
      </c>
      <c r="AJ48" s="148">
        <f t="shared" si="36"/>
        <v>145.21897360114849</v>
      </c>
      <c r="AK48" s="147">
        <f t="shared" si="37"/>
        <v>145.21897360114849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718.8339193256852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2.3980954900240372E-3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179.7084798314213</v>
      </c>
      <c r="AB49" s="156">
        <f>Poor!AB49</f>
        <v>0.25</v>
      </c>
      <c r="AC49" s="147">
        <f t="shared" si="39"/>
        <v>179.7084798314213</v>
      </c>
      <c r="AD49" s="156">
        <f>Poor!AD49</f>
        <v>0.25</v>
      </c>
      <c r="AE49" s="147">
        <f t="shared" si="40"/>
        <v>179.7084798314213</v>
      </c>
      <c r="AF49" s="122">
        <f t="shared" si="31"/>
        <v>0.25</v>
      </c>
      <c r="AG49" s="147">
        <f t="shared" si="34"/>
        <v>179.7084798314213</v>
      </c>
      <c r="AH49" s="123">
        <f t="shared" si="35"/>
        <v>1</v>
      </c>
      <c r="AI49" s="112">
        <f t="shared" si="35"/>
        <v>718.8339193256852</v>
      </c>
      <c r="AJ49" s="148">
        <f t="shared" si="36"/>
        <v>359.4169596628426</v>
      </c>
      <c r="AK49" s="147">
        <f t="shared" si="37"/>
        <v>359.4169596628426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365.95181347489427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1.2208486131031462E-3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91.487953368723566</v>
      </c>
      <c r="AB50" s="156">
        <f>Poor!AB55</f>
        <v>0.25</v>
      </c>
      <c r="AC50" s="147">
        <f t="shared" si="39"/>
        <v>91.487953368723566</v>
      </c>
      <c r="AD50" s="156">
        <f>Poor!AD55</f>
        <v>0.25</v>
      </c>
      <c r="AE50" s="147">
        <f t="shared" si="40"/>
        <v>91.487953368723566</v>
      </c>
      <c r="AF50" s="122">
        <f t="shared" si="31"/>
        <v>0.25</v>
      </c>
      <c r="AG50" s="147">
        <f t="shared" si="34"/>
        <v>91.487953368723566</v>
      </c>
      <c r="AH50" s="123">
        <f t="shared" si="35"/>
        <v>1</v>
      </c>
      <c r="AI50" s="112">
        <f t="shared" si="35"/>
        <v>365.95181347489427</v>
      </c>
      <c r="AJ50" s="148">
        <f t="shared" si="36"/>
        <v>182.97590673744713</v>
      </c>
      <c r="AK50" s="147">
        <f t="shared" si="37"/>
        <v>182.97590673744713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435.65692080344547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1.4533912060751737E-3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108.91423020086137</v>
      </c>
      <c r="AB51" s="156">
        <f>Poor!AB56</f>
        <v>0.25</v>
      </c>
      <c r="AC51" s="147">
        <f t="shared" si="39"/>
        <v>108.91423020086137</v>
      </c>
      <c r="AD51" s="156">
        <f>Poor!AD56</f>
        <v>0.25</v>
      </c>
      <c r="AE51" s="147">
        <f t="shared" si="40"/>
        <v>108.91423020086137</v>
      </c>
      <c r="AF51" s="122">
        <f t="shared" si="31"/>
        <v>0.25</v>
      </c>
      <c r="AG51" s="147">
        <f t="shared" si="34"/>
        <v>108.91423020086137</v>
      </c>
      <c r="AH51" s="123">
        <f t="shared" si="35"/>
        <v>1</v>
      </c>
      <c r="AI51" s="112">
        <f t="shared" si="35"/>
        <v>435.65692080344547</v>
      </c>
      <c r="AJ51" s="148">
        <f t="shared" si="36"/>
        <v>217.82846040172274</v>
      </c>
      <c r="AK51" s="147">
        <f t="shared" si="37"/>
        <v>217.82846040172274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871.31384160689095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2.9067824121503474E-3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217.82846040172274</v>
      </c>
      <c r="AB52" s="156">
        <f>Poor!AB57</f>
        <v>0.25</v>
      </c>
      <c r="AC52" s="147">
        <f t="shared" si="39"/>
        <v>217.82846040172274</v>
      </c>
      <c r="AD52" s="156">
        <f>Poor!AD57</f>
        <v>0.25</v>
      </c>
      <c r="AE52" s="147">
        <f t="shared" si="40"/>
        <v>217.82846040172274</v>
      </c>
      <c r="AF52" s="122">
        <f t="shared" si="31"/>
        <v>0.25</v>
      </c>
      <c r="AG52" s="147">
        <f t="shared" si="34"/>
        <v>217.82846040172274</v>
      </c>
      <c r="AH52" s="123">
        <f t="shared" si="35"/>
        <v>1</v>
      </c>
      <c r="AI52" s="112">
        <f t="shared" si="35"/>
        <v>871.31384160689095</v>
      </c>
      <c r="AJ52" s="148">
        <f t="shared" si="36"/>
        <v>435.65692080344547</v>
      </c>
      <c r="AK52" s="147">
        <f t="shared" si="37"/>
        <v>435.65692080344547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10107.240562639936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3.3718675980944031E-2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871.31384160689095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2.9067824121503474E-3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267071.31199999998</v>
      </c>
      <c r="J65" s="39">
        <f>SUM(J37:J64)</f>
        <v>297260.02140632819</v>
      </c>
      <c r="K65" s="40">
        <f>SUM(K37:K64)</f>
        <v>1</v>
      </c>
      <c r="L65" s="22">
        <f>SUM(L37:L64)</f>
        <v>0.98806706877685546</v>
      </c>
      <c r="M65" s="24">
        <f>SUM(M37:M64)</f>
        <v>0.9916865322210634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70737.324718232325</v>
      </c>
      <c r="AB65" s="137"/>
      <c r="AC65" s="153">
        <f>SUM(AC37:AC64)</f>
        <v>74139.317301625531</v>
      </c>
      <c r="AD65" s="137"/>
      <c r="AE65" s="153">
        <f>SUM(AE37:AE64)</f>
        <v>69570.209652046498</v>
      </c>
      <c r="AF65" s="137"/>
      <c r="AG65" s="153">
        <f>SUM(AG37:AG64)</f>
        <v>71834.61533017701</v>
      </c>
      <c r="AH65" s="137"/>
      <c r="AI65" s="153">
        <f>SUM(AI37:AI64)</f>
        <v>286281.46700208134</v>
      </c>
      <c r="AJ65" s="153">
        <f>SUM(AJ37:AJ64)</f>
        <v>144876.64201985789</v>
      </c>
      <c r="AK65" s="153">
        <f>SUM(AK37:AK64)</f>
        <v>141404.82498222351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247105.42729034973</v>
      </c>
      <c r="J74" s="51">
        <f>J128*I$83</f>
        <v>1874.1186992123394</v>
      </c>
      <c r="K74" s="40">
        <f>B74/B$76</f>
        <v>3.0491238976837635E-2</v>
      </c>
      <c r="L74" s="22">
        <f>(L128*G$37*F$9/F$7)/B$130</f>
        <v>2.949995199395505E-2</v>
      </c>
      <c r="M74" s="24">
        <f>J74/B$76</f>
        <v>6.2522308415368013E-3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3.8777942176095972</v>
      </c>
      <c r="AB74" s="156"/>
      <c r="AC74" s="147">
        <f>AC30*$I$83/4</f>
        <v>-1.3711126522801877E-12</v>
      </c>
      <c r="AD74" s="156"/>
      <c r="AE74" s="147">
        <f>AE30*$I$83/4</f>
        <v>1602.480253452718</v>
      </c>
      <c r="AF74" s="156"/>
      <c r="AG74" s="147">
        <f>AG30*$I$83/4</f>
        <v>1432.8224680036553</v>
      </c>
      <c r="AH74" s="155"/>
      <c r="AI74" s="147">
        <f>SUM(AA74,AC74,AE74,AG74)</f>
        <v>3039.1805156739815</v>
      </c>
      <c r="AJ74" s="148">
        <f>(AA74+AC74)</f>
        <v>3.8777942176082263</v>
      </c>
      <c r="AK74" s="147">
        <f>(AE74+AG74)</f>
        <v>3035.3027214563735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172969.27133079895</v>
      </c>
      <c r="K75" s="40">
        <f>B75/B$76</f>
        <v>0.63228327833131914</v>
      </c>
      <c r="L75" s="22">
        <f>(L129*G$37*F$9/F$7)/B$130</f>
        <v>0.55017407394643247</v>
      </c>
      <c r="M75" s="24">
        <f>J75/B$76</f>
        <v>0.57704125854305877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65741.97574660214</v>
      </c>
      <c r="AB75" s="158"/>
      <c r="AC75" s="149">
        <f>AA75+AC65-SUM(AC70,AC74)</f>
        <v>134889.8218708151</v>
      </c>
      <c r="AD75" s="158"/>
      <c r="AE75" s="149">
        <f>AC75+AE65-SUM(AE70,AE74)</f>
        <v>197866.08009199629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263276.40177675709</v>
      </c>
      <c r="AJ75" s="151">
        <f>AJ76-SUM(AJ70,AJ74)</f>
        <v>134889.8218708151</v>
      </c>
      <c r="AK75" s="149">
        <f>AJ75+AK76-SUM(AK70,AK74)</f>
        <v>263276.40177675703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267071.31200000003</v>
      </c>
      <c r="J76" s="51">
        <f>J130*I$83</f>
        <v>297260.02140632825</v>
      </c>
      <c r="K76" s="40">
        <f>SUM(K70:K75)</f>
        <v>0.85547163432882312</v>
      </c>
      <c r="L76" s="22">
        <f>SUM(L70:L75)</f>
        <v>0.81752359728486645</v>
      </c>
      <c r="M76" s="24">
        <f>SUM(M70:M75)</f>
        <v>0.82114306072907461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70737.324718232325</v>
      </c>
      <c r="AB76" s="137"/>
      <c r="AC76" s="153">
        <f>AC65</f>
        <v>74139.317301625531</v>
      </c>
      <c r="AD76" s="137"/>
      <c r="AE76" s="153">
        <f>AE65</f>
        <v>69570.209652046498</v>
      </c>
      <c r="AF76" s="137"/>
      <c r="AG76" s="153">
        <f>AG65</f>
        <v>71834.61533017701</v>
      </c>
      <c r="AH76" s="137"/>
      <c r="AI76" s="153">
        <f>SUM(AA76,AC76,AE76,AG76)</f>
        <v>286281.46700208134</v>
      </c>
      <c r="AJ76" s="154">
        <f>SUM(AA76,AC76)</f>
        <v>144876.64201985786</v>
      </c>
      <c r="AK76" s="154">
        <f>SUM(AE76,AG76)</f>
        <v>141404.82498222351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65741.97574660214</v>
      </c>
      <c r="AD78" s="112"/>
      <c r="AE78" s="112">
        <f>AC75</f>
        <v>134889.8218708151</v>
      </c>
      <c r="AF78" s="112"/>
      <c r="AG78" s="112">
        <f>AE75</f>
        <v>197866.08009199629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65745.853540819749</v>
      </c>
      <c r="AB79" s="112"/>
      <c r="AC79" s="112">
        <f>AA79-AA74+AC65-AC70</f>
        <v>134889.8218708151</v>
      </c>
      <c r="AD79" s="112"/>
      <c r="AE79" s="112">
        <f>AC79-AC74+AE65-AE70</f>
        <v>199468.56034544902</v>
      </c>
      <c r="AF79" s="112"/>
      <c r="AG79" s="112">
        <f>AE79-AE74+AG65-AG70</f>
        <v>264709.22424476076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0.23619723295259734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0.23619723295259734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0.53007912104703769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0.53007912104703769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0.11087654971843075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0.11087654971843075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0.96127625695949015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0.96127625695949015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3.5276192915944589E-2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3.5276192915944589E-2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3.1342901176052346E-2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3.1342901176052346E-2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3.358582133421642E-2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3.358582133421642E-2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5.0537204337111639E-2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5.0537204337111639E-2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1.175873097198153E-2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1.175873097198153E-2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2.910285915565429E-2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2.910285915565429E-2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1.481600102469673E-2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1.481600102469673E-2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1.7638096457972294E-2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1.7638096457972294E-2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3.5276192915944589E-2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3.5276192915944589E-2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0.40920383782495723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0.40920383782495723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3.5276192915944589E-2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3.5276192915944589E-2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10.812704532561529</v>
      </c>
      <c r="J119" s="24">
        <f>SUM(J91:J118)</f>
        <v>12.034930883214974</v>
      </c>
      <c r="K119" s="22">
        <f>SUM(K91:K118)</f>
        <v>20.024105714968115</v>
      </c>
      <c r="L119" s="22">
        <f>SUM(L91:L118)</f>
        <v>11.991005720403894</v>
      </c>
      <c r="M119" s="57">
        <f t="shared" si="50"/>
        <v>12.034930883214974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10.004361582957729</v>
      </c>
      <c r="J128" s="226">
        <f>(J30)</f>
        <v>7.587595837897998E-2</v>
      </c>
      <c r="K128" s="22">
        <f>(B128)</f>
        <v>0.610559792652553</v>
      </c>
      <c r="L128" s="22">
        <f>IF(L124=L119,0,(L119-L124)/(B119-B124)*K128)</f>
        <v>0.35800615594753965</v>
      </c>
      <c r="M128" s="57">
        <f t="shared" si="90"/>
        <v>7.587595837897998E-2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7.002869795736034</v>
      </c>
      <c r="K129" s="29">
        <f>(B129)</f>
        <v>12.66090720711294</v>
      </c>
      <c r="L129" s="60">
        <f>IF(SUM(L124:L128)&gt;L130,0,L130-SUM(L124:L128))</f>
        <v>6.6768144353563939</v>
      </c>
      <c r="M129" s="57">
        <f t="shared" si="90"/>
        <v>7.002869795736034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10.812704532561529</v>
      </c>
      <c r="J130" s="226">
        <f>(J119)</f>
        <v>12.034930883214974</v>
      </c>
      <c r="K130" s="22">
        <f>(B130)</f>
        <v>20.024105714968115</v>
      </c>
      <c r="L130" s="22">
        <f>(L119)</f>
        <v>11.991005720403894</v>
      </c>
      <c r="M130" s="57">
        <f t="shared" si="90"/>
        <v>12.034930883214974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3275.3287507154064</v>
      </c>
      <c r="G72" s="109">
        <f>Poor!T7</f>
        <v>3693.7273580226442</v>
      </c>
      <c r="H72" s="109">
        <f>Middle!T7</f>
        <v>7108.708312548004</v>
      </c>
      <c r="I72" s="109">
        <f>Rich!T7</f>
        <v>18152.105120480373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174.61003010910653</v>
      </c>
      <c r="G73" s="109">
        <f>Poor!T8</f>
        <v>350.00000000000006</v>
      </c>
      <c r="H73" s="109">
        <f>Middle!T8</f>
        <v>11724.420339206097</v>
      </c>
      <c r="I73" s="109">
        <f>Rich!T8</f>
        <v>51409.183344551893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1319.9567999679357</v>
      </c>
      <c r="I74" s="109">
        <f>Rich!T9</f>
        <v>1843.4831574624613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3876.357060031411</v>
      </c>
      <c r="I75" s="109">
        <f>Rich!T10</f>
        <v>7292.521577910421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11750.896296847424</v>
      </c>
      <c r="I76" s="109">
        <f>Rich!T11</f>
        <v>22105.071835447976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12787.200000000003</v>
      </c>
      <c r="H77" s="109">
        <f>Middle!T12</f>
        <v>2337.4170297549963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10312.214108992182</v>
      </c>
      <c r="G78" s="109">
        <f>Poor!T13</f>
        <v>6917.7712871937456</v>
      </c>
      <c r="H78" s="109">
        <f>Middle!T13</f>
        <v>34825.328465395316</v>
      </c>
      <c r="I78" s="109">
        <f>Rich!T13</f>
        <v>109032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18066.397833849598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33417.600000000006</v>
      </c>
      <c r="G82" s="109">
        <f>Poor!T17</f>
        <v>33417.600000000006</v>
      </c>
      <c r="H82" s="109">
        <f>Middle!T17</f>
        <v>10053.599999999999</v>
      </c>
      <c r="I82" s="109">
        <f>Rich!T17</f>
        <v>12567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68413.301668486223</v>
      </c>
      <c r="G88" s="109">
        <f>Poor!T23</f>
        <v>65173.808804621782</v>
      </c>
      <c r="H88" s="109">
        <f>Middle!T23</f>
        <v>113778.24310777462</v>
      </c>
      <c r="I88" s="109">
        <f>Rich!T23</f>
        <v>391570.61503585312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3461.7039677275898</v>
      </c>
      <c r="G99" s="237">
        <f t="shared" si="0"/>
        <v>6701.1968315920312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44384.103967727584</v>
      </c>
      <c r="G100" s="237">
        <f t="shared" si="0"/>
        <v>47623.596831592025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2016-06-02T06:21:04Z</dcterms:modified>
  <cp:category/>
</cp:coreProperties>
</file>