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<sst xmlns="http://schemas.openxmlformats.org/spreadsheetml/2006/main" count="790" uniqueCount="145">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</sst>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0.0104278953922789</c:v>
                </c:pt>
                <c:pt idx="2" formatCode="0.0%">
                  <c:v>0.0104278953922789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0.00196880837484433</c:v>
                </c:pt>
                <c:pt idx="2" formatCode="0.0%">
                  <c:v>0.00196880837484433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0.27076910239726</c:v>
                </c:pt>
                <c:pt idx="2" formatCode="0.0%">
                  <c:v>0.27076910239726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0.0184660647571606</c:v>
                </c:pt>
                <c:pt idx="2" formatCode="0.0%">
                  <c:v>0.0184660647571606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0.0736470112079701</c:v>
                </c:pt>
                <c:pt idx="2" formatCode="0.0%">
                  <c:v>0.0736470112079701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0.0022062153297093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0.151502660895778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0.394723693339339</c:v>
                </c:pt>
                <c:pt idx="2" formatCode="0.0%">
                  <c:v>0.385638444969832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794376"/>
        <c:axId val="1769774232"/>
      </c:barChart>
      <c:catAx>
        <c:axId val="-199479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77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77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79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0.0624233561418187</c:v>
                </c:pt>
                <c:pt idx="2">
                  <c:v>0.0624233561418187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0.0110974855363233</c:v>
                </c:pt>
                <c:pt idx="2">
                  <c:v>0.0109845328641124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0.00611669538465914</c:v>
                </c:pt>
                <c:pt idx="2">
                  <c:v>0.00611669538465914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0.553487091124126</c:v>
                </c:pt>
                <c:pt idx="2">
                  <c:v>0.553487091124126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0.177932948158838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0.0720721275884708</c:v>
                </c:pt>
                <c:pt idx="2">
                  <c:v>0.0720721275884708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501016"/>
        <c:axId val="1772504040"/>
      </c:barChart>
      <c:catAx>
        <c:axId val="177250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50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0.0332870129008408</c:v>
                </c:pt>
                <c:pt idx="2">
                  <c:v>0.0332870129008408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0.00887653677355754</c:v>
                </c:pt>
                <c:pt idx="2">
                  <c:v>0.00882986482495269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0.00665740258016816</c:v>
                </c:pt>
                <c:pt idx="2">
                  <c:v>0.00665740258016815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0.0161427907902594</c:v>
                </c:pt>
                <c:pt idx="2">
                  <c:v>0.0163691299647436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0.732314283818497</c:v>
                </c:pt>
                <c:pt idx="2">
                  <c:v>0.732314283818497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0.0288241371792563</c:v>
                </c:pt>
                <c:pt idx="2">
                  <c:v>0.0288241371792563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643368"/>
        <c:axId val="1772646424"/>
      </c:barChart>
      <c:catAx>
        <c:axId val="177264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4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64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4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0.127117284621717</c:v>
                </c:pt>
                <c:pt idx="2">
                  <c:v>0.127117284621717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0.149150947289481</c:v>
                </c:pt>
                <c:pt idx="2">
                  <c:v>0.149150947289481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0.684509803486522</c:v>
                </c:pt>
                <c:pt idx="2">
                  <c:v>0.684509803486522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786792"/>
        <c:axId val="1772789816"/>
      </c:barChart>
      <c:catAx>
        <c:axId val="177278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8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78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86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667.8801090348222</c:v>
                </c:pt>
                <c:pt idx="5">
                  <c:v>5082.984868510996</c:v>
                </c:pt>
                <c:pt idx="6">
                  <c:v>7766.932484327554</c:v>
                </c:pt>
                <c:pt idx="7">
                  <c:v>7092.949520593634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6684.751369898906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170.8154318984513</c:v>
                </c:pt>
                <c:pt idx="6">
                  <c:v>442.2117796661332</c:v>
                </c:pt>
                <c:pt idx="7">
                  <c:v>1362.961214417243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3426.72</c:v>
                </c:pt>
                <c:pt idx="6">
                  <c:v>9991.026813384984</c:v>
                </c:pt>
                <c:pt idx="7">
                  <c:v>19918.22032040529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4495.5</c:v>
                </c:pt>
                <c:pt idx="5">
                  <c:v>8075.250000000003</c:v>
                </c:pt>
                <c:pt idx="6">
                  <c:v>832.5000000000001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5274.72</c:v>
                </c:pt>
                <c:pt idx="5">
                  <c:v>6260.400000000001</c:v>
                </c:pt>
                <c:pt idx="6">
                  <c:v>75331.2</c:v>
                </c:pt>
                <c:pt idx="7">
                  <c:v>299059.2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4149.07100274374</c:v>
                </c:pt>
                <c:pt idx="6">
                  <c:v>24217.19082394477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24207.67428073235</c:v>
                </c:pt>
                <c:pt idx="5">
                  <c:v>21932.25980819529</c:v>
                </c:pt>
                <c:pt idx="6">
                  <c:v>9809.225806451615</c:v>
                </c:pt>
                <c:pt idx="7">
                  <c:v>11771.07096774194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909928"/>
        <c:axId val="17729133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09928"/>
        <c:axId val="1772913304"/>
      </c:lineChart>
      <c:catAx>
        <c:axId val="17729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91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91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90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028824"/>
        <c:axId val="1773032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28824"/>
        <c:axId val="1773032056"/>
      </c:lineChart>
      <c:catAx>
        <c:axId val="177302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032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03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02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121528"/>
        <c:axId val="17731248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21528"/>
        <c:axId val="1773124808"/>
      </c:lineChart>
      <c:catAx>
        <c:axId val="17731215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2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12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0.314978224058254</c:v>
                </c:pt>
                <c:pt idx="2">
                  <c:v>0.314978224058254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0.151977629411978</c:v>
                </c:pt>
                <c:pt idx="2">
                  <c:v>0.157512204794776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0.124257053254153</c:v>
                </c:pt>
                <c:pt idx="2">
                  <c:v>0.12139706230472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-0.163000594646276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432632"/>
        <c:axId val="1772429272"/>
      </c:barChart>
      <c:catAx>
        <c:axId val="17724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42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42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4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0.0352101290351265</c:v>
                </c:pt>
                <c:pt idx="2">
                  <c:v>0.0119101267560084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0.251944559937969</c:v>
                </c:pt>
                <c:pt idx="2">
                  <c:v>0.27367088261442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0.0352101290351265</c:v>
                </c:pt>
                <c:pt idx="2">
                  <c:v>0.0119101267560084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370776"/>
        <c:axId val="1772367352"/>
      </c:barChart>
      <c:catAx>
        <c:axId val="177237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3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70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0.0114533844620152</c:v>
                </c:pt>
                <c:pt idx="2">
                  <c:v>0.0015825938261632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0.622925568823259</c:v>
                </c:pt>
                <c:pt idx="2">
                  <c:v>0.632976026684991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0.0114533844620152</c:v>
                </c:pt>
                <c:pt idx="2">
                  <c:v>0.0015825938261632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315528"/>
        <c:axId val="1772312008"/>
      </c:barChart>
      <c:catAx>
        <c:axId val="17723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31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1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0.627068362219293</c:v>
                </c:pt>
                <c:pt idx="2">
                  <c:v>0.627068362219293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0.389852353943668</c:v>
                </c:pt>
                <c:pt idx="2">
                  <c:v>0.389852353943668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0.186896403897499</c:v>
                </c:pt>
                <c:pt idx="2">
                  <c:v>0.246108809553902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-0.389852353943668</c:v>
                </c:pt>
                <c:pt idx="2">
                  <c:v>-0.138075509027528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254120"/>
        <c:axId val="1772250760"/>
      </c:barChart>
      <c:catAx>
        <c:axId val="17722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25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25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25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0.00393761674968867</c:v>
                </c:pt>
                <c:pt idx="2" formatCode="0.0%">
                  <c:v>0.00393761674968867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0.300854558219178</c:v>
                </c:pt>
                <c:pt idx="2" formatCode="0.0%">
                  <c:v>0.300854558219178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0.0336256176836862</c:v>
                </c:pt>
                <c:pt idx="2" formatCode="0.0%">
                  <c:v>0.0336256176836862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0.1034099626401</c:v>
                </c:pt>
                <c:pt idx="2" formatCode="0.0%">
                  <c:v>0.1034099626401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0.0957411145703611</c:v>
                </c:pt>
                <c:pt idx="2" formatCode="0.0%">
                  <c:v>0.0957411145703611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0.0300435865504359</c:v>
                </c:pt>
                <c:pt idx="2" formatCode="0.0%">
                  <c:v>0.0300435865504359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0.00938736503952069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0.00268598017026748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0.195151667735943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0.347787625857044</c:v>
                </c:pt>
                <c:pt idx="2" formatCode="0.0%">
                  <c:v>0.117642133716587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476840"/>
        <c:axId val="1771480136"/>
      </c:barChart>
      <c:catAx>
        <c:axId val="177147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48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48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476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350824"/>
        <c:axId val="-20253474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50824"/>
        <c:axId val="-20253474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350824"/>
        <c:axId val="-2025347480"/>
      </c:scatterChart>
      <c:catAx>
        <c:axId val="-2025350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347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5347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3508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788728"/>
        <c:axId val="17707920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88728"/>
        <c:axId val="1770792088"/>
      </c:lineChart>
      <c:catAx>
        <c:axId val="1770788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792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0792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788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016"/>
        <c:axId val="-1992086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089928"/>
        <c:axId val="-1992092824"/>
      </c:scatterChart>
      <c:valAx>
        <c:axId val="-19913110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86312"/>
        <c:crosses val="autoZero"/>
        <c:crossBetween val="midCat"/>
      </c:valAx>
      <c:valAx>
        <c:axId val="-1992086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311016"/>
        <c:crosses val="autoZero"/>
        <c:crossBetween val="midCat"/>
      </c:valAx>
      <c:valAx>
        <c:axId val="-1992089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2092824"/>
        <c:crosses val="autoZero"/>
        <c:crossBetween val="midCat"/>
      </c:valAx>
      <c:valAx>
        <c:axId val="-19920928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899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98776"/>
        <c:axId val="1773545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98776"/>
        <c:axId val="1773545096"/>
      </c:lineChart>
      <c:catAx>
        <c:axId val="177209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545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3545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20987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0.023775601494396</c:v>
                </c:pt>
                <c:pt idx="2" formatCode="0.0%">
                  <c:v>0.023775601494396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0.12378016109589</c:v>
                </c:pt>
                <c:pt idx="2" formatCode="0.0%">
                  <c:v>0.109895920213894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0.0403507412204234</c:v>
                </c:pt>
                <c:pt idx="2" formatCode="0.0%">
                  <c:v>0.0403507412204234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0.141819377334994</c:v>
                </c:pt>
                <c:pt idx="2" formatCode="0.0%">
                  <c:v>0.141819377334994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0.132564620174346</c:v>
                </c:pt>
                <c:pt idx="2" formatCode="0.0%">
                  <c:v>0.132564620174346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0.0901307596513076</c:v>
                </c:pt>
                <c:pt idx="2" formatCode="0.0%">
                  <c:v>0.0901307596513076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0.00314050937129625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0.336279143053449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0.339447505269647</c:v>
                </c:pt>
                <c:pt idx="2" formatCode="0.0%">
                  <c:v>0.0469038237499035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607624"/>
        <c:axId val="1771610968"/>
      </c:barChart>
      <c:catAx>
        <c:axId val="177160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61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61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60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0.00721046077210461</c:v>
                </c:pt>
                <c:pt idx="2" formatCode="0.0%">
                  <c:v>0.00721046077210461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0.479682041918369</c:v>
                </c:pt>
                <c:pt idx="2" formatCode="0.0%">
                  <c:v>0.631654616349173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739176"/>
        <c:axId val="1771742504"/>
      </c:barChart>
      <c:catAx>
        <c:axId val="177173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4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74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3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0.00498960641233431</c:v>
                </c:pt>
                <c:pt idx="1">
                  <c:v>0.00288562708704302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0.686217748179884</c:v>
                </c:pt>
                <c:pt idx="1">
                  <c:v>0.396858661409157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0.0467990670398253</c:v>
                </c:pt>
                <c:pt idx="1">
                  <c:v>0.0270651919888173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0.19737399003736</c:v>
                </c:pt>
                <c:pt idx="3">
                  <c:v>0.0972140547945205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0.00441243065941859</c:v>
                </c:pt>
                <c:pt idx="3">
                  <c:v>0.00441243065941859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0.151502660895778</c:v>
                </c:pt>
                <c:pt idx="1">
                  <c:v>0.151502660895778</c:v>
                </c:pt>
                <c:pt idx="2">
                  <c:v>0.151502660895778</c:v>
                </c:pt>
                <c:pt idx="3">
                  <c:v>0.151502660895778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0.335231810387376</c:v>
                </c:pt>
                <c:pt idx="2">
                  <c:v>0.553581017124556</c:v>
                </c:pt>
                <c:pt idx="3">
                  <c:v>0.653740952367395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832936"/>
        <c:axId val="1771836312"/>
      </c:barChart>
      <c:catAx>
        <c:axId val="177183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36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83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3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0.165040214794521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0.0288418430884184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0.486243072936969</c:v>
                </c:pt>
                <c:pt idx="1">
                  <c:v>0.680125130819908</c:v>
                </c:pt>
                <c:pt idx="2">
                  <c:v>0.680125130819908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939720"/>
        <c:axId val="1771943096"/>
      </c:barChart>
      <c:catAx>
        <c:axId val="1771939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943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94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93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0.0051971653759156</c:v>
                </c:pt>
                <c:pt idx="1">
                  <c:v>0.00626817214907189</c:v>
                </c:pt>
                <c:pt idx="2">
                  <c:v>0.00382651222173653</c:v>
                </c:pt>
                <c:pt idx="3">
                  <c:v>0.000458617252030648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0.397090675035026</c:v>
                </c:pt>
                <c:pt idx="1">
                  <c:v>0.478921206056908</c:v>
                </c:pt>
                <c:pt idx="2">
                  <c:v>0.292365589942661</c:v>
                </c:pt>
                <c:pt idx="3">
                  <c:v>0.0350407618421178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0.0443816417591292</c:v>
                </c:pt>
                <c:pt idx="1">
                  <c:v>0.0535275964266674</c:v>
                </c:pt>
                <c:pt idx="2">
                  <c:v>0.0326768309892624</c:v>
                </c:pt>
                <c:pt idx="3">
                  <c:v>0.00391640155968571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0.136488315527494</c:v>
                </c:pt>
                <c:pt idx="1">
                  <c:v>0.16461516926666</c:v>
                </c:pt>
                <c:pt idx="2">
                  <c:v>0.100492127864639</c:v>
                </c:pt>
                <c:pt idx="3">
                  <c:v>0.0120442379016049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0.256586187048568</c:v>
                </c:pt>
                <c:pt idx="3">
                  <c:v>0.126378271232877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0.120174346201743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0.00537196034053496</c:v>
                </c:pt>
                <c:pt idx="3">
                  <c:v>0.00537196034053496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0.195151667735943</c:v>
                </c:pt>
                <c:pt idx="1">
                  <c:v>0.195151667735943</c:v>
                </c:pt>
                <c:pt idx="2">
                  <c:v>0.195151667735943</c:v>
                </c:pt>
                <c:pt idx="3">
                  <c:v>0.195151667735943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0.470568534866347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049864"/>
        <c:axId val="1772053240"/>
      </c:barChart>
      <c:catAx>
        <c:axId val="1772049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053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205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04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0.0161674090161893</c:v>
                </c:pt>
                <c:pt idx="1">
                  <c:v>0.0161674090161893</c:v>
                </c:pt>
                <c:pt idx="2">
                  <c:v>0.0313837939726027</c:v>
                </c:pt>
                <c:pt idx="3">
                  <c:v>0.0313837939726027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0.0489998466468505</c:v>
                </c:pt>
                <c:pt idx="1">
                  <c:v>0.110545846758296</c:v>
                </c:pt>
                <c:pt idx="2">
                  <c:v>0.0462261777483199</c:v>
                </c:pt>
                <c:pt idx="3">
                  <c:v>0.0347214663309668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0.0895639487383947</c:v>
                </c:pt>
                <c:pt idx="1">
                  <c:v>0.202060276303719</c:v>
                </c:pt>
                <c:pt idx="2">
                  <c:v>0.0844941218706561</c:v>
                </c:pt>
                <c:pt idx="3">
                  <c:v>0.0634653339428051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0.0328854038547404</c:v>
                </c:pt>
                <c:pt idx="1">
                  <c:v>0.0741909427046031</c:v>
                </c:pt>
                <c:pt idx="2">
                  <c:v>0.0310239037046502</c:v>
                </c:pt>
                <c:pt idx="3">
                  <c:v>0.0233027146176999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0.115581210085145</c:v>
                </c:pt>
                <c:pt idx="1">
                  <c:v>0.260756382163743</c:v>
                </c:pt>
                <c:pt idx="2">
                  <c:v>0.109038658840481</c:v>
                </c:pt>
                <c:pt idx="3">
                  <c:v>0.0819012582506056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0.355273182067248</c:v>
                </c:pt>
                <c:pt idx="3">
                  <c:v>0.174985298630137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0.36052303860523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0.00628101874259249</c:v>
                </c:pt>
                <c:pt idx="3">
                  <c:v>0.00628101874259249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0.336279143053449</c:v>
                </c:pt>
                <c:pt idx="1">
                  <c:v>0.336279143053449</c:v>
                </c:pt>
                <c:pt idx="2">
                  <c:v>0.336279143053449</c:v>
                </c:pt>
                <c:pt idx="3">
                  <c:v>0.336279143053449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0.187615294999614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369128"/>
        <c:axId val="1771365736"/>
      </c:barChart>
      <c:catAx>
        <c:axId val="1771369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65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36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6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0.0646993955614353</c:v>
                </c:pt>
                <c:pt idx="2">
                  <c:v>0.0646993955614353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0.0135868730679014</c:v>
                </c:pt>
                <c:pt idx="2">
                  <c:v>0.0135868730679014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0.184485802968743</c:v>
                </c:pt>
                <c:pt idx="2">
                  <c:v>0.184485802968743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0.143024045188139</c:v>
                </c:pt>
                <c:pt idx="2">
                  <c:v>0.143024045188139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0.0947889781140531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0.501060717827188</c:v>
                </c:pt>
                <c:pt idx="2">
                  <c:v>0.501060717827188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185080"/>
        <c:axId val="1771181944"/>
      </c:barChart>
      <c:catAx>
        <c:axId val="177118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18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1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18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667.88010903482223</v>
      </c>
      <c r="T7" s="223">
        <f>IF($B$81=0,0,(SUMIF($N$6:$N$28,$U7,M$6:M$28)+SUMIF($N$91:$N$118,$U7,M$91:M$118))*$I$83*Poor!$B$81/$B$81)</f>
        <v>667.88010903482223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0.16504021479452055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0.16504021479452055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4.1260053698630138E-2</v>
      </c>
      <c r="AJ9" s="120">
        <f t="shared" si="14"/>
        <v>8.2520107397260276E-2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4495.5</v>
      </c>
      <c r="T12" s="223">
        <f>IF($B$81=0,0,(SUMIF($N$6:$N$28,$U12,M$6:M$28)+SUMIF($N$91:$N$118,$U12,M$91:M$118))*$I$83*Poor!$B$81/$B$81)</f>
        <v>4495.5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1</v>
      </c>
      <c r="H13" s="24">
        <f t="shared" si="1"/>
        <v>1</v>
      </c>
      <c r="I13" s="22">
        <f t="shared" si="2"/>
        <v>7.2104607721046078E-3</v>
      </c>
      <c r="J13" s="24">
        <f t="shared" si="3"/>
        <v>7.2104607721046078E-3</v>
      </c>
      <c r="K13" s="22">
        <f t="shared" si="4"/>
        <v>7.2104607721046078E-3</v>
      </c>
      <c r="L13" s="22">
        <f t="shared" si="5"/>
        <v>7.2104607721046078E-3</v>
      </c>
      <c r="M13" s="226">
        <f t="shared" si="6"/>
        <v>7.2104607721046078E-3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5274.72</v>
      </c>
      <c r="T13" s="223">
        <f>IF($B$81=0,0,(SUMIF($N$6:$N$28,$U13,M$6:M$28)+SUMIF($N$91:$N$118,$U13,M$91:M$118))*$I$83*Poor!$B$81/$B$81)</f>
        <v>5274.72</v>
      </c>
      <c r="U13" s="224">
        <v>7</v>
      </c>
      <c r="V13" s="56"/>
      <c r="W13" s="110"/>
      <c r="X13" s="118"/>
      <c r="Y13" s="183">
        <f t="shared" si="9"/>
        <v>2.8841843088418431E-2</v>
      </c>
      <c r="Z13" s="156">
        <f>Poor!Z13</f>
        <v>1</v>
      </c>
      <c r="AA13" s="121">
        <f>$M13*Z13*4</f>
        <v>2.8841843088418431E-2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7.2104607721046078E-3</v>
      </c>
      <c r="AJ13" s="120">
        <f t="shared" si="14"/>
        <v>1.4420921544209216E-2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24207.674280732346</v>
      </c>
      <c r="T17" s="223">
        <f>IF($B$81=0,0,(SUMIF($N$6:$N$28,$U17,M$6:M$28)+SUMIF($N$91:$N$118,$U17,M$91:M$118))*$I$83*Poor!$B$81/$B$81)</f>
        <v>24207.674280732346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40796.469712530714</v>
      </c>
      <c r="T23" s="179">
        <f>SUM(T7:T22)</f>
        <v>41764.149712530707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1.2778566221586318</v>
      </c>
      <c r="J30" s="232">
        <f>IF(I$32&lt;=1,I30,1-SUM(J6:J29))</f>
        <v>0.63165461634917297</v>
      </c>
      <c r="K30" s="22">
        <f t="shared" si="4"/>
        <v>0.92868750784557907</v>
      </c>
      <c r="L30" s="22">
        <f>IF(L124=L119,0,IF(K30="",0,(L119-L124)/(B119-B124)*K30))</f>
        <v>0.47968204191836888</v>
      </c>
      <c r="M30" s="175">
        <f t="shared" si="6"/>
        <v>0.63165461634917297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2.5266184653966919</v>
      </c>
      <c r="Z30" s="122">
        <f>IF($Y30=0,0,AA30/($Y$30))</f>
        <v>0.19244815930711803</v>
      </c>
      <c r="AA30" s="187">
        <f>IF(AA79*4/$I$83+SUM(AA6:AA29)&lt;1,AA79*4/$I$83,1-SUM(AA6:AA29))</f>
        <v>0.48624307293696867</v>
      </c>
      <c r="AB30" s="122">
        <f>IF($Y30=0,0,AC30/($Y$30))</f>
        <v>0.26918394689762731</v>
      </c>
      <c r="AC30" s="187">
        <f>IF(AC79*4/$I$83+SUM(AC6:AC29)&lt;1,AC79*4/$I$83,1-SUM(AC6:AC29))</f>
        <v>0.68012513081990766</v>
      </c>
      <c r="AD30" s="122">
        <f>IF($Y30=0,0,AE30/($Y$30))</f>
        <v>0.26918394689762731</v>
      </c>
      <c r="AE30" s="187">
        <f>IF(AE79*4/$I$83+SUM(AE6:AE29)&lt;1,AE79*4/$I$83,1-SUM(AE6:AE29))</f>
        <v>0.68012513081990766</v>
      </c>
      <c r="AF30" s="122">
        <f>IF($Y30=0,0,AG30/($Y$30))</f>
        <v>0.26918394689762731</v>
      </c>
      <c r="AG30" s="187">
        <f>IF(AG79*4/$I$83+SUM(AG6:AG29)&lt;1,AG79*4/$I$83,1-SUM(AG6:AG29))</f>
        <v>0.68012513081990766</v>
      </c>
      <c r="AH30" s="123">
        <f t="shared" si="12"/>
        <v>1</v>
      </c>
      <c r="AI30" s="183">
        <f t="shared" si="13"/>
        <v>0.63165461634917297</v>
      </c>
      <c r="AJ30" s="120">
        <f t="shared" si="14"/>
        <v>0.58318410187843817</v>
      </c>
      <c r="AK30" s="119">
        <f t="shared" si="15"/>
        <v>0.68012513081990766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0.25773134090082106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5850.7173672661884</v>
      </c>
      <c r="T31" s="235">
        <f>IF(T25&gt;T$23,T25-T$23,0)</f>
        <v>4883.0373672661954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1.6462020058094589</v>
      </c>
      <c r="J32" s="17"/>
      <c r="L32" s="22">
        <f>SUM(L6:L30)</f>
        <v>0.74226865909917894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30404.157367266176</v>
      </c>
      <c r="T32" s="235">
        <f t="shared" si="24"/>
        <v>29436.477367266183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0.34651235897389232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4069.1978060551533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3746.2500000000005</v>
      </c>
      <c r="J41" s="38">
        <f t="shared" si="32"/>
        <v>3746.25</v>
      </c>
      <c r="K41" s="40">
        <f t="shared" si="33"/>
        <v>0.11452007623578067</v>
      </c>
      <c r="L41" s="22">
        <f t="shared" si="34"/>
        <v>0.12711728462171656</v>
      </c>
      <c r="M41" s="24">
        <f t="shared" si="35"/>
        <v>0.12711728462171654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3746.25</v>
      </c>
      <c r="AH41" s="123">
        <f t="shared" si="37"/>
        <v>1</v>
      </c>
      <c r="AI41" s="112">
        <f t="shared" si="37"/>
        <v>3746.25</v>
      </c>
      <c r="AJ41" s="148">
        <f t="shared" si="38"/>
        <v>0</v>
      </c>
      <c r="AK41" s="147">
        <f t="shared" si="39"/>
        <v>3746.25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4395.6000000000004</v>
      </c>
      <c r="J42" s="38">
        <f t="shared" si="32"/>
        <v>4395.6000000000004</v>
      </c>
      <c r="K42" s="40">
        <f t="shared" si="33"/>
        <v>0.13437022278331598</v>
      </c>
      <c r="L42" s="22">
        <f t="shared" si="34"/>
        <v>0.14915094728948075</v>
      </c>
      <c r="M42" s="24">
        <f t="shared" si="35"/>
        <v>0.14915094728948075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1098.9000000000001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2197.8000000000002</v>
      </c>
      <c r="AF42" s="122">
        <f t="shared" si="29"/>
        <v>0.25</v>
      </c>
      <c r="AG42" s="147">
        <f t="shared" si="36"/>
        <v>1098.9000000000001</v>
      </c>
      <c r="AH42" s="123">
        <f t="shared" si="37"/>
        <v>1</v>
      </c>
      <c r="AI42" s="112">
        <f t="shared" si="37"/>
        <v>4395.6000000000004</v>
      </c>
      <c r="AJ42" s="148">
        <f t="shared" si="38"/>
        <v>1098.9000000000001</v>
      </c>
      <c r="AK42" s="147">
        <f t="shared" si="39"/>
        <v>3296.7000000000003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20173.061900610286</v>
      </c>
      <c r="J46" s="38">
        <f t="shared" si="32"/>
        <v>20173.06190061029</v>
      </c>
      <c r="K46" s="40">
        <f t="shared" si="33"/>
        <v>0.58009305380213749</v>
      </c>
      <c r="L46" s="22">
        <f t="shared" si="34"/>
        <v>0.68450980348652224</v>
      </c>
      <c r="M46" s="24">
        <f t="shared" si="35"/>
        <v>0.68450980348652235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5043.2654751525724</v>
      </c>
      <c r="AB46" s="156">
        <f>Poor!AB46</f>
        <v>0.25</v>
      </c>
      <c r="AC46" s="147">
        <f t="shared" si="41"/>
        <v>5043.2654751525724</v>
      </c>
      <c r="AD46" s="156">
        <f>Poor!AD46</f>
        <v>0.25</v>
      </c>
      <c r="AE46" s="147">
        <f t="shared" si="42"/>
        <v>5043.2654751525724</v>
      </c>
      <c r="AF46" s="122">
        <f t="shared" si="29"/>
        <v>0.25</v>
      </c>
      <c r="AG46" s="147">
        <f t="shared" si="36"/>
        <v>5043.2654751525724</v>
      </c>
      <c r="AH46" s="123">
        <f t="shared" si="37"/>
        <v>1</v>
      </c>
      <c r="AI46" s="112">
        <f t="shared" si="37"/>
        <v>20173.06190061029</v>
      </c>
      <c r="AJ46" s="148">
        <f t="shared" si="38"/>
        <v>10086.530950305145</v>
      </c>
      <c r="AK46" s="147">
        <f t="shared" si="39"/>
        <v>10086.530950305145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33153.311900610286</v>
      </c>
      <c r="J65" s="39">
        <f>SUM(J37:J64)</f>
        <v>33153.311900610293</v>
      </c>
      <c r="K65" s="40">
        <f>SUM(K37:K64)</f>
        <v>1</v>
      </c>
      <c r="L65" s="22">
        <f>SUM(L37:L64)</f>
        <v>1.0975913531407322</v>
      </c>
      <c r="M65" s="24">
        <f>SUM(M37:M64)</f>
        <v>1.1249540166893348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7351.7654751525724</v>
      </c>
      <c r="AB65" s="137"/>
      <c r="AC65" s="153">
        <f>SUM(AC37:AC64)</f>
        <v>6252.8654751525719</v>
      </c>
      <c r="AD65" s="137"/>
      <c r="AE65" s="153">
        <f>SUM(AE37:AE64)</f>
        <v>8450.6654751525712</v>
      </c>
      <c r="AF65" s="137"/>
      <c r="AG65" s="153">
        <f>SUM(AG37:AG64)</f>
        <v>11098.015475152572</v>
      </c>
      <c r="AH65" s="137"/>
      <c r="AI65" s="153">
        <f>SUM(AI37:AI64)</f>
        <v>33153.311900610293</v>
      </c>
      <c r="AJ65" s="153">
        <f>SUM(AJ37:AJ64)</f>
        <v>13604.630950305145</v>
      </c>
      <c r="AK65" s="153">
        <f>SUM(AK37:AK64)</f>
        <v>19548.680950305145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18480.215801924853</v>
      </c>
      <c r="J70" s="51">
        <f t="shared" ref="J70:J77" si="44">J124*I$83</f>
        <v>18480.215801924853</v>
      </c>
      <c r="K70" s="40">
        <f>B70/B$76</f>
        <v>0.44790597301378055</v>
      </c>
      <c r="L70" s="22">
        <f t="shared" ref="L70:L74" si="45">(L124*G$37*F$9/F$7)/B$130</f>
        <v>0.62706836221929274</v>
      </c>
      <c r="M70" s="24">
        <f>J70/B$76</f>
        <v>0.62706836221929274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4620.0539504812132</v>
      </c>
      <c r="AB70" s="156">
        <f>Poor!AB70</f>
        <v>0.25</v>
      </c>
      <c r="AC70" s="147">
        <f>$J70*AB70</f>
        <v>4620.0539504812132</v>
      </c>
      <c r="AD70" s="156">
        <f>Poor!AD70</f>
        <v>0.25</v>
      </c>
      <c r="AE70" s="147">
        <f>$J70*AD70</f>
        <v>4620.0539504812132</v>
      </c>
      <c r="AF70" s="156">
        <f>Poor!AF70</f>
        <v>0.25</v>
      </c>
      <c r="AG70" s="147">
        <f>$J70*AF70</f>
        <v>4620.0539504812132</v>
      </c>
      <c r="AH70" s="155">
        <f>SUM(Z70,AB70,AD70,AF70)</f>
        <v>1</v>
      </c>
      <c r="AI70" s="147">
        <f>SUM(AA70,AC70,AE70,AG70)</f>
        <v>18480.215801924853</v>
      </c>
      <c r="AJ70" s="148">
        <f>(AA70+AC70)</f>
        <v>9240.1079009624264</v>
      </c>
      <c r="AK70" s="147">
        <f>(AE70+AG70)</f>
        <v>9240.1079009624264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11489.26666666667</v>
      </c>
      <c r="J71" s="51">
        <f t="shared" si="44"/>
        <v>11489.26666666667</v>
      </c>
      <c r="K71" s="40">
        <f t="shared" ref="K71:K72" si="47">B71/B$76</f>
        <v>0.33038335079971892</v>
      </c>
      <c r="L71" s="22">
        <f t="shared" si="45"/>
        <v>0.38985235394366841</v>
      </c>
      <c r="M71" s="24">
        <f t="shared" ref="M71:M72" si="48">J71/B$76</f>
        <v>0.38985235394366835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14673.096098685433</v>
      </c>
      <c r="J74" s="51">
        <f t="shared" si="44"/>
        <v>7253.0272380739234</v>
      </c>
      <c r="K74" s="40">
        <f>B74/B$76</f>
        <v>0.21929722935524132</v>
      </c>
      <c r="L74" s="22">
        <f t="shared" si="45"/>
        <v>0.18689640389749887</v>
      </c>
      <c r="M74" s="24">
        <f>J74/B$76</f>
        <v>0.24610880955390205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1395.8317413717168</v>
      </c>
      <c r="AB74" s="156"/>
      <c r="AC74" s="147">
        <f>AC30*$I$83/4</f>
        <v>1952.3984989007354</v>
      </c>
      <c r="AD74" s="156"/>
      <c r="AE74" s="147">
        <f>AE30*$I$83/4</f>
        <v>1952.3984989007354</v>
      </c>
      <c r="AF74" s="156"/>
      <c r="AG74" s="147">
        <f>AG30*$I$83/4</f>
        <v>1952.3984989007354</v>
      </c>
      <c r="AH74" s="155"/>
      <c r="AI74" s="147">
        <f>SUM(AA74,AC74,AE74,AG74)</f>
        <v>7253.0272380739225</v>
      </c>
      <c r="AJ74" s="148">
        <f>(AA74+AC74)</f>
        <v>3348.2302402724522</v>
      </c>
      <c r="AK74" s="147">
        <f>(AE74+AG74)</f>
        <v>3904.7969978014708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5861.4428090702659</v>
      </c>
      <c r="AB75" s="158"/>
      <c r="AC75" s="149">
        <f>AA75+AC65-SUM(AC70,AC74)</f>
        <v>5541.8558348408897</v>
      </c>
      <c r="AD75" s="158"/>
      <c r="AE75" s="149">
        <f>AC75+AE65-SUM(AE70,AE74)</f>
        <v>7420.0688606115127</v>
      </c>
      <c r="AF75" s="158"/>
      <c r="AG75" s="149">
        <f>IF(SUM(AG6:AG29)+((AG65-AG70-$J$75)*4/I$83)&lt;1,0,AG65-AG70-$J$75-(1-SUM(AG6:AG29))*I$83/4)</f>
        <v>4525.5630257706234</v>
      </c>
      <c r="AH75" s="134"/>
      <c r="AI75" s="149">
        <f>AI76-SUM(AI70,AI74)</f>
        <v>7420.0688606115109</v>
      </c>
      <c r="AJ75" s="151">
        <f>AJ76-SUM(AJ70,AJ74)</f>
        <v>1016.2928090702662</v>
      </c>
      <c r="AK75" s="149">
        <f>AJ75+AK76-SUM(AK70,AK74)</f>
        <v>7420.0688606115109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33153.311900610286</v>
      </c>
      <c r="J76" s="51">
        <f t="shared" si="44"/>
        <v>33153.311900610286</v>
      </c>
      <c r="K76" s="40">
        <f>SUM(K70:K75)</f>
        <v>1.6042884681600766</v>
      </c>
      <c r="L76" s="22">
        <f>SUM(L70:L75)</f>
        <v>1.2038171200604602</v>
      </c>
      <c r="M76" s="24">
        <f>SUM(M70:M75)</f>
        <v>1.2630295257168633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7351.7654751525724</v>
      </c>
      <c r="AB76" s="137"/>
      <c r="AC76" s="153">
        <f>AC65</f>
        <v>6252.8654751525719</v>
      </c>
      <c r="AD76" s="137"/>
      <c r="AE76" s="153">
        <f>AE65</f>
        <v>8450.6654751525712</v>
      </c>
      <c r="AF76" s="137"/>
      <c r="AG76" s="153">
        <f>AG65</f>
        <v>11098.015475152572</v>
      </c>
      <c r="AH76" s="137"/>
      <c r="AI76" s="153">
        <f>SUM(AA76,AC76,AE76,AG76)</f>
        <v>33153.311900610286</v>
      </c>
      <c r="AJ76" s="154">
        <f>SUM(AA76,AC76)</f>
        <v>13604.630950305145</v>
      </c>
      <c r="AK76" s="154">
        <f>SUM(AE76,AG76)</f>
        <v>19548.680950305141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4069.1978060551537</v>
      </c>
      <c r="K77" s="40"/>
      <c r="L77" s="22">
        <f>-(L131*G$37*F$9/F$7)/B$130</f>
        <v>-0.38985235394366841</v>
      </c>
      <c r="M77" s="24">
        <f>-J77/B$76</f>
        <v>-0.13807550902752819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4525.5630257706234</v>
      </c>
      <c r="AB78" s="112"/>
      <c r="AC78" s="112">
        <f>IF(AA75&lt;0,0,AA75)</f>
        <v>5861.4428090702659</v>
      </c>
      <c r="AD78" s="112"/>
      <c r="AE78" s="112">
        <f>AC75</f>
        <v>5541.8558348408897</v>
      </c>
      <c r="AF78" s="112"/>
      <c r="AG78" s="112">
        <f>AE75</f>
        <v>7420.0688606115127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7257.2745504419827</v>
      </c>
      <c r="AB79" s="112"/>
      <c r="AC79" s="112">
        <f>AA79-AA74+AC65-AC70</f>
        <v>7494.2543337416246</v>
      </c>
      <c r="AD79" s="112"/>
      <c r="AE79" s="112">
        <f>AC79-AC74+AE65-AE70</f>
        <v>9372.4673595122476</v>
      </c>
      <c r="AF79" s="112"/>
      <c r="AG79" s="112">
        <f>AE79-AE74+AG65-AG70</f>
        <v>13898.030385282871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0.67272727272727284</v>
      </c>
      <c r="I95" s="22">
        <f t="shared" si="54"/>
        <v>0.3262549593190941</v>
      </c>
      <c r="J95" s="24">
        <f t="shared" si="55"/>
        <v>0.3262549593190941</v>
      </c>
      <c r="K95" s="22">
        <f t="shared" si="56"/>
        <v>0.48497358817703168</v>
      </c>
      <c r="L95" s="22">
        <f t="shared" si="57"/>
        <v>0.3262549593190941</v>
      </c>
      <c r="M95" s="229">
        <f t="shared" si="49"/>
        <v>0.3262549593190941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0.67272727272727284</v>
      </c>
      <c r="I96" s="22">
        <f t="shared" si="54"/>
        <v>0.38280581893440374</v>
      </c>
      <c r="J96" s="24">
        <f t="shared" si="55"/>
        <v>0.38280581893440374</v>
      </c>
      <c r="K96" s="22">
        <f t="shared" si="56"/>
        <v>0.56903567679438383</v>
      </c>
      <c r="L96" s="22">
        <f t="shared" si="57"/>
        <v>0.38280581893440374</v>
      </c>
      <c r="M96" s="229">
        <f t="shared" si="49"/>
        <v>0.38280581893440374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0.57212121212121214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0.7151515151515152</v>
      </c>
      <c r="I100" s="22">
        <f t="shared" si="54"/>
        <v>1.7568399038305442</v>
      </c>
      <c r="J100" s="24">
        <f>IF(I$32&lt;=1+I131,I100,L100+J$33*(I100-L100))</f>
        <v>1.7568399038305442</v>
      </c>
      <c r="K100" s="22">
        <f t="shared" si="56"/>
        <v>2.4565981706105067</v>
      </c>
      <c r="L100" s="22">
        <f t="shared" si="57"/>
        <v>1.7568399038305442</v>
      </c>
      <c r="M100" s="229">
        <f t="shared" si="49"/>
        <v>1.7568399038305442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2.8872692493631891</v>
      </c>
      <c r="J119" s="24">
        <f>SUM(J91:J118)</f>
        <v>2.8872692493631891</v>
      </c>
      <c r="K119" s="22">
        <f>SUM(K91:K118)</f>
        <v>4.2348346605929557</v>
      </c>
      <c r="L119" s="22">
        <f>SUM(L91:L118)</f>
        <v>2.8170411548166649</v>
      </c>
      <c r="M119" s="57">
        <f t="shared" si="49"/>
        <v>2.8872692493631891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1.6094126272045572</v>
      </c>
      <c r="J124" s="238">
        <f>IF(SUMPRODUCT($B$124:$B124,$H$124:$H124)&lt;J$119,($B124*$H124),J$119)</f>
        <v>1.6094126272045572</v>
      </c>
      <c r="K124" s="29">
        <f>(B124)</f>
        <v>1.896807739205371</v>
      </c>
      <c r="L124" s="29">
        <f>IF(SUMPRODUCT($B$124:$B124,$H$124:$H124)&lt;L$119,($B124*$H124),L$119)</f>
        <v>1.6094126272045572</v>
      </c>
      <c r="M124" s="241">
        <f t="shared" si="66"/>
        <v>1.6094126272045572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66"/>
        <v>1.0005819763602424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1.2778566221586318</v>
      </c>
      <c r="J128" s="229">
        <f>(J30)</f>
        <v>0.63165461634917297</v>
      </c>
      <c r="K128" s="29">
        <f>(B128)</f>
        <v>0.92868750784557907</v>
      </c>
      <c r="L128" s="29">
        <f>IF(L124=L119,0,(L119-L124)/(B119-B124)*K128)</f>
        <v>0.47968204191836888</v>
      </c>
      <c r="M128" s="241">
        <f t="shared" si="66"/>
        <v>0.63165461634917297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2.8872692493631891</v>
      </c>
      <c r="J130" s="229">
        <f>(J119)</f>
        <v>2.8872692493631891</v>
      </c>
      <c r="K130" s="29">
        <f>(B130)</f>
        <v>4.2348346605929557</v>
      </c>
      <c r="L130" s="29">
        <f>(L119)</f>
        <v>2.8170411548166649</v>
      </c>
      <c r="M130" s="241">
        <f t="shared" si="66"/>
        <v>2.8872692493631891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0.35437997055078307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1.0427895392278952E-2</v>
      </c>
      <c r="J6" s="24">
        <f t="shared" ref="J6:J13" si="3">IF(I$32&lt;=1+I$131,I6,B6*H6+J$33*(I6-B6*H6))</f>
        <v>1.0427895392278952E-2</v>
      </c>
      <c r="K6" s="22">
        <f t="shared" ref="K6:K31" si="4">B6</f>
        <v>2.0855790784557904E-2</v>
      </c>
      <c r="L6" s="22">
        <f t="shared" ref="L6:L29" si="5">IF(K6="","",K6*H6)</f>
        <v>1.0427895392278952E-2</v>
      </c>
      <c r="M6" s="225">
        <f t="shared" ref="M6:M31" si="6">J6</f>
        <v>1.0427895392278952E-2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4.1711581569115808E-2</v>
      </c>
      <c r="Z6" s="116">
        <v>0.17</v>
      </c>
      <c r="AA6" s="121">
        <f>$M6*Z6*4</f>
        <v>7.0909688667496881E-3</v>
      </c>
      <c r="AB6" s="116">
        <v>0.17</v>
      </c>
      <c r="AC6" s="121">
        <f t="shared" ref="AC6:AC29" si="7">$M6*AB6*4</f>
        <v>7.0909688667496881E-3</v>
      </c>
      <c r="AD6" s="116">
        <v>0.33</v>
      </c>
      <c r="AE6" s="121">
        <f t="shared" ref="AE6:AE29" si="8">$M6*AD6*4</f>
        <v>1.3764821917808217E-2</v>
      </c>
      <c r="AF6" s="122">
        <f>1-SUM(Z6,AB6,AD6)</f>
        <v>0.32999999999999996</v>
      </c>
      <c r="AG6" s="121">
        <f>$M6*AF6*4</f>
        <v>1.3764821917808215E-2</v>
      </c>
      <c r="AH6" s="123">
        <f>SUM(Z6,AB6,AD6,AF6)</f>
        <v>1</v>
      </c>
      <c r="AI6" s="183">
        <f>SUM(AA6,AC6,AE6,AG6)/4</f>
        <v>1.0427895392278952E-2</v>
      </c>
      <c r="AJ6" s="120">
        <f>(AA6+AC6)/2</f>
        <v>7.0909688667496881E-3</v>
      </c>
      <c r="AK6" s="119">
        <f>(AE6+AG6)/2</f>
        <v>1.3764821917808215E-2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5082.9848685109964</v>
      </c>
      <c r="T7" s="223">
        <f>IF($B$81=0,0,(SUMIF($N$6:$N$28,$U7,M$6:M$28)+SUMIF($N$91:$N$118,$U7,M$91:M$118))*$I$83*Poor!$B$81/$B$81)</f>
        <v>5082.9848685109964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1.9688083748443338E-3</v>
      </c>
      <c r="J8" s="24">
        <f t="shared" si="3"/>
        <v>1.9688083748443338E-3</v>
      </c>
      <c r="K8" s="22">
        <f t="shared" si="4"/>
        <v>3.9376167496886676E-3</v>
      </c>
      <c r="L8" s="22">
        <f t="shared" si="5"/>
        <v>1.9688083748443338E-3</v>
      </c>
      <c r="M8" s="225">
        <f t="shared" si="6"/>
        <v>1.9688083748443338E-3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7.8752334993773352E-3</v>
      </c>
      <c r="Z8" s="125">
        <f>IF($Y8=0,0,AA8/$Y8)</f>
        <v>0.63358202810479514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4.9896064123343149E-3</v>
      </c>
      <c r="AB8" s="125">
        <f>IF($Y8=0,0,AC8/$Y8)</f>
        <v>0.36641797189520486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2.8856270870430203E-3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1.9688083748443338E-3</v>
      </c>
      <c r="AJ8" s="120">
        <f t="shared" si="14"/>
        <v>3.9376167496886676E-3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0.27076910239726032</v>
      </c>
      <c r="J9" s="24">
        <f t="shared" si="3"/>
        <v>0.27076910239726032</v>
      </c>
      <c r="K9" s="22">
        <f t="shared" si="4"/>
        <v>0.24841202054794523</v>
      </c>
      <c r="L9" s="22">
        <f t="shared" si="5"/>
        <v>0.27076910239726032</v>
      </c>
      <c r="M9" s="225">
        <f t="shared" si="6"/>
        <v>0.27076910239726032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170.81543189845129</v>
      </c>
      <c r="T9" s="223">
        <f>IF($B$81=0,0,(SUMIF($N$6:$N$28,$U9,M$6:M$28)+SUMIF($N$91:$N$118,$U9,M$91:M$118))*$I$83*Poor!$B$81/$B$81)</f>
        <v>170.81543189845129</v>
      </c>
      <c r="U9" s="224">
        <v>3</v>
      </c>
      <c r="V9" s="56"/>
      <c r="W9" s="115"/>
      <c r="X9" s="124">
        <v>1</v>
      </c>
      <c r="Y9" s="183">
        <f t="shared" si="9"/>
        <v>1.0830764095890413</v>
      </c>
      <c r="Z9" s="125">
        <f>IF($Y9=0,0,AA9/$Y9)</f>
        <v>0.63358202810479514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0.68621774817988457</v>
      </c>
      <c r="AB9" s="125">
        <f>IF($Y9=0,0,AC9/$Y9)</f>
        <v>0.36641797189520486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0.39685866140915671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0.27076910239726032</v>
      </c>
      <c r="AJ9" s="120">
        <f t="shared" si="14"/>
        <v>0.54153820479452064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1</v>
      </c>
      <c r="H11" s="24">
        <f t="shared" si="1"/>
        <v>1</v>
      </c>
      <c r="I11" s="22">
        <f t="shared" si="2"/>
        <v>1.8466064757160647E-2</v>
      </c>
      <c r="J11" s="24">
        <f t="shared" si="3"/>
        <v>1.8466064757160647E-2</v>
      </c>
      <c r="K11" s="22">
        <f t="shared" si="4"/>
        <v>1.8466064757160647E-2</v>
      </c>
      <c r="L11" s="22">
        <f t="shared" si="5"/>
        <v>1.8466064757160647E-2</v>
      </c>
      <c r="M11" s="225">
        <f t="shared" si="6"/>
        <v>1.8466064757160647E-2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3426.72</v>
      </c>
      <c r="T11" s="223">
        <f>IF($B$81=0,0,(SUMIF($N$6:$N$28,$U11,M$6:M$28)+SUMIF($N$91:$N$118,$U11,M$91:M$118))*$I$83*Poor!$B$81/$B$81)</f>
        <v>3426.72</v>
      </c>
      <c r="U11" s="224">
        <v>5</v>
      </c>
      <c r="V11" s="56"/>
      <c r="W11" s="115"/>
      <c r="X11" s="124">
        <v>1</v>
      </c>
      <c r="Y11" s="183">
        <f t="shared" si="9"/>
        <v>7.386425902864259E-2</v>
      </c>
      <c r="Z11" s="125">
        <f>IF($Y11=0,0,AA11/$Y11)</f>
        <v>0.63358202810479514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4.6799067039825296E-2</v>
      </c>
      <c r="AB11" s="125">
        <f>IF($Y11=0,0,AC11/$Y11)</f>
        <v>0.36641797189520486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2.7065191988817294E-2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1.8466064757160647E-2</v>
      </c>
      <c r="AJ11" s="120">
        <f t="shared" si="14"/>
        <v>3.6932129514321295E-2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1</v>
      </c>
      <c r="H12" s="24">
        <f t="shared" si="1"/>
        <v>1</v>
      </c>
      <c r="I12" s="22">
        <f t="shared" si="2"/>
        <v>7.3647011207970112E-2</v>
      </c>
      <c r="J12" s="24">
        <f t="shared" si="3"/>
        <v>7.3647011207970112E-2</v>
      </c>
      <c r="K12" s="22">
        <f t="shared" si="4"/>
        <v>7.3647011207970112E-2</v>
      </c>
      <c r="L12" s="22">
        <f t="shared" si="5"/>
        <v>7.3647011207970112E-2</v>
      </c>
      <c r="M12" s="225">
        <f t="shared" si="6"/>
        <v>7.3647011207970112E-2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8075.2500000000027</v>
      </c>
      <c r="T12" s="223">
        <f>IF($B$81=0,0,(SUMIF($N$6:$N$28,$U12,M$6:M$28)+SUMIF($N$91:$N$118,$U12,M$91:M$118))*$I$83*Poor!$B$81/$B$81)</f>
        <v>8075.2500000000027</v>
      </c>
      <c r="U12" s="224">
        <v>6</v>
      </c>
      <c r="V12" s="56"/>
      <c r="W12" s="117"/>
      <c r="X12" s="118"/>
      <c r="Y12" s="183">
        <f t="shared" si="9"/>
        <v>0.29458804483188045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0.19737399003735992</v>
      </c>
      <c r="AF12" s="122">
        <f>1-SUM(Z12,AB12,AD12)</f>
        <v>0.32999999999999996</v>
      </c>
      <c r="AG12" s="121">
        <f>$M12*AF12*4</f>
        <v>9.7214054794520541E-2</v>
      </c>
      <c r="AH12" s="123">
        <f t="shared" si="12"/>
        <v>1</v>
      </c>
      <c r="AI12" s="183">
        <f t="shared" si="13"/>
        <v>7.3647011207970112E-2</v>
      </c>
      <c r="AJ12" s="120">
        <f t="shared" si="14"/>
        <v>0</v>
      </c>
      <c r="AK12" s="119">
        <f t="shared" si="15"/>
        <v>0.14729402241594022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1</v>
      </c>
      <c r="H13" s="24">
        <f t="shared" si="1"/>
        <v>1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6.0087173100871732E-3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6260.4000000000005</v>
      </c>
      <c r="T13" s="223">
        <f>IF($B$81=0,0,(SUMIF($N$6:$N$28,$U13,M$6:M$28)+SUMIF($N$91:$N$118,$U13,M$91:M$118))*$I$83*Poor!$B$81/$B$81)</f>
        <v>6260.4000000000005</v>
      </c>
      <c r="U13" s="224">
        <v>7</v>
      </c>
      <c r="V13" s="56"/>
      <c r="W13" s="110"/>
      <c r="X13" s="118"/>
      <c r="Y13" s="183">
        <f t="shared" si="9"/>
        <v>2.4034869240348693E-2</v>
      </c>
      <c r="Z13" s="116">
        <v>1</v>
      </c>
      <c r="AA13" s="121">
        <f>$M13*Z13*4</f>
        <v>2.4034869240348693E-2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4149.0710027437399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21932.259808195293</v>
      </c>
      <c r="T17" s="223">
        <f>IF($B$81=0,0,(SUMIF($N$6:$N$28,$U17,M$6:M$28)+SUMIF($N$91:$N$118,$U17,M$91:M$118))*$I$83*Poor!$B$81/$B$81)</f>
        <v>21932.259808195293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53472.409544241033</v>
      </c>
      <c r="T23" s="179">
        <f>SUM(T7:T22)</f>
        <v>53589.480546984778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2.206215329709296E-3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2.206215329709296E-3</v>
      </c>
      <c r="N28" s="230"/>
      <c r="O28" s="2"/>
      <c r="P28" s="22"/>
      <c r="U28" s="56"/>
      <c r="V28" s="56"/>
      <c r="W28" s="110"/>
      <c r="X28" s="118"/>
      <c r="Y28" s="183">
        <f t="shared" si="9"/>
        <v>8.8248613188371839E-3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4.412430659418592E-3</v>
      </c>
      <c r="AF28" s="122">
        <f t="shared" si="10"/>
        <v>0.5</v>
      </c>
      <c r="AG28" s="121">
        <f t="shared" si="11"/>
        <v>4.412430659418592E-3</v>
      </c>
      <c r="AH28" s="123">
        <f t="shared" si="12"/>
        <v>1</v>
      </c>
      <c r="AI28" s="183">
        <f t="shared" si="13"/>
        <v>2.206215329709296E-3</v>
      </c>
      <c r="AJ28" s="120">
        <f t="shared" si="14"/>
        <v>0</v>
      </c>
      <c r="AK28" s="119">
        <f t="shared" si="15"/>
        <v>4.412430659418592E-3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0.1515026608957781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0.1515026608957781</v>
      </c>
      <c r="N29" s="230"/>
      <c r="P29" s="22"/>
      <c r="V29" s="56"/>
      <c r="W29" s="110"/>
      <c r="X29" s="118"/>
      <c r="Y29" s="183">
        <f t="shared" si="9"/>
        <v>0.60601064358311241</v>
      </c>
      <c r="Z29" s="116">
        <v>0.25</v>
      </c>
      <c r="AA29" s="121">
        <f t="shared" si="16"/>
        <v>0.1515026608957781</v>
      </c>
      <c r="AB29" s="116">
        <v>0.25</v>
      </c>
      <c r="AC29" s="121">
        <f t="shared" si="7"/>
        <v>0.1515026608957781</v>
      </c>
      <c r="AD29" s="116">
        <v>0.25</v>
      </c>
      <c r="AE29" s="121">
        <f t="shared" si="8"/>
        <v>0.1515026608957781</v>
      </c>
      <c r="AF29" s="122">
        <f t="shared" si="10"/>
        <v>0.25</v>
      </c>
      <c r="AG29" s="121">
        <f t="shared" si="11"/>
        <v>0.1515026608957781</v>
      </c>
      <c r="AH29" s="123">
        <f t="shared" si="12"/>
        <v>1</v>
      </c>
      <c r="AI29" s="183">
        <f t="shared" si="13"/>
        <v>0.1515026608957781</v>
      </c>
      <c r="AJ29" s="120">
        <f t="shared" si="14"/>
        <v>0.1515026608957781</v>
      </c>
      <c r="AK29" s="119">
        <f t="shared" si="15"/>
        <v>0.1515026608957781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1.9366119067431233</v>
      </c>
      <c r="J30" s="232">
        <f>IF(I$32&lt;=1,I30,1-SUM(J6:J29))</f>
        <v>0.38563844496983168</v>
      </c>
      <c r="K30" s="22">
        <f t="shared" si="4"/>
        <v>0.71967685554171867</v>
      </c>
      <c r="L30" s="22">
        <f>IF(L124=L119,0,IF(K30="",0,(L119-L124)/(B119-B124)*K30))</f>
        <v>0.39472369333933871</v>
      </c>
      <c r="M30" s="175">
        <f t="shared" si="6"/>
        <v>0.38563844496983168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1.5425537798793267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0.21732260797649522</v>
      </c>
      <c r="AC30" s="187">
        <f>IF(AC79*4/$I$83+SUM(AC6:AC29)&lt;1,AC79*4/$I$83,1-SUM(AC6:AC29))</f>
        <v>0.33523181038737582</v>
      </c>
      <c r="AD30" s="122">
        <f>IF($Y30=0,0,AE30/($Y$30))</f>
        <v>0.35887307421324538</v>
      </c>
      <c r="AE30" s="187">
        <f>IF(AE79*4/$I$83+SUM(AE6:AE29)&lt;1,AE79*4/$I$83,1-SUM(AE6:AE29))</f>
        <v>0.55358101712455576</v>
      </c>
      <c r="AF30" s="122">
        <f>IF($Y30=0,0,AG30/($Y$30))</f>
        <v>0.42380431781025946</v>
      </c>
      <c r="AG30" s="187">
        <f>IF(AG79*4/$I$83+SUM(AG6:AG29)&lt;1,AG79*4/$I$83,1-SUM(AG6:AG29))</f>
        <v>0.65374095236739516</v>
      </c>
      <c r="AH30" s="123">
        <f t="shared" si="12"/>
        <v>1</v>
      </c>
      <c r="AI30" s="183">
        <f t="shared" si="13"/>
        <v>0.38563844496983168</v>
      </c>
      <c r="AJ30" s="120">
        <f t="shared" si="14"/>
        <v>0.16761590519368791</v>
      </c>
      <c r="AK30" s="119">
        <f t="shared" si="15"/>
        <v>0.60366098474597552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2.9606689518706375E-3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2.6219013594898013</v>
      </c>
      <c r="J32" s="17"/>
      <c r="L32" s="22">
        <f>SUM(L6:L30)</f>
        <v>0.99703933104812936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16798.617535555866</v>
      </c>
      <c r="T32" s="235">
        <f t="shared" si="50"/>
        <v>16681.546532812121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0.14517733475166078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2832</v>
      </c>
      <c r="J37" s="38">
        <f t="shared" ref="J37:J49" si="53">J91*I$83</f>
        <v>2832.0000000000005</v>
      </c>
      <c r="K37" s="40">
        <f t="shared" ref="K37:K49" si="54">(B37/B$65)</f>
        <v>6.8537495298130649E-2</v>
      </c>
      <c r="L37" s="22">
        <f t="shared" ref="L37:L49" si="55">(K37*H37)</f>
        <v>6.4699395561435336E-2</v>
      </c>
      <c r="M37" s="24">
        <f t="shared" ref="M37:M49" si="56">J37/B$65</f>
        <v>6.4699395561435336E-2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2832.0000000000005</v>
      </c>
      <c r="AH37" s="123">
        <f>SUM(Z37,AB37,AD37,AF37)</f>
        <v>1</v>
      </c>
      <c r="AI37" s="112">
        <f>SUM(AA37,AC37,AE37,AG37)</f>
        <v>2832.0000000000005</v>
      </c>
      <c r="AJ37" s="148">
        <f>(AA37+AC37)</f>
        <v>0</v>
      </c>
      <c r="AK37" s="147">
        <f>(AE37+AG37)</f>
        <v>2832.0000000000005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594.71999999999991</v>
      </c>
      <c r="J38" s="38">
        <f t="shared" si="53"/>
        <v>594.72</v>
      </c>
      <c r="K38" s="40">
        <f t="shared" si="54"/>
        <v>1.4392874012607436E-2</v>
      </c>
      <c r="L38" s="22">
        <f t="shared" si="55"/>
        <v>1.3586873067901418E-2</v>
      </c>
      <c r="M38" s="24">
        <f t="shared" si="56"/>
        <v>1.358687306790142E-2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594.72</v>
      </c>
      <c r="AH38" s="123">
        <f t="shared" ref="AH38:AI58" si="61">SUM(Z38,AB38,AD38,AF38)</f>
        <v>1</v>
      </c>
      <c r="AI38" s="112">
        <f t="shared" si="61"/>
        <v>594.72</v>
      </c>
      <c r="AJ38" s="148">
        <f t="shared" ref="AJ38:AJ64" si="62">(AA38+AC38)</f>
        <v>0</v>
      </c>
      <c r="AK38" s="147">
        <f t="shared" ref="AK38:AK64" si="63">(AE38+AG38)</f>
        <v>594.72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0.63358202810479514</v>
      </c>
      <c r="AA39" s="147">
        <f t="shared" ref="AA39:AA64" si="64">$J39*Z39</f>
        <v>0</v>
      </c>
      <c r="AB39" s="122">
        <f>AB8</f>
        <v>0.36641797189520486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0.63358202810479514</v>
      </c>
      <c r="AA40" s="147">
        <f t="shared" si="64"/>
        <v>0</v>
      </c>
      <c r="AB40" s="122">
        <f>AB9</f>
        <v>0.36641797189520486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1</v>
      </c>
      <c r="F41" s="26">
        <v>1.1100000000000001</v>
      </c>
      <c r="G41" s="22">
        <f t="shared" si="59"/>
        <v>1.65</v>
      </c>
      <c r="H41" s="24">
        <f t="shared" si="51"/>
        <v>1.1100000000000001</v>
      </c>
      <c r="I41" s="39">
        <f t="shared" si="52"/>
        <v>8075.2500000000009</v>
      </c>
      <c r="J41" s="38">
        <f t="shared" si="53"/>
        <v>8075.2500000000018</v>
      </c>
      <c r="K41" s="40">
        <f t="shared" si="54"/>
        <v>0.16620342609796682</v>
      </c>
      <c r="L41" s="22">
        <f t="shared" si="55"/>
        <v>0.18448580296874317</v>
      </c>
      <c r="M41" s="24">
        <f t="shared" si="56"/>
        <v>0.1844858029687432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0.63358202810479514</v>
      </c>
      <c r="AA41" s="147">
        <f t="shared" si="64"/>
        <v>5116.3332724532484</v>
      </c>
      <c r="AB41" s="122">
        <f>AB11</f>
        <v>0.36641797189520486</v>
      </c>
      <c r="AC41" s="147">
        <f t="shared" si="65"/>
        <v>2958.9167275467539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8075.2500000000018</v>
      </c>
      <c r="AJ41" s="148">
        <f t="shared" si="62"/>
        <v>8075.2500000000018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1</v>
      </c>
      <c r="F42" s="26">
        <v>1.1100000000000001</v>
      </c>
      <c r="G42" s="22">
        <f t="shared" si="59"/>
        <v>1.65</v>
      </c>
      <c r="H42" s="24">
        <f t="shared" si="51"/>
        <v>1.1100000000000001</v>
      </c>
      <c r="I42" s="39">
        <f t="shared" si="52"/>
        <v>6260.4000000000005</v>
      </c>
      <c r="J42" s="38">
        <f t="shared" si="53"/>
        <v>6260.4000000000005</v>
      </c>
      <c r="K42" s="40">
        <f t="shared" si="54"/>
        <v>0.12885049116048561</v>
      </c>
      <c r="L42" s="22">
        <f t="shared" si="55"/>
        <v>0.14302404518813905</v>
      </c>
      <c r="M42" s="24">
        <f t="shared" si="56"/>
        <v>0.14302404518813905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1565.1000000000001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3130.2000000000003</v>
      </c>
      <c r="AF42" s="122">
        <f t="shared" si="57"/>
        <v>0.25</v>
      </c>
      <c r="AG42" s="147">
        <f t="shared" si="60"/>
        <v>1565.1000000000001</v>
      </c>
      <c r="AH42" s="123">
        <f t="shared" si="61"/>
        <v>1</v>
      </c>
      <c r="AI42" s="112">
        <f t="shared" si="61"/>
        <v>6260.4000000000005</v>
      </c>
      <c r="AJ42" s="148">
        <f t="shared" si="62"/>
        <v>1565.1000000000001</v>
      </c>
      <c r="AK42" s="147">
        <f t="shared" si="63"/>
        <v>4695.3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0.8</v>
      </c>
      <c r="F43" s="26">
        <v>1.18</v>
      </c>
      <c r="G43" s="22">
        <f t="shared" si="59"/>
        <v>1.65</v>
      </c>
      <c r="H43" s="24">
        <f t="shared" si="51"/>
        <v>0.94399999999999995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4149.0710027437399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9.4788978114053096E-2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1037.267750685935</v>
      </c>
      <c r="AB44" s="116">
        <v>0.25</v>
      </c>
      <c r="AC44" s="147">
        <f t="shared" si="65"/>
        <v>1037.267750685935</v>
      </c>
      <c r="AD44" s="116">
        <v>0.25</v>
      </c>
      <c r="AE44" s="147">
        <f t="shared" si="66"/>
        <v>1037.267750685935</v>
      </c>
      <c r="AF44" s="122">
        <f t="shared" si="57"/>
        <v>0.25</v>
      </c>
      <c r="AG44" s="147">
        <f t="shared" si="60"/>
        <v>1037.267750685935</v>
      </c>
      <c r="AH44" s="123">
        <f t="shared" si="61"/>
        <v>1</v>
      </c>
      <c r="AI44" s="112">
        <f t="shared" si="61"/>
        <v>4149.0710027437399</v>
      </c>
      <c r="AJ44" s="148">
        <f t="shared" si="62"/>
        <v>2074.5355013718699</v>
      </c>
      <c r="AK44" s="147">
        <f t="shared" si="63"/>
        <v>2074.5355013718699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1</v>
      </c>
      <c r="F46" s="26">
        <v>1.18</v>
      </c>
      <c r="G46" s="22">
        <f t="shared" si="59"/>
        <v>1.65</v>
      </c>
      <c r="H46" s="24">
        <f t="shared" si="51"/>
        <v>1.18</v>
      </c>
      <c r="I46" s="39">
        <f t="shared" si="52"/>
        <v>21932.259808195289</v>
      </c>
      <c r="J46" s="38">
        <f t="shared" si="53"/>
        <v>21932.259808195293</v>
      </c>
      <c r="K46" s="40">
        <f t="shared" si="54"/>
        <v>0.42462772697219331</v>
      </c>
      <c r="L46" s="22">
        <f t="shared" si="55"/>
        <v>0.50106071782718808</v>
      </c>
      <c r="M46" s="24">
        <f t="shared" si="56"/>
        <v>0.5010607178271882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5483.0649520488232</v>
      </c>
      <c r="AB46" s="116">
        <v>0.25</v>
      </c>
      <c r="AC46" s="147">
        <f t="shared" si="65"/>
        <v>5483.0649520488232</v>
      </c>
      <c r="AD46" s="116">
        <v>0.25</v>
      </c>
      <c r="AE46" s="147">
        <f t="shared" si="66"/>
        <v>5483.0649520488232</v>
      </c>
      <c r="AF46" s="122">
        <f t="shared" si="57"/>
        <v>0.25</v>
      </c>
      <c r="AG46" s="147">
        <f t="shared" si="60"/>
        <v>5483.0649520488232</v>
      </c>
      <c r="AH46" s="123">
        <f t="shared" si="61"/>
        <v>1</v>
      </c>
      <c r="AI46" s="112">
        <f t="shared" si="61"/>
        <v>21932.259808195293</v>
      </c>
      <c r="AJ46" s="148">
        <f t="shared" si="62"/>
        <v>10966.129904097646</v>
      </c>
      <c r="AK46" s="147">
        <f t="shared" si="63"/>
        <v>10966.129904097646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47931.429808195295</v>
      </c>
      <c r="J65" s="39">
        <f>SUM(J37:J64)</f>
        <v>47242.100810939039</v>
      </c>
      <c r="K65" s="40">
        <f>SUM(K37:K64)</f>
        <v>1</v>
      </c>
      <c r="L65" s="22">
        <f>SUM(L37:L64)</f>
        <v>1.076610502967817</v>
      </c>
      <c r="M65" s="24">
        <f>SUM(M37:M64)</f>
        <v>1.0792850874011828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14051.365975188008</v>
      </c>
      <c r="AB65" s="137"/>
      <c r="AC65" s="153">
        <f>SUM(AC37:AC64)</f>
        <v>10328.849430281512</v>
      </c>
      <c r="AD65" s="137"/>
      <c r="AE65" s="153">
        <f>SUM(AE37:AE64)</f>
        <v>10500.132702734758</v>
      </c>
      <c r="AF65" s="137"/>
      <c r="AG65" s="153">
        <f>SUM(AG37:AG64)</f>
        <v>12361.752702734761</v>
      </c>
      <c r="AH65" s="137"/>
      <c r="AI65" s="153">
        <f>SUM(AI37:AI64)</f>
        <v>47242.100810939039</v>
      </c>
      <c r="AJ65" s="153">
        <f>SUM(AJ37:AJ64)</f>
        <v>24380.21540546952</v>
      </c>
      <c r="AK65" s="153">
        <f>SUM(AK37:AK64)</f>
        <v>22861.885405469518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13787.120000000003</v>
      </c>
      <c r="J71" s="51">
        <f t="shared" si="75"/>
        <v>13787.120000000003</v>
      </c>
      <c r="K71" s="40">
        <f t="shared" ref="K71:K72" si="78">B71/B$76</f>
        <v>0.26693069835445282</v>
      </c>
      <c r="L71" s="22">
        <f t="shared" si="76"/>
        <v>0.31497822405825432</v>
      </c>
      <c r="M71" s="24">
        <f t="shared" ref="M71:M72" si="79">J71/B$76</f>
        <v>0.31497822405825437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6894.5708087061867</v>
      </c>
      <c r="K72" s="40">
        <f t="shared" si="78"/>
        <v>0.47537606738783417</v>
      </c>
      <c r="L72" s="22">
        <f t="shared" si="76"/>
        <v>0.15197762941197837</v>
      </c>
      <c r="M72" s="24">
        <f t="shared" si="79"/>
        <v>0.15751220479477634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26684.770845885465</v>
      </c>
      <c r="J74" s="51">
        <f t="shared" si="75"/>
        <v>5313.7510399230187</v>
      </c>
      <c r="K74" s="40">
        <f>B74/B$76</f>
        <v>0.13730344891392171</v>
      </c>
      <c r="L74" s="22">
        <f t="shared" si="76"/>
        <v>0.12425705325415259</v>
      </c>
      <c r="M74" s="24">
        <f>J74/B$76</f>
        <v>0.12139706230472024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1154.7982341338839</v>
      </c>
      <c r="AD74" s="156"/>
      <c r="AE74" s="147">
        <f>AE30*$I$83/4</f>
        <v>1906.9621713010031</v>
      </c>
      <c r="AF74" s="156"/>
      <c r="AG74" s="147">
        <f>AG30*$I$83/4</f>
        <v>2251.9906344881315</v>
      </c>
      <c r="AH74" s="155"/>
      <c r="AI74" s="147">
        <f>SUM(AA74,AC74,AE74,AG74)</f>
        <v>5313.7510399230177</v>
      </c>
      <c r="AJ74" s="148">
        <f>(AA74+AC74)</f>
        <v>1154.7982341338839</v>
      </c>
      <c r="AK74" s="147">
        <f>(AE74+AG74)</f>
        <v>4158.9528057891348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13537.798562279724</v>
      </c>
      <c r="AB75" s="158"/>
      <c r="AC75" s="149">
        <f>AA75+AC65-SUM(AC70,AC74)</f>
        <v>17400.185017849897</v>
      </c>
      <c r="AD75" s="158"/>
      <c r="AE75" s="149">
        <f>AC75+AE65-SUM(AE70,AE74)</f>
        <v>20681.690808706197</v>
      </c>
      <c r="AF75" s="158"/>
      <c r="AG75" s="149">
        <f>IF(SUM(AG6:AG29)+((AG65-AG70-$J$75)*4/I$83)&lt;1,0,AG65-AG70-$J$75-(1-SUM(AG6:AG29))*I$83/4)</f>
        <v>4798.097327669173</v>
      </c>
      <c r="AH75" s="134"/>
      <c r="AI75" s="149">
        <f>AI76-SUM(AI70,AI74)</f>
        <v>20681.690808706197</v>
      </c>
      <c r="AJ75" s="151">
        <f>AJ76-SUM(AJ70,AJ74)</f>
        <v>12602.087690180724</v>
      </c>
      <c r="AK75" s="149">
        <f>AJ75+AK76-SUM(AK70,AK74)</f>
        <v>20681.690808706197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47931.429808195295</v>
      </c>
      <c r="J76" s="51">
        <f t="shared" si="75"/>
        <v>47242.100810939039</v>
      </c>
      <c r="K76" s="40">
        <f>SUM(K70:K75)</f>
        <v>1.2884634458051556</v>
      </c>
      <c r="L76" s="22">
        <f>SUM(L70:L75)</f>
        <v>1.0766105029678168</v>
      </c>
      <c r="M76" s="24">
        <f>SUM(M70:M75)</f>
        <v>1.0792850874011826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14051.365975188008</v>
      </c>
      <c r="AB76" s="137"/>
      <c r="AC76" s="153">
        <f>AC65</f>
        <v>10328.849430281512</v>
      </c>
      <c r="AD76" s="137"/>
      <c r="AE76" s="153">
        <f>AE65</f>
        <v>10500.132702734758</v>
      </c>
      <c r="AF76" s="137"/>
      <c r="AG76" s="153">
        <f>AG65</f>
        <v>12361.752702734761</v>
      </c>
      <c r="AH76" s="137"/>
      <c r="AI76" s="153">
        <f>SUM(AA76,AC76,AE76,AG76)</f>
        <v>47242.100810939039</v>
      </c>
      <c r="AJ76" s="154">
        <f>SUM(AA76,AC76)</f>
        <v>24380.21540546952</v>
      </c>
      <c r="AK76" s="154">
        <f>SUM(AE76,AG76)</f>
        <v>22861.885405469518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75"/>
        <v>0</v>
      </c>
      <c r="K77" s="40"/>
      <c r="L77" s="22">
        <f>-(L131*G$37*F$9/F$7)/B$130</f>
        <v>-0.16300059464627606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4798.097327669173</v>
      </c>
      <c r="AB78" s="112"/>
      <c r="AC78" s="112">
        <f>IF(AA75&lt;0,0,AA75)</f>
        <v>13537.798562279724</v>
      </c>
      <c r="AD78" s="112"/>
      <c r="AE78" s="112">
        <f>AC75</f>
        <v>17400.185017849897</v>
      </c>
      <c r="AF78" s="112"/>
      <c r="AG78" s="112">
        <f>AE75</f>
        <v>20681.690808706197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13537.798562279724</v>
      </c>
      <c r="AB79" s="112"/>
      <c r="AC79" s="112">
        <f>AA79-AA74+AC65-AC70</f>
        <v>18554.98325198378</v>
      </c>
      <c r="AD79" s="112"/>
      <c r="AE79" s="112">
        <f>AC79-AC74+AE65-AE70</f>
        <v>22588.652980007198</v>
      </c>
      <c r="AF79" s="112"/>
      <c r="AG79" s="112">
        <f>AE79-AE74+AG65-AG70</f>
        <v>27731.778770863501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0.57212121212121214</v>
      </c>
      <c r="I91" s="22">
        <f t="shared" ref="I91" si="82">(D91*H91)</f>
        <v>0.20552864971453111</v>
      </c>
      <c r="J91" s="24">
        <f>IF(I$32&lt;=1+I$131,I91,L91+J$33*(I91-L91))</f>
        <v>0.20552864971453111</v>
      </c>
      <c r="K91" s="22">
        <f t="shared" ref="K91" si="83">IF(B91="",0,B91)</f>
        <v>0.35923969494594948</v>
      </c>
      <c r="L91" s="22">
        <f t="shared" ref="L91" si="84">(K91*H91)</f>
        <v>0.20552864971453111</v>
      </c>
      <c r="M91" s="228">
        <f t="shared" si="80"/>
        <v>0.20552864971453111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0.57212121212121214</v>
      </c>
      <c r="I92" s="22">
        <f t="shared" ref="I92:I118" si="88">(D92*H92)</f>
        <v>4.3161016440051533E-2</v>
      </c>
      <c r="J92" s="24">
        <f t="shared" ref="J92:J118" si="89">IF(I$32&lt;=1+I$131,I92,L92+J$33*(I92-L92))</f>
        <v>4.3161016440051533E-2</v>
      </c>
      <c r="K92" s="22">
        <f t="shared" ref="K92:K118" si="90">IF(B92="",0,B92)</f>
        <v>7.5440335938649392E-2</v>
      </c>
      <c r="L92" s="22">
        <f t="shared" ref="L92:L118" si="91">(K92*H92)</f>
        <v>4.3161016440051533E-2</v>
      </c>
      <c r="M92" s="228">
        <f t="shared" ref="M92:M118" si="92">(J92)</f>
        <v>4.3161016440051533E-2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0.67272727272727284</v>
      </c>
      <c r="I95" s="22">
        <f t="shared" si="88"/>
        <v>0.5860505750731877</v>
      </c>
      <c r="J95" s="24">
        <f t="shared" si="89"/>
        <v>0.5860505750731877</v>
      </c>
      <c r="K95" s="22">
        <f t="shared" si="90"/>
        <v>0.87115626024392745</v>
      </c>
      <c r="L95" s="22">
        <f t="shared" si="91"/>
        <v>0.5860505750731877</v>
      </c>
      <c r="M95" s="228">
        <f t="shared" si="92"/>
        <v>0.5860505750731877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0.67272727272727284</v>
      </c>
      <c r="I96" s="22">
        <f t="shared" si="88"/>
        <v>0.45434023964436815</v>
      </c>
      <c r="J96" s="24">
        <f t="shared" si="89"/>
        <v>0.45434023964436815</v>
      </c>
      <c r="K96" s="22">
        <f t="shared" si="90"/>
        <v>0.67537062649838497</v>
      </c>
      <c r="L96" s="22">
        <f t="shared" si="91"/>
        <v>0.45434023964436815</v>
      </c>
      <c r="M96" s="228">
        <f t="shared" si="92"/>
        <v>0.45434023964436815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0.57212121212121214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0.30111333360297893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0.30111333360297893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0.7151515151515152</v>
      </c>
      <c r="I100" s="22">
        <f t="shared" si="88"/>
        <v>1.5917047117113909</v>
      </c>
      <c r="J100" s="24">
        <f t="shared" si="89"/>
        <v>1.5917047117113909</v>
      </c>
      <c r="K100" s="22">
        <f t="shared" si="90"/>
        <v>2.225688791799826</v>
      </c>
      <c r="L100" s="22">
        <f t="shared" si="91"/>
        <v>1.5917047117113909</v>
      </c>
      <c r="M100" s="228">
        <f t="shared" si="92"/>
        <v>1.5917047117113909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3.4785600449735892</v>
      </c>
      <c r="J119" s="24">
        <f>SUM(J91:J118)</f>
        <v>3.4285329058439458</v>
      </c>
      <c r="K119" s="22">
        <f>SUM(K91:K118)</f>
        <v>5.2415060308710721</v>
      </c>
      <c r="L119" s="22">
        <f>SUM(L91:L118)</f>
        <v>3.4200366328514855</v>
      </c>
      <c r="M119" s="57">
        <f t="shared" si="80"/>
        <v>3.4285329058439458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93"/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0.50036434628340576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0.48278282492143854</v>
      </c>
      <c r="M126" s="241">
        <f t="shared" si="93"/>
        <v>0.50036434628340576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1.9366119067431233</v>
      </c>
      <c r="J128" s="229">
        <f>(J30)</f>
        <v>0.38563844496983168</v>
      </c>
      <c r="K128" s="29">
        <f>(B128)</f>
        <v>0.71967685554171867</v>
      </c>
      <c r="L128" s="29">
        <f>IF(L124=L119,0,(L119-L124)/(B119-B124)*K128)</f>
        <v>0.39472369333933871</v>
      </c>
      <c r="M128" s="241">
        <f t="shared" si="93"/>
        <v>0.38563844496983168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3.4785600449735892</v>
      </c>
      <c r="J130" s="229">
        <f>(J119)</f>
        <v>3.4285329058439458</v>
      </c>
      <c r="K130" s="29">
        <f>(B130)</f>
        <v>5.2415060308710721</v>
      </c>
      <c r="L130" s="29">
        <f>(L119)</f>
        <v>3.4200366328514855</v>
      </c>
      <c r="M130" s="241">
        <f t="shared" si="93"/>
        <v>3.4285329058439458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0.51779915143880428</v>
      </c>
      <c r="M131" s="238">
        <f>IF(I131&lt;SUM(M126:M127),0,I131-(SUM(M126:M127)))</f>
        <v>0.50021763007683706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1.8770211706102113E-2</v>
      </c>
      <c r="J6" s="24">
        <f t="shared" ref="J6:J13" si="3">IF(I$32&lt;=1+I$131,I6,B6*H6+J$33*(I6-B6*H6))</f>
        <v>1.8770211706102113E-2</v>
      </c>
      <c r="K6" s="22">
        <f t="shared" ref="K6:K31" si="4">B6</f>
        <v>3.7540423412204225E-2</v>
      </c>
      <c r="L6" s="22">
        <f t="shared" ref="L6:L29" si="5">IF(K6="","",K6*H6)</f>
        <v>1.8770211706102113E-2</v>
      </c>
      <c r="M6" s="225">
        <f t="shared" ref="M6:M31" si="6">J6</f>
        <v>1.8770211706102113E-2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7.5080846824408451E-2</v>
      </c>
      <c r="Z6" s="156">
        <f>Poor!Z6</f>
        <v>0.17</v>
      </c>
      <c r="AA6" s="121">
        <f>$M6*Z6*4</f>
        <v>1.2763743960149438E-2</v>
      </c>
      <c r="AB6" s="156">
        <f>Poor!AB6</f>
        <v>0.17</v>
      </c>
      <c r="AC6" s="121">
        <f t="shared" ref="AC6:AC29" si="7">$M6*AB6*4</f>
        <v>1.2763743960149438E-2</v>
      </c>
      <c r="AD6" s="156">
        <f>Poor!AD6</f>
        <v>0.33</v>
      </c>
      <c r="AE6" s="121">
        <f t="shared" ref="AE6:AE29" si="8">$M6*AD6*4</f>
        <v>2.4776679452054789E-2</v>
      </c>
      <c r="AF6" s="122">
        <f>1-SUM(Z6,AB6,AD6)</f>
        <v>0.32999999999999996</v>
      </c>
      <c r="AG6" s="121">
        <f>$M6*AF6*4</f>
        <v>2.4776679452054785E-2</v>
      </c>
      <c r="AH6" s="123">
        <f>SUM(Z6,AB6,AD6,AF6)</f>
        <v>1</v>
      </c>
      <c r="AI6" s="183">
        <f>SUM(AA6,AC6,AE6,AG6)/4</f>
        <v>1.8770211706102113E-2</v>
      </c>
      <c r="AJ6" s="120">
        <f>(AA6+AC6)/2</f>
        <v>1.2763743960149438E-2</v>
      </c>
      <c r="AK6" s="119">
        <f>(AE6+AG6)/2</f>
        <v>2.4776679452054785E-2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5">
        <f t="shared" si="6"/>
        <v>9.3851058530510564E-3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7766.9324843275544</v>
      </c>
      <c r="T7" s="223">
        <f>IF($B$81=0,0,(SUMIF($N$6:$N$28,$U7,M$6:M$28)+SUMIF($N$91:$N$118,$U7,M$91:M$118))*$I$83*Poor!$B$81/$B$81)</f>
        <v>7766.9324843275544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3.9376167496886676E-3</v>
      </c>
      <c r="J8" s="24">
        <f t="shared" si="3"/>
        <v>3.9376167496886676E-3</v>
      </c>
      <c r="K8" s="22">
        <f t="shared" si="4"/>
        <v>7.8752334993773352E-3</v>
      </c>
      <c r="L8" s="22">
        <f t="shared" si="5"/>
        <v>3.9376167496886676E-3</v>
      </c>
      <c r="M8" s="225">
        <f t="shared" si="6"/>
        <v>3.9376167496886676E-3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1.575046699875467E-2</v>
      </c>
      <c r="Z8" s="125">
        <f>IF($Y8=0,0,AA8/$Y8)</f>
        <v>0.32996897021063054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5.1971653759155991E-3</v>
      </c>
      <c r="AB8" s="125">
        <f>IF($Y8=0,0,AC8/$Y8)</f>
        <v>0.39796738405073884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6.2681721490718875E-3</v>
      </c>
      <c r="AD8" s="125">
        <f>IF($Y8=0,0,AE8/$Y8)</f>
        <v>0.24294595341452938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3.8265122217365343E-3</v>
      </c>
      <c r="AF8" s="122">
        <f t="shared" si="10"/>
        <v>2.9117692324101219E-2</v>
      </c>
      <c r="AG8" s="121">
        <f t="shared" si="11"/>
        <v>4.5861725203064844E-4</v>
      </c>
      <c r="AH8" s="123">
        <f t="shared" si="12"/>
        <v>1</v>
      </c>
      <c r="AI8" s="183">
        <f t="shared" si="13"/>
        <v>3.9376167496886676E-3</v>
      </c>
      <c r="AJ8" s="120">
        <f t="shared" si="14"/>
        <v>5.7326687624937433E-3</v>
      </c>
      <c r="AK8" s="119">
        <f t="shared" si="15"/>
        <v>2.1425647368835915E-3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0.30085455821917811</v>
      </c>
      <c r="J9" s="24">
        <f t="shared" si="3"/>
        <v>0.30085455821917811</v>
      </c>
      <c r="K9" s="22">
        <f t="shared" si="4"/>
        <v>0.27601335616438355</v>
      </c>
      <c r="L9" s="22">
        <f t="shared" si="5"/>
        <v>0.30085455821917811</v>
      </c>
      <c r="M9" s="225">
        <f t="shared" si="6"/>
        <v>0.30085455821917811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442.21177966613317</v>
      </c>
      <c r="T9" s="223">
        <f>IF($B$81=0,0,(SUMIF($N$6:$N$28,$U9,M$6:M$28)+SUMIF($N$91:$N$118,$U9,M$91:M$118))*$I$83*Poor!$B$81/$B$81)</f>
        <v>442.21177966613317</v>
      </c>
      <c r="U9" s="224">
        <v>3</v>
      </c>
      <c r="V9" s="56"/>
      <c r="W9" s="115"/>
      <c r="X9" s="118">
        <f>Poor!X9</f>
        <v>1</v>
      </c>
      <c r="Y9" s="183">
        <f t="shared" si="9"/>
        <v>1.2034182328767125</v>
      </c>
      <c r="Z9" s="125">
        <f>IF($Y9=0,0,AA9/$Y9)</f>
        <v>0.32996897021063054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0.3970906750350256</v>
      </c>
      <c r="AB9" s="125">
        <f>IF($Y9=0,0,AC9/$Y9)</f>
        <v>0.39796738405073878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0.47892120605690802</v>
      </c>
      <c r="AD9" s="125">
        <f>IF($Y9=0,0,AE9/$Y9)</f>
        <v>0.24294595341452938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0.29236558994266104</v>
      </c>
      <c r="AF9" s="122">
        <f t="shared" si="10"/>
        <v>2.911769232410133E-2</v>
      </c>
      <c r="AG9" s="121">
        <f t="shared" si="11"/>
        <v>3.5040761842117837E-2</v>
      </c>
      <c r="AH9" s="123">
        <f t="shared" si="12"/>
        <v>1</v>
      </c>
      <c r="AI9" s="183">
        <f t="shared" si="13"/>
        <v>0.30085455821917811</v>
      </c>
      <c r="AJ9" s="120">
        <f t="shared" si="14"/>
        <v>0.43800594054596681</v>
      </c>
      <c r="AK9" s="119">
        <f t="shared" si="15"/>
        <v>0.16370317589238945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3.3625617683686174E-2</v>
      </c>
      <c r="J10" s="24">
        <f t="shared" si="3"/>
        <v>3.3625617683686174E-2</v>
      </c>
      <c r="K10" s="22">
        <f t="shared" si="4"/>
        <v>3.0849190535491903E-2</v>
      </c>
      <c r="L10" s="22">
        <f t="shared" si="5"/>
        <v>3.3625617683686174E-2</v>
      </c>
      <c r="M10" s="225">
        <f t="shared" si="6"/>
        <v>3.3625617683686174E-2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0.13450247073474469</v>
      </c>
      <c r="Z10" s="125">
        <f>IF($Y10=0,0,AA10/$Y10)</f>
        <v>0.3299689702106306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4.4381641759129183E-2</v>
      </c>
      <c r="AB10" s="125">
        <f>IF($Y10=0,0,AC10/$Y10)</f>
        <v>0.39796738405073884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5.35275964266674E-2</v>
      </c>
      <c r="AD10" s="125">
        <f>IF($Y10=0,0,AE10/$Y10)</f>
        <v>0.24294595341452938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3.2676830989262384E-2</v>
      </c>
      <c r="AF10" s="122">
        <f t="shared" si="10"/>
        <v>2.9117692324101108E-2</v>
      </c>
      <c r="AG10" s="121">
        <f t="shared" si="11"/>
        <v>3.9164015596857091E-3</v>
      </c>
      <c r="AH10" s="123">
        <f t="shared" si="12"/>
        <v>1</v>
      </c>
      <c r="AI10" s="183">
        <f t="shared" si="13"/>
        <v>3.3625617683686167E-2</v>
      </c>
      <c r="AJ10" s="120">
        <f t="shared" si="14"/>
        <v>4.8954619092898291E-2</v>
      </c>
      <c r="AK10" s="119">
        <f t="shared" si="15"/>
        <v>1.8296616274474046E-2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1</v>
      </c>
      <c r="H11" s="24">
        <f t="shared" si="1"/>
        <v>1</v>
      </c>
      <c r="I11" s="22">
        <f t="shared" si="2"/>
        <v>0.10340996264009962</v>
      </c>
      <c r="J11" s="24">
        <f t="shared" si="3"/>
        <v>0.10340996264009962</v>
      </c>
      <c r="K11" s="22">
        <f t="shared" si="4"/>
        <v>0.10340996264009962</v>
      </c>
      <c r="L11" s="22">
        <f t="shared" si="5"/>
        <v>0.10340996264009962</v>
      </c>
      <c r="M11" s="225">
        <f t="shared" si="6"/>
        <v>0.10340996264009962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10006.4</v>
      </c>
      <c r="T11" s="223">
        <f>IF($B$81=0,0,(SUMIF($N$6:$N$28,$U11,M$6:M$28)+SUMIF($N$91:$N$118,$U11,M$91:M$118))*$I$83*Poor!$B$81/$B$81)</f>
        <v>9991.0268133849841</v>
      </c>
      <c r="U11" s="224">
        <v>5</v>
      </c>
      <c r="V11" s="56"/>
      <c r="W11" s="115"/>
      <c r="X11" s="118">
        <f>Poor!X11</f>
        <v>1</v>
      </c>
      <c r="Y11" s="183">
        <f t="shared" si="9"/>
        <v>0.41363985056039848</v>
      </c>
      <c r="Z11" s="125">
        <f>IF($Y11=0,0,AA11/$Y11)</f>
        <v>0.32996897021063054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0.1364883155274938</v>
      </c>
      <c r="AB11" s="125">
        <f>IF($Y11=0,0,AC11/$Y11)</f>
        <v>0.39796738405073878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0.16461516926666031</v>
      </c>
      <c r="AD11" s="125">
        <f>IF($Y11=0,0,AE11/$Y11)</f>
        <v>0.24294595341452938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0.10049212786463946</v>
      </c>
      <c r="AF11" s="122">
        <f t="shared" si="10"/>
        <v>2.911769232410133E-2</v>
      </c>
      <c r="AG11" s="121">
        <f t="shared" si="11"/>
        <v>1.2044237901604936E-2</v>
      </c>
      <c r="AH11" s="123">
        <f t="shared" si="12"/>
        <v>1</v>
      </c>
      <c r="AI11" s="183">
        <f t="shared" si="13"/>
        <v>0.10340996264009962</v>
      </c>
      <c r="AJ11" s="120">
        <f t="shared" si="14"/>
        <v>0.15055174239707705</v>
      </c>
      <c r="AK11" s="119">
        <f t="shared" si="15"/>
        <v>5.62681828831222E-2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1</v>
      </c>
      <c r="H12" s="24">
        <f t="shared" si="1"/>
        <v>1</v>
      </c>
      <c r="I12" s="22">
        <f t="shared" si="2"/>
        <v>9.5741114570361163E-2</v>
      </c>
      <c r="J12" s="24">
        <f t="shared" si="3"/>
        <v>9.5741114570361163E-2</v>
      </c>
      <c r="K12" s="22">
        <f t="shared" si="4"/>
        <v>9.5741114570361163E-2</v>
      </c>
      <c r="L12" s="22">
        <f t="shared" si="5"/>
        <v>9.5741114570361163E-2</v>
      </c>
      <c r="M12" s="225">
        <f t="shared" si="6"/>
        <v>9.5741114570361163E-2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832.50000000000011</v>
      </c>
      <c r="T12" s="223">
        <f>IF($B$81=0,0,(SUMIF($N$6:$N$28,$U12,M$6:M$28)+SUMIF($N$91:$N$118,$U12,M$91:M$118))*$I$83*Poor!$B$81/$B$81)</f>
        <v>832.50000000000011</v>
      </c>
      <c r="U12" s="224">
        <v>6</v>
      </c>
      <c r="V12" s="56"/>
      <c r="W12" s="117"/>
      <c r="X12" s="118"/>
      <c r="Y12" s="183">
        <f t="shared" si="9"/>
        <v>0.38296445828144465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0.25658618704856795</v>
      </c>
      <c r="AF12" s="122">
        <f>1-SUM(Z12,AB12,AD12)</f>
        <v>0.32999999999999996</v>
      </c>
      <c r="AG12" s="121">
        <f>$M12*AF12*4</f>
        <v>0.12637827123287673</v>
      </c>
      <c r="AH12" s="123">
        <f t="shared" si="12"/>
        <v>1</v>
      </c>
      <c r="AI12" s="183">
        <f t="shared" si="13"/>
        <v>9.5741114570361163E-2</v>
      </c>
      <c r="AJ12" s="120">
        <f t="shared" si="14"/>
        <v>0</v>
      </c>
      <c r="AK12" s="119">
        <f t="shared" si="15"/>
        <v>0.19148222914072233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1</v>
      </c>
      <c r="H13" s="24">
        <f t="shared" si="1"/>
        <v>1</v>
      </c>
      <c r="I13" s="22">
        <f t="shared" si="2"/>
        <v>3.0043586550435864E-2</v>
      </c>
      <c r="J13" s="24">
        <f t="shared" si="3"/>
        <v>3.0043586550435864E-2</v>
      </c>
      <c r="K13" s="22">
        <f t="shared" si="4"/>
        <v>3.0043586550435864E-2</v>
      </c>
      <c r="L13" s="22">
        <f t="shared" si="5"/>
        <v>3.0043586550435864E-2</v>
      </c>
      <c r="M13" s="226">
        <f t="shared" si="6"/>
        <v>3.0043586550435864E-2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75331.199999999997</v>
      </c>
      <c r="T13" s="223">
        <f>IF($B$81=0,0,(SUMIF($N$6:$N$28,$U13,M$6:M$28)+SUMIF($N$91:$N$118,$U13,M$91:M$118))*$I$83*Poor!$B$81/$B$81)</f>
        <v>75331.199999999997</v>
      </c>
      <c r="U13" s="224">
        <v>7</v>
      </c>
      <c r="V13" s="56"/>
      <c r="W13" s="110"/>
      <c r="X13" s="118"/>
      <c r="Y13" s="183">
        <f t="shared" si="9"/>
        <v>0.12017434620174346</v>
      </c>
      <c r="Z13" s="156">
        <f>Poor!Z13</f>
        <v>1</v>
      </c>
      <c r="AA13" s="121">
        <f>$M13*Z13*4</f>
        <v>0.12017434620174346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3.0043586550435864E-2</v>
      </c>
      <c r="AJ13" s="120">
        <f t="shared" si="14"/>
        <v>6.0087173100871728E-2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24217.190823944766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9809.2258064516154</v>
      </c>
      <c r="T17" s="223">
        <f>IF($B$81=0,0,(SUMIF($N$6:$N$28,$U17,M$6:M$28)+SUMIF($N$91:$N$118,$U17,M$91:M$118))*$I$83*Poor!$B$81/$B$81)</f>
        <v>9809.2258064516154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135475.32950608159</v>
      </c>
      <c r="T23" s="179">
        <f>SUM(T7:T22)</f>
        <v>135261.14714341133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9.3873650395206957E-3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9.3873650395206957E-3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3.7549460158082783E-2</v>
      </c>
      <c r="Z27" s="156">
        <f>Poor!Z27</f>
        <v>0.25</v>
      </c>
      <c r="AA27" s="121">
        <f t="shared" si="16"/>
        <v>9.3873650395206957E-3</v>
      </c>
      <c r="AB27" s="156">
        <f>Poor!AB27</f>
        <v>0.25</v>
      </c>
      <c r="AC27" s="121">
        <f t="shared" si="7"/>
        <v>9.3873650395206957E-3</v>
      </c>
      <c r="AD27" s="156">
        <f>Poor!AD27</f>
        <v>0.25</v>
      </c>
      <c r="AE27" s="121">
        <f t="shared" si="8"/>
        <v>9.3873650395206957E-3</v>
      </c>
      <c r="AF27" s="122">
        <f t="shared" si="10"/>
        <v>0.25</v>
      </c>
      <c r="AG27" s="121">
        <f t="shared" si="11"/>
        <v>9.3873650395206957E-3</v>
      </c>
      <c r="AH27" s="123">
        <f t="shared" si="12"/>
        <v>1</v>
      </c>
      <c r="AI27" s="183">
        <f t="shared" si="13"/>
        <v>9.3873650395206957E-3</v>
      </c>
      <c r="AJ27" s="120">
        <f t="shared" si="14"/>
        <v>9.3873650395206957E-3</v>
      </c>
      <c r="AK27" s="119">
        <f t="shared" si="15"/>
        <v>9.3873650395206957E-3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2.6859801702674821E-3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2.6859801702674821E-3</v>
      </c>
      <c r="N28" s="230"/>
      <c r="O28" s="2"/>
      <c r="P28" s="22"/>
      <c r="U28" s="56"/>
      <c r="V28" s="56"/>
      <c r="W28" s="110"/>
      <c r="X28" s="118"/>
      <c r="Y28" s="183">
        <f t="shared" si="9"/>
        <v>1.0743920681069928E-2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5.3719603405349642E-3</v>
      </c>
      <c r="AF28" s="122">
        <f t="shared" si="10"/>
        <v>0.5</v>
      </c>
      <c r="AG28" s="121">
        <f t="shared" si="11"/>
        <v>5.3719603405349642E-3</v>
      </c>
      <c r="AH28" s="123">
        <f t="shared" si="12"/>
        <v>1</v>
      </c>
      <c r="AI28" s="183">
        <f t="shared" si="13"/>
        <v>2.6859801702674821E-3</v>
      </c>
      <c r="AJ28" s="120">
        <f t="shared" si="14"/>
        <v>0</v>
      </c>
      <c r="AK28" s="119">
        <f t="shared" si="15"/>
        <v>5.3719603405349642E-3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0.19515166773594286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0.19515166773594286</v>
      </c>
      <c r="N29" s="230"/>
      <c r="P29" s="22"/>
      <c r="V29" s="56"/>
      <c r="W29" s="110"/>
      <c r="X29" s="118"/>
      <c r="Y29" s="183">
        <f t="shared" si="9"/>
        <v>0.78060667094377145</v>
      </c>
      <c r="Z29" s="156">
        <f>Poor!Z29</f>
        <v>0.25</v>
      </c>
      <c r="AA29" s="121">
        <f t="shared" si="16"/>
        <v>0.19515166773594286</v>
      </c>
      <c r="AB29" s="156">
        <f>Poor!AB29</f>
        <v>0.25</v>
      </c>
      <c r="AC29" s="121">
        <f t="shared" si="7"/>
        <v>0.19515166773594286</v>
      </c>
      <c r="AD29" s="156">
        <f>Poor!AD29</f>
        <v>0.25</v>
      </c>
      <c r="AE29" s="121">
        <f t="shared" si="8"/>
        <v>0.19515166773594286</v>
      </c>
      <c r="AF29" s="122">
        <f t="shared" si="10"/>
        <v>0.25</v>
      </c>
      <c r="AG29" s="121">
        <f t="shared" si="11"/>
        <v>0.19515166773594286</v>
      </c>
      <c r="AH29" s="123">
        <f t="shared" si="12"/>
        <v>1</v>
      </c>
      <c r="AI29" s="183">
        <f t="shared" si="13"/>
        <v>0.19515166773594286</v>
      </c>
      <c r="AJ29" s="120">
        <f t="shared" si="14"/>
        <v>0.19515166773594286</v>
      </c>
      <c r="AK29" s="119">
        <f t="shared" si="15"/>
        <v>0.19515166773594286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7.9925931112038535</v>
      </c>
      <c r="J30" s="232">
        <f>IF(I$32&lt;=1,I30,1-SUM(J6:J29))</f>
        <v>0.11764213371658694</v>
      </c>
      <c r="K30" s="22">
        <f t="shared" si="4"/>
        <v>0.66149354420921547</v>
      </c>
      <c r="L30" s="22">
        <f>IF(L124=L119,0,IF(K30="",0,(L119-L124)/(B119-B124)*K30))</f>
        <v>0.34778762585704415</v>
      </c>
      <c r="M30" s="175">
        <f t="shared" si="6"/>
        <v>0.11764213371658694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0.47056853486634775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</v>
      </c>
      <c r="AE30" s="187">
        <f>IF(AE79*4/$I$84+SUM(AE6:AE29)&lt;1,AE79*4/$I$84,1-SUM(AE6:AE29))</f>
        <v>0</v>
      </c>
      <c r="AF30" s="122">
        <f>IF($Y30=0,0,AG30/($Y$30))</f>
        <v>0.99999999999999878</v>
      </c>
      <c r="AG30" s="187">
        <f>IF(AG79*4/$I$84+SUM(AG6:AG29)&lt;1,AG79*4/$I$84,1-SUM(AG6:AG29))</f>
        <v>0.4705685348663472</v>
      </c>
      <c r="AH30" s="123">
        <f t="shared" si="12"/>
        <v>0.99999999999999878</v>
      </c>
      <c r="AI30" s="183">
        <f t="shared" si="13"/>
        <v>0.1176421337165868</v>
      </c>
      <c r="AJ30" s="120">
        <f t="shared" si="14"/>
        <v>0</v>
      </c>
      <c r="AK30" s="119">
        <f t="shared" si="15"/>
        <v>0.2352842674331736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-0.23082664357828797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8.8923627384835324</v>
      </c>
      <c r="J32" s="17"/>
      <c r="L32" s="22">
        <f>SUM(L6:L30)</f>
        <v>1.230826643578288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-4.0712888281297842E-2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8496</v>
      </c>
      <c r="K37" s="40">
        <f>(B37/B$65)</f>
        <v>6.6126436590909624E-2</v>
      </c>
      <c r="L37" s="22">
        <f t="shared" ref="L37" si="28">(K37*H37)</f>
        <v>6.2423356141818681E-2</v>
      </c>
      <c r="M37" s="24">
        <f>J37/B$65</f>
        <v>6.2423356141818688E-2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1888</v>
      </c>
      <c r="J38" s="38">
        <f t="shared" ref="J38:J64" si="32">J92*I$83</f>
        <v>1495.026813384982</v>
      </c>
      <c r="K38" s="40">
        <f t="shared" ref="K38:K64" si="33">(B38/B$65)</f>
        <v>1.1755810949495045E-2</v>
      </c>
      <c r="L38" s="22">
        <f t="shared" ref="L38:L64" si="34">(K38*H38)</f>
        <v>1.1097485536323322E-2</v>
      </c>
      <c r="M38" s="24">
        <f t="shared" ref="M38:M64" si="35">J38/B$65</f>
        <v>1.098453286411241E-2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1495.026813384982</v>
      </c>
      <c r="AH38" s="123">
        <f t="shared" ref="AH38:AI58" si="37">SUM(Z38,AB38,AD38,AF38)</f>
        <v>1</v>
      </c>
      <c r="AI38" s="112">
        <f t="shared" si="37"/>
        <v>1495.026813384982</v>
      </c>
      <c r="AJ38" s="148">
        <f t="shared" ref="AJ38:AJ64" si="38">(AA38+AC38)</f>
        <v>0</v>
      </c>
      <c r="AK38" s="147">
        <f t="shared" ref="AK38:AK64" si="39">(AE38+AG38)</f>
        <v>1495.026813384982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0.32996897021063054</v>
      </c>
      <c r="AA39" s="147">
        <f t="shared" ref="AA39:AA64" si="40">$J39*Z39</f>
        <v>0</v>
      </c>
      <c r="AB39" s="122">
        <f>AB8</f>
        <v>0.39796738405073884</v>
      </c>
      <c r="AC39" s="147">
        <f t="shared" ref="AC39:AC64" si="41">$J39*AB39</f>
        <v>0</v>
      </c>
      <c r="AD39" s="122">
        <f>AD8</f>
        <v>0.24294595341452938</v>
      </c>
      <c r="AE39" s="147">
        <f t="shared" ref="AE39:AE64" si="42">$J39*AD39</f>
        <v>0</v>
      </c>
      <c r="AF39" s="122">
        <f t="shared" si="29"/>
        <v>2.9117692324101219E-2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0.32996897021063054</v>
      </c>
      <c r="AA40" s="147">
        <f t="shared" si="40"/>
        <v>0</v>
      </c>
      <c r="AB40" s="122">
        <f>AB9</f>
        <v>0.39796738405073878</v>
      </c>
      <c r="AC40" s="147">
        <f t="shared" si="41"/>
        <v>0</v>
      </c>
      <c r="AD40" s="122">
        <f>AD9</f>
        <v>0.24294595341452938</v>
      </c>
      <c r="AE40" s="147">
        <f t="shared" si="42"/>
        <v>0</v>
      </c>
      <c r="AF40" s="122">
        <f t="shared" si="29"/>
        <v>2.911769232410133E-2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832.50000000000011</v>
      </c>
      <c r="J41" s="38">
        <f t="shared" si="32"/>
        <v>832.50000000000011</v>
      </c>
      <c r="K41" s="40">
        <f t="shared" si="33"/>
        <v>5.5105363825758025E-3</v>
      </c>
      <c r="L41" s="22">
        <f t="shared" si="34"/>
        <v>6.1166953846591415E-3</v>
      </c>
      <c r="M41" s="24">
        <f t="shared" si="35"/>
        <v>6.1166953846591415E-3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0.32996897021063054</v>
      </c>
      <c r="AA41" s="147">
        <f t="shared" si="40"/>
        <v>274.69916770034996</v>
      </c>
      <c r="AB41" s="122">
        <f>AB11</f>
        <v>0.39796738405073878</v>
      </c>
      <c r="AC41" s="147">
        <f t="shared" si="41"/>
        <v>331.30784722224007</v>
      </c>
      <c r="AD41" s="122">
        <f>AD11</f>
        <v>0.24294595341452938</v>
      </c>
      <c r="AE41" s="147">
        <f t="shared" si="42"/>
        <v>202.25250621759574</v>
      </c>
      <c r="AF41" s="122">
        <f t="shared" si="29"/>
        <v>2.911769232410133E-2</v>
      </c>
      <c r="AG41" s="147">
        <f t="shared" si="36"/>
        <v>24.24047885981436</v>
      </c>
      <c r="AH41" s="123">
        <f t="shared" si="37"/>
        <v>1</v>
      </c>
      <c r="AI41" s="112">
        <f t="shared" si="37"/>
        <v>832.50000000000023</v>
      </c>
      <c r="AJ41" s="148">
        <f t="shared" si="38"/>
        <v>606.00701492259009</v>
      </c>
      <c r="AK41" s="147">
        <f t="shared" si="39"/>
        <v>226.49298507741008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75331.199999999997</v>
      </c>
      <c r="J43" s="38">
        <f t="shared" si="32"/>
        <v>75331.199999999997</v>
      </c>
      <c r="K43" s="40">
        <f t="shared" si="33"/>
        <v>0.58632107110606535</v>
      </c>
      <c r="L43" s="22">
        <f t="shared" si="34"/>
        <v>0.55348709112412564</v>
      </c>
      <c r="M43" s="24">
        <f t="shared" si="35"/>
        <v>0.55348709112412564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18832.8</v>
      </c>
      <c r="AB43" s="156">
        <f>Poor!AB43</f>
        <v>0.25</v>
      </c>
      <c r="AC43" s="147">
        <f t="shared" si="41"/>
        <v>18832.8</v>
      </c>
      <c r="AD43" s="156">
        <f>Poor!AD43</f>
        <v>0.25</v>
      </c>
      <c r="AE43" s="147">
        <f t="shared" si="42"/>
        <v>18832.8</v>
      </c>
      <c r="AF43" s="122">
        <f t="shared" si="29"/>
        <v>0.25</v>
      </c>
      <c r="AG43" s="147">
        <f t="shared" si="36"/>
        <v>18832.8</v>
      </c>
      <c r="AH43" s="123">
        <f t="shared" si="37"/>
        <v>1</v>
      </c>
      <c r="AI43" s="112">
        <f t="shared" si="37"/>
        <v>75331.199999999997</v>
      </c>
      <c r="AJ43" s="148">
        <f t="shared" si="38"/>
        <v>37665.599999999999</v>
      </c>
      <c r="AK43" s="147">
        <f t="shared" si="39"/>
        <v>37665.599999999999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24217.190823944766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0.17793294815883801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6054.2977059861914</v>
      </c>
      <c r="AB44" s="156">
        <f>Poor!AB44</f>
        <v>0.25</v>
      </c>
      <c r="AC44" s="147">
        <f t="shared" si="41"/>
        <v>6054.2977059861914</v>
      </c>
      <c r="AD44" s="156">
        <f>Poor!AD44</f>
        <v>0.25</v>
      </c>
      <c r="AE44" s="147">
        <f t="shared" si="42"/>
        <v>6054.2977059861914</v>
      </c>
      <c r="AF44" s="122">
        <f t="shared" si="29"/>
        <v>0.25</v>
      </c>
      <c r="AG44" s="147">
        <f t="shared" si="36"/>
        <v>6054.2977059861914</v>
      </c>
      <c r="AH44" s="123">
        <f t="shared" si="37"/>
        <v>1</v>
      </c>
      <c r="AI44" s="112">
        <f t="shared" si="37"/>
        <v>24217.190823944766</v>
      </c>
      <c r="AJ44" s="148">
        <f t="shared" si="38"/>
        <v>12108.595411972383</v>
      </c>
      <c r="AK44" s="147">
        <f t="shared" si="39"/>
        <v>12108.595411972383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9809.2258064516136</v>
      </c>
      <c r="J46" s="38">
        <f t="shared" si="32"/>
        <v>9809.2258064516154</v>
      </c>
      <c r="K46" s="40">
        <f t="shared" si="33"/>
        <v>6.1078074227517612E-2</v>
      </c>
      <c r="L46" s="22">
        <f t="shared" si="34"/>
        <v>7.2072127588470772E-2</v>
      </c>
      <c r="M46" s="24">
        <f t="shared" si="35"/>
        <v>7.2072127588470786E-2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2452.3064516129039</v>
      </c>
      <c r="AB46" s="156">
        <f>Poor!AB46</f>
        <v>0.25</v>
      </c>
      <c r="AC46" s="147">
        <f t="shared" si="41"/>
        <v>2452.3064516129039</v>
      </c>
      <c r="AD46" s="156">
        <f>Poor!AD46</f>
        <v>0.25</v>
      </c>
      <c r="AE46" s="147">
        <f t="shared" si="42"/>
        <v>2452.3064516129039</v>
      </c>
      <c r="AF46" s="122">
        <f t="shared" si="29"/>
        <v>0.25</v>
      </c>
      <c r="AG46" s="147">
        <f t="shared" si="36"/>
        <v>2452.3064516129039</v>
      </c>
      <c r="AH46" s="123">
        <f t="shared" si="37"/>
        <v>1</v>
      </c>
      <c r="AI46" s="112">
        <f t="shared" si="37"/>
        <v>9809.2258064516154</v>
      </c>
      <c r="AJ46" s="148">
        <f t="shared" si="38"/>
        <v>4904.6129032258077</v>
      </c>
      <c r="AK46" s="147">
        <f t="shared" si="39"/>
        <v>4904.6129032258077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131433.4058064516</v>
      </c>
      <c r="J65" s="39">
        <f>SUM(J37:J64)</f>
        <v>125958.42344378136</v>
      </c>
      <c r="K65" s="40">
        <f>SUM(K37:K64)</f>
        <v>1</v>
      </c>
      <c r="L65" s="22">
        <f>SUM(L37:L64)</f>
        <v>0.92703831304112871</v>
      </c>
      <c r="M65" s="24">
        <f>SUM(M37:M64)</f>
        <v>0.92546463343846141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29058.423325299445</v>
      </c>
      <c r="AB65" s="137"/>
      <c r="AC65" s="153">
        <f>SUM(AC37:AC64)</f>
        <v>29115.032004821336</v>
      </c>
      <c r="AD65" s="137"/>
      <c r="AE65" s="153">
        <f>SUM(AE37:AE64)</f>
        <v>28985.976663816691</v>
      </c>
      <c r="AF65" s="137"/>
      <c r="AG65" s="153">
        <f>SUM(AG37:AG64)</f>
        <v>38798.991449843888</v>
      </c>
      <c r="AH65" s="137"/>
      <c r="AI65" s="153">
        <f>SUM(AI37:AI64)</f>
        <v>125958.42344378136</v>
      </c>
      <c r="AJ65" s="153">
        <f>SUM(AJ37:AJ64)</f>
        <v>58173.455330120778</v>
      </c>
      <c r="AK65" s="153">
        <f>SUM(AK37:AK64)</f>
        <v>67784.96811366058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110130.74684414176</v>
      </c>
      <c r="J74" s="51">
        <f t="shared" si="44"/>
        <v>1621.0028292801035</v>
      </c>
      <c r="K74" s="40">
        <f>B74/B$76</f>
        <v>4.0587766814047035E-2</v>
      </c>
      <c r="L74" s="22">
        <f t="shared" si="45"/>
        <v>3.5210129035126478E-2</v>
      </c>
      <c r="M74" s="24">
        <f>J74/B$76</f>
        <v>1.191012675600843E-2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3762.9562373226681</v>
      </c>
      <c r="AH74" s="155"/>
      <c r="AI74" s="147">
        <f>SUM(AA74,AC74,AE74,AG74)</f>
        <v>3762.9562373226681</v>
      </c>
      <c r="AJ74" s="148">
        <f>(AA74+AC74)</f>
        <v>0</v>
      </c>
      <c r="AK74" s="147">
        <f>(AE74+AG74)</f>
        <v>3762.9562373226681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37247.401652191424</v>
      </c>
      <c r="K75" s="40">
        <f>B75/B$76</f>
        <v>0.43798187945326222</v>
      </c>
      <c r="L75" s="22">
        <f t="shared" si="45"/>
        <v>0.2519445599379691</v>
      </c>
      <c r="M75" s="24">
        <f>J75/B$76</f>
        <v>0.27367088261441985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23732.758584721989</v>
      </c>
      <c r="AB75" s="158"/>
      <c r="AC75" s="149">
        <f>AA75+AC65-SUM(AC70,AC74)</f>
        <v>47522.125848965865</v>
      </c>
      <c r="AD75" s="158"/>
      <c r="AE75" s="149">
        <f>AC75+AE65-SUM(AE70,AE74)</f>
        <v>71182.437772205099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100892.80824414885</v>
      </c>
      <c r="AJ75" s="151">
        <f>AJ76-SUM(AJ70,AJ74)</f>
        <v>47522.125848965865</v>
      </c>
      <c r="AK75" s="149">
        <f>AJ75+AK76-SUM(AK70,AK74)</f>
        <v>100892.80824414887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131433.4058064516</v>
      </c>
      <c r="J76" s="51">
        <f t="shared" si="44"/>
        <v>125958.42344378136</v>
      </c>
      <c r="K76" s="40">
        <f>SUM(K70:K75)</f>
        <v>1.0000000000000002</v>
      </c>
      <c r="L76" s="22">
        <f>SUM(L70:L75)</f>
        <v>0.9270383130411286</v>
      </c>
      <c r="M76" s="24">
        <f>SUM(M70:M75)</f>
        <v>0.92546463343846153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29058.423325299445</v>
      </c>
      <c r="AB76" s="137"/>
      <c r="AC76" s="153">
        <f>AC65</f>
        <v>29115.032004821336</v>
      </c>
      <c r="AD76" s="137"/>
      <c r="AE76" s="153">
        <f>AE65</f>
        <v>28985.976663816691</v>
      </c>
      <c r="AF76" s="137"/>
      <c r="AG76" s="153">
        <f>AG65</f>
        <v>38798.991449843888</v>
      </c>
      <c r="AH76" s="137"/>
      <c r="AI76" s="153">
        <f>SUM(AA76,AC76,AE76,AG76)</f>
        <v>125958.42344378136</v>
      </c>
      <c r="AJ76" s="154">
        <f>SUM(AA76,AC76)</f>
        <v>58173.455330120778</v>
      </c>
      <c r="AK76" s="154">
        <f>SUM(AE76,AG76)</f>
        <v>67784.96811366058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23732.758584721989</v>
      </c>
      <c r="AD78" s="112"/>
      <c r="AE78" s="112">
        <f>AC75</f>
        <v>47522.125848965865</v>
      </c>
      <c r="AF78" s="112"/>
      <c r="AG78" s="112">
        <f>AE75</f>
        <v>71182.437772205099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23732.758584721989</v>
      </c>
      <c r="AB79" s="112"/>
      <c r="AC79" s="112">
        <f>AA79-AA74+AC65-AC70</f>
        <v>47522.125848965865</v>
      </c>
      <c r="AD79" s="112"/>
      <c r="AE79" s="112">
        <f>AC79-AC74+AE65-AE70</f>
        <v>71182.437772205099</v>
      </c>
      <c r="AF79" s="112"/>
      <c r="AG79" s="112">
        <f>AE79-AE74+AG65-AG70</f>
        <v>104655.76448147153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0.57212121212121214</v>
      </c>
      <c r="I91" s="22">
        <f t="shared" ref="I91" si="52">(D91*H91)</f>
        <v>0.61658594914359333</v>
      </c>
      <c r="J91" s="24">
        <f>IF(I$32&lt;=1+I$131,I91,L91+J$33*(I91-L91))</f>
        <v>0.61658594914359333</v>
      </c>
      <c r="K91" s="22">
        <f t="shared" ref="K91" si="53">(B91)</f>
        <v>1.0777190848378484</v>
      </c>
      <c r="L91" s="22">
        <f t="shared" ref="L91" si="54">(K91*H91)</f>
        <v>0.61658594914359333</v>
      </c>
      <c r="M91" s="228">
        <f t="shared" si="49"/>
        <v>0.61658594914359333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0.57212121212121214</v>
      </c>
      <c r="I92" s="22">
        <f t="shared" ref="I92:I118" si="58">(D92*H92)</f>
        <v>0.13701909980968741</v>
      </c>
      <c r="J92" s="24">
        <f t="shared" ref="J92:J118" si="59">IF(I$32&lt;=1+I$131,I92,L92+J$33*(I92-L92))</f>
        <v>0.10849959118715877</v>
      </c>
      <c r="K92" s="22">
        <f t="shared" ref="K92:K118" si="60">(B92)</f>
        <v>0.19159450397117306</v>
      </c>
      <c r="L92" s="22">
        <f t="shared" ref="L92:L118" si="61">(K92*H92)</f>
        <v>0.10961527984774992</v>
      </c>
      <c r="M92" s="228">
        <f t="shared" ref="M92:M118" si="62">(J92)</f>
        <v>0.10849959118715877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0.67272727272727284</v>
      </c>
      <c r="I95" s="22">
        <f t="shared" si="58"/>
        <v>6.0417585059091512E-2</v>
      </c>
      <c r="J95" s="24">
        <f t="shared" si="59"/>
        <v>6.0417585059091512E-2</v>
      </c>
      <c r="K95" s="22">
        <f t="shared" si="60"/>
        <v>8.9809923736487371E-2</v>
      </c>
      <c r="L95" s="22">
        <f t="shared" si="61"/>
        <v>6.0417585059091512E-2</v>
      </c>
      <c r="M95" s="228">
        <f t="shared" si="62"/>
        <v>6.0417585059091512E-2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0.67272727272727284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0.57212121212121214</v>
      </c>
      <c r="I97" s="22">
        <f t="shared" si="58"/>
        <v>5.4670620824065272</v>
      </c>
      <c r="J97" s="24">
        <f t="shared" si="59"/>
        <v>5.4670620824065272</v>
      </c>
      <c r="K97" s="22">
        <f t="shared" si="60"/>
        <v>9.5557758855622552</v>
      </c>
      <c r="L97" s="22">
        <f t="shared" si="61"/>
        <v>5.4670620824065272</v>
      </c>
      <c r="M97" s="228">
        <f t="shared" si="62"/>
        <v>5.4670620824065272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1.7575305543518716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1.7575305543518716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0.7151515151515152</v>
      </c>
      <c r="I100" s="22">
        <f t="shared" si="58"/>
        <v>0.7118915730031542</v>
      </c>
      <c r="J100" s="24">
        <f t="shared" si="59"/>
        <v>0.7118915730031542</v>
      </c>
      <c r="K100" s="22">
        <f t="shared" si="60"/>
        <v>0.99544160631796974</v>
      </c>
      <c r="L100" s="22">
        <f t="shared" si="61"/>
        <v>0.7118915730031542</v>
      </c>
      <c r="M100" s="228">
        <f t="shared" si="62"/>
        <v>0.7118915730031542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9.5386053752761324</v>
      </c>
      <c r="J119" s="24">
        <f>SUM(J91:J118)</f>
        <v>9.1412657805690394</v>
      </c>
      <c r="K119" s="22">
        <f>SUM(K91:K118)</f>
        <v>16.297855145365599</v>
      </c>
      <c r="L119" s="22">
        <f>SUM(L91:L118)</f>
        <v>9.1568097819081231</v>
      </c>
      <c r="M119" s="57">
        <f t="shared" si="49"/>
        <v>9.1412657805690394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7.9925931112038535</v>
      </c>
      <c r="J128" s="229">
        <f>(J30)</f>
        <v>0.11764213371658694</v>
      </c>
      <c r="K128" s="22">
        <f>(B128)</f>
        <v>0.66149354420921547</v>
      </c>
      <c r="L128" s="22">
        <f>IF(L124=L119,0,(L119-L124)/(B119-B124)*K128)</f>
        <v>0.34778762585704415</v>
      </c>
      <c r="M128" s="57">
        <f t="shared" si="63"/>
        <v>0.11764213371658694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2.7031808499116163</v>
      </c>
      <c r="K129" s="29">
        <f>(B129)</f>
        <v>7.1381652276242447</v>
      </c>
      <c r="L129" s="60">
        <f>IF(SUM(L124:L128)&gt;L130,0,L130-SUM(L124:L128))</f>
        <v>2.4885793591102434</v>
      </c>
      <c r="M129" s="57">
        <f t="shared" si="63"/>
        <v>2.7031808499116163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9.5386053752761324</v>
      </c>
      <c r="J130" s="229">
        <f>(J119)</f>
        <v>9.1412657805690394</v>
      </c>
      <c r="K130" s="22">
        <f>(B130)</f>
        <v>16.297855145365599</v>
      </c>
      <c r="L130" s="22">
        <f>(L119)</f>
        <v>9.1568097819081231</v>
      </c>
      <c r="M130" s="57">
        <f t="shared" si="63"/>
        <v>9.1412657805690394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2.3775601494396024E-2</v>
      </c>
      <c r="J6" s="24">
        <f t="shared" ref="J6:J13" si="3">IF(I$32&lt;=1+I$131,I6,B6*H6+J$33*(I6-B6*H6))</f>
        <v>2.3775601494396024E-2</v>
      </c>
      <c r="K6" s="22">
        <f t="shared" ref="K6:K31" si="4">B6</f>
        <v>4.7551202988792049E-2</v>
      </c>
      <c r="L6" s="22">
        <f t="shared" ref="L6:L29" si="5">IF(K6="","",K6*H6)</f>
        <v>2.3775601494396024E-2</v>
      </c>
      <c r="M6" s="177">
        <f t="shared" ref="M6:M31" si="6">J6</f>
        <v>2.3775601494396024E-2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9.5102405977584098E-2</v>
      </c>
      <c r="Z6" s="156">
        <f>Poor!Z6</f>
        <v>0.17</v>
      </c>
      <c r="AA6" s="121">
        <f>$M6*Z6*4</f>
        <v>1.6167409016189297E-2</v>
      </c>
      <c r="AB6" s="156">
        <f>Poor!AB6</f>
        <v>0.17</v>
      </c>
      <c r="AC6" s="121">
        <f t="shared" ref="AC6:AC29" si="7">$M6*AB6*4</f>
        <v>1.6167409016189297E-2</v>
      </c>
      <c r="AD6" s="156">
        <f>Poor!AD6</f>
        <v>0.33</v>
      </c>
      <c r="AE6" s="121">
        <f t="shared" ref="AE6:AE29" si="8">$M6*AD6*4</f>
        <v>3.1383793972602755E-2</v>
      </c>
      <c r="AF6" s="122">
        <f>1-SUM(Z6,AB6,AD6)</f>
        <v>0.32999999999999996</v>
      </c>
      <c r="AG6" s="121">
        <f>$M6*AF6*4</f>
        <v>3.1383793972602748E-2</v>
      </c>
      <c r="AH6" s="123">
        <f>SUM(Z6,AB6,AD6,AF6)</f>
        <v>1</v>
      </c>
      <c r="AI6" s="183">
        <f>SUM(AA6,AC6,AE6,AG6)/4</f>
        <v>2.3775601494396024E-2</v>
      </c>
      <c r="AJ6" s="120">
        <f>(AA6+AC6)/2</f>
        <v>1.6167409016189297E-2</v>
      </c>
      <c r="AK6" s="119">
        <f>(AE6+AG6)/2</f>
        <v>3.1383793972602755E-2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1.501616936488169E-2</v>
      </c>
      <c r="J7" s="24">
        <f t="shared" si="3"/>
        <v>1.501616936488169E-2</v>
      </c>
      <c r="K7" s="22">
        <f t="shared" si="4"/>
        <v>3.003233872976338E-2</v>
      </c>
      <c r="L7" s="22">
        <f t="shared" si="5"/>
        <v>1.501616936488169E-2</v>
      </c>
      <c r="M7" s="177">
        <f t="shared" si="6"/>
        <v>1.501616936488169E-2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7284.2618764740837</v>
      </c>
      <c r="T7" s="223">
        <f>IF($B$81=0,0,(SUMIF($N$6:$N$28,$U7,M$6:M$28)+SUMIF($N$91:$N$118,$U7,M$91:M$118))*$I$83*Poor!$B$81/$B$81)</f>
        <v>7092.9495205936346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6.0064677459526761E-2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6.0064677459526761E-2</v>
      </c>
      <c r="AH7" s="123">
        <f t="shared" ref="AH7:AH30" si="12">SUM(Z7,AB7,AD7,AF7)</f>
        <v>1</v>
      </c>
      <c r="AI7" s="183">
        <f t="shared" ref="AI7:AI30" si="13">SUM(AA7,AC7,AE7,AG7)/4</f>
        <v>1.501616936488169E-2</v>
      </c>
      <c r="AJ7" s="120">
        <f t="shared" ref="AJ7:AJ31" si="14">(AA7+AC7)/2</f>
        <v>0</v>
      </c>
      <c r="AK7" s="119">
        <f t="shared" ref="AK7:AK31" si="15">(AE7+AG7)/2</f>
        <v>3.003233872976338E-2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0.12024666874221671</v>
      </c>
      <c r="L8" s="22">
        <f t="shared" si="5"/>
        <v>6.0123334371108353E-2</v>
      </c>
      <c r="M8" s="225">
        <f t="shared" si="6"/>
        <v>6.0123334371108353E-2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6592.3200000000015</v>
      </c>
      <c r="T8" s="223">
        <f>IF($B$81=0,0,(SUMIF($N$6:$N$28,$U8,M$6:M$28)+SUMIF($N$91:$N$118,$U8,M$91:M$118))*$I$83*Poor!$B$81/$B$81)</f>
        <v>6684.751369898906</v>
      </c>
      <c r="U8" s="224">
        <v>2</v>
      </c>
      <c r="V8" s="56"/>
      <c r="W8" s="115"/>
      <c r="X8" s="118">
        <f>Poor!X8</f>
        <v>1</v>
      </c>
      <c r="Y8" s="183">
        <f t="shared" si="9"/>
        <v>0.24049333748443341</v>
      </c>
      <c r="Z8" s="125">
        <f>IF($Y8=0,0,AA8/$Y8)</f>
        <v>0.20374721046075603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4.8999846646850483E-2</v>
      </c>
      <c r="AB8" s="125">
        <f>IF($Y8=0,0,AC8/$Y8)</f>
        <v>0.45966282440340633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0.11054584675829625</v>
      </c>
      <c r="AD8" s="125">
        <f>IF($Y8=0,0,AE8/$Y8)</f>
        <v>0.19221396414489861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4.6226177748319885E-2</v>
      </c>
      <c r="AF8" s="122">
        <f t="shared" si="10"/>
        <v>0.14437600099093895</v>
      </c>
      <c r="AG8" s="121">
        <f t="shared" si="11"/>
        <v>3.4721466330966774E-2</v>
      </c>
      <c r="AH8" s="123">
        <f t="shared" si="12"/>
        <v>1</v>
      </c>
      <c r="AI8" s="183">
        <f t="shared" si="13"/>
        <v>6.0123334371108353E-2</v>
      </c>
      <c r="AJ8" s="120">
        <f t="shared" si="14"/>
        <v>7.9772846702573369E-2</v>
      </c>
      <c r="AK8" s="119">
        <f t="shared" si="15"/>
        <v>4.047382203964333E-2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1.1140214498630137</v>
      </c>
      <c r="J9" s="24">
        <f t="shared" si="3"/>
        <v>0.1098959202138938</v>
      </c>
      <c r="K9" s="22">
        <f t="shared" si="4"/>
        <v>0.11355978082191778</v>
      </c>
      <c r="L9" s="22">
        <f t="shared" si="5"/>
        <v>0.12378016109589039</v>
      </c>
      <c r="M9" s="225">
        <f t="shared" si="6"/>
        <v>0.1098959202138938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1362.9612144172429</v>
      </c>
      <c r="T9" s="223">
        <f>IF($B$81=0,0,(SUMIF($N$6:$N$28,$U9,M$6:M$28)+SUMIF($N$91:$N$118,$U9,M$91:M$118))*$I$83*Poor!$B$81/$B$81)</f>
        <v>1362.9612144172429</v>
      </c>
      <c r="U9" s="224">
        <v>3</v>
      </c>
      <c r="V9" s="56"/>
      <c r="W9" s="115"/>
      <c r="X9" s="118">
        <f>Poor!X9</f>
        <v>1</v>
      </c>
      <c r="Y9" s="183">
        <f t="shared" si="9"/>
        <v>0.4395836808555752</v>
      </c>
      <c r="Z9" s="125">
        <f>IF($Y9=0,0,AA9/$Y9)</f>
        <v>0.20374721046075606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8.9563948738394697E-2</v>
      </c>
      <c r="AB9" s="125">
        <f>IF($Y9=0,0,AC9/$Y9)</f>
        <v>0.45966282440340644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0.20206027630371931</v>
      </c>
      <c r="AD9" s="125">
        <f>IF($Y9=0,0,AE9/$Y9)</f>
        <v>0.19221396414489864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8.4494121870656094E-2</v>
      </c>
      <c r="AF9" s="122">
        <f t="shared" si="10"/>
        <v>0.14437600099093884</v>
      </c>
      <c r="AG9" s="121">
        <f t="shared" si="11"/>
        <v>6.3465333942805069E-2</v>
      </c>
      <c r="AH9" s="123">
        <f t="shared" si="12"/>
        <v>1</v>
      </c>
      <c r="AI9" s="183">
        <f t="shared" si="13"/>
        <v>0.10989592021389379</v>
      </c>
      <c r="AJ9" s="120">
        <f t="shared" si="14"/>
        <v>0.145812112521057</v>
      </c>
      <c r="AK9" s="119">
        <f t="shared" si="15"/>
        <v>7.3979727906730575E-2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4.0350741220423411E-2</v>
      </c>
      <c r="J10" s="24">
        <f t="shared" si="3"/>
        <v>4.0350741220423411E-2</v>
      </c>
      <c r="K10" s="22">
        <f t="shared" si="4"/>
        <v>3.7019028642590282E-2</v>
      </c>
      <c r="L10" s="22">
        <f t="shared" si="5"/>
        <v>4.0350741220423411E-2</v>
      </c>
      <c r="M10" s="225">
        <f t="shared" si="6"/>
        <v>4.0350741220423411E-2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0.16140296488169364</v>
      </c>
      <c r="Z10" s="125">
        <f>IF($Y10=0,0,AA10/$Y10)</f>
        <v>0.20374721046075606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3.2885403854740453E-2</v>
      </c>
      <c r="AB10" s="125">
        <f>IF($Y10=0,0,AC10/$Y10)</f>
        <v>0.45966282440340633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7.4190942704603108E-2</v>
      </c>
      <c r="AD10" s="125">
        <f>IF($Y10=0,0,AE10/$Y10)</f>
        <v>0.19221396414489864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3.1023903704650194E-2</v>
      </c>
      <c r="AF10" s="122">
        <f t="shared" si="10"/>
        <v>0.14437600099093895</v>
      </c>
      <c r="AG10" s="121">
        <f t="shared" si="11"/>
        <v>2.3302714617699886E-2</v>
      </c>
      <c r="AH10" s="123">
        <f t="shared" si="12"/>
        <v>1</v>
      </c>
      <c r="AI10" s="183">
        <f t="shared" si="13"/>
        <v>4.0350741220423411E-2</v>
      </c>
      <c r="AJ10" s="120">
        <f t="shared" si="14"/>
        <v>5.353817327967178E-2</v>
      </c>
      <c r="AK10" s="119">
        <f t="shared" si="15"/>
        <v>2.7163309161175042E-2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1</v>
      </c>
      <c r="H11" s="24">
        <f t="shared" si="1"/>
        <v>1</v>
      </c>
      <c r="I11" s="22">
        <f t="shared" si="2"/>
        <v>0.14181937733499375</v>
      </c>
      <c r="J11" s="24">
        <f t="shared" si="3"/>
        <v>0.14181937733499375</v>
      </c>
      <c r="K11" s="22">
        <f t="shared" si="4"/>
        <v>0.14181937733499375</v>
      </c>
      <c r="L11" s="22">
        <f t="shared" si="5"/>
        <v>0.14181937733499375</v>
      </c>
      <c r="M11" s="225">
        <f t="shared" si="6"/>
        <v>0.14181937733499375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19937.28</v>
      </c>
      <c r="T11" s="223">
        <f>IF($B$81=0,0,(SUMIF($N$6:$N$28,$U11,M$6:M$28)+SUMIF($N$91:$N$118,$U11,M$91:M$118))*$I$83*Poor!$B$81/$B$81)</f>
        <v>19918.220320405289</v>
      </c>
      <c r="U11" s="224">
        <v>5</v>
      </c>
      <c r="V11" s="56"/>
      <c r="W11" s="115"/>
      <c r="X11" s="118">
        <f>Poor!X11</f>
        <v>1</v>
      </c>
      <c r="Y11" s="183">
        <f t="shared" si="9"/>
        <v>0.56727750933997501</v>
      </c>
      <c r="Z11" s="125">
        <f>IF($Y11=0,0,AA11/$Y11)</f>
        <v>0.20374721046075606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0.11558121008514539</v>
      </c>
      <c r="AB11" s="125">
        <f>IF($Y11=0,0,AC11/$Y11)</f>
        <v>0.45966282440340633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0.26075638216374264</v>
      </c>
      <c r="AD11" s="125">
        <f>IF($Y11=0,0,AE11/$Y11)</f>
        <v>0.19221396414489864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0.10903865884048136</v>
      </c>
      <c r="AF11" s="122">
        <f t="shared" si="10"/>
        <v>0.14437600099093895</v>
      </c>
      <c r="AG11" s="121">
        <f t="shared" si="11"/>
        <v>8.190125825060561E-2</v>
      </c>
      <c r="AH11" s="123">
        <f t="shared" si="12"/>
        <v>1</v>
      </c>
      <c r="AI11" s="183">
        <f t="shared" si="13"/>
        <v>0.14181937733499375</v>
      </c>
      <c r="AJ11" s="120">
        <f t="shared" si="14"/>
        <v>0.18816879612444401</v>
      </c>
      <c r="AK11" s="119">
        <f t="shared" si="15"/>
        <v>9.5469958545543493E-2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1</v>
      </c>
      <c r="H12" s="24">
        <f t="shared" si="1"/>
        <v>1</v>
      </c>
      <c r="I12" s="22">
        <f t="shared" si="2"/>
        <v>0.13256462017434623</v>
      </c>
      <c r="J12" s="24">
        <f t="shared" si="3"/>
        <v>0.13256462017434623</v>
      </c>
      <c r="K12" s="22">
        <f t="shared" si="4"/>
        <v>0.13256462017434623</v>
      </c>
      <c r="L12" s="22">
        <f t="shared" si="5"/>
        <v>0.13256462017434623</v>
      </c>
      <c r="M12" s="225">
        <f t="shared" si="6"/>
        <v>0.13256462017434623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0.5302584806973849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0.35527318206724789</v>
      </c>
      <c r="AF12" s="122">
        <f>1-SUM(Z12,AB12,AD12)</f>
        <v>0.32999999999999996</v>
      </c>
      <c r="AG12" s="121">
        <f>$M12*AF12*4</f>
        <v>0.17498529863013701</v>
      </c>
      <c r="AH12" s="123">
        <f t="shared" si="12"/>
        <v>1</v>
      </c>
      <c r="AI12" s="183">
        <f t="shared" si="13"/>
        <v>0.13256462017434623</v>
      </c>
      <c r="AJ12" s="120">
        <f t="shared" si="14"/>
        <v>0</v>
      </c>
      <c r="AK12" s="119">
        <f t="shared" si="15"/>
        <v>0.26512924034869245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1</v>
      </c>
      <c r="H13" s="24">
        <f t="shared" si="1"/>
        <v>1</v>
      </c>
      <c r="I13" s="22">
        <f t="shared" si="2"/>
        <v>9.0130759651307596E-2</v>
      </c>
      <c r="J13" s="24">
        <f t="shared" si="3"/>
        <v>9.0130759651307596E-2</v>
      </c>
      <c r="K13" s="22">
        <f t="shared" si="4"/>
        <v>9.0130759651307596E-2</v>
      </c>
      <c r="L13" s="22">
        <f t="shared" si="5"/>
        <v>9.0130759651307596E-2</v>
      </c>
      <c r="M13" s="226">
        <f t="shared" si="6"/>
        <v>9.0130759651307596E-2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299059.20000000001</v>
      </c>
      <c r="T13" s="223">
        <f>IF($B$81=0,0,(SUMIF($N$6:$N$28,$U13,M$6:M$28)+SUMIF($N$91:$N$118,$U13,M$91:M$118))*$I$83*Poor!$B$81/$B$81)</f>
        <v>299059.20000000001</v>
      </c>
      <c r="U13" s="224">
        <v>7</v>
      </c>
      <c r="V13" s="56"/>
      <c r="W13" s="110"/>
      <c r="X13" s="118"/>
      <c r="Y13" s="183">
        <f t="shared" si="9"/>
        <v>0.36052303860523038</v>
      </c>
      <c r="Z13" s="156">
        <f>Poor!Z13</f>
        <v>1</v>
      </c>
      <c r="AA13" s="121">
        <f>$M13*Z13*4</f>
        <v>0.36052303860523038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9.0130759651307596E-2</v>
      </c>
      <c r="AJ13" s="120">
        <f t="shared" si="14"/>
        <v>0.18026151930261519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11771.070967741936</v>
      </c>
      <c r="T17" s="223">
        <f>IF($B$81=0,0,(SUMIF($N$6:$N$28,$U17,M$6:M$28)+SUMIF($N$91:$N$118,$U17,M$91:M$118))*$I$83*Poor!$B$81/$B$81)</f>
        <v>11771.070967741936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399022.13405863324</v>
      </c>
      <c r="T23" s="179">
        <f>SUM(T7:T22)</f>
        <v>398904.19339305704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3.1405093712962464E-3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3.1405093712962464E-3</v>
      </c>
      <c r="N28" s="230"/>
      <c r="O28" s="2"/>
      <c r="P28" s="22"/>
      <c r="U28" s="56"/>
      <c r="V28" s="56"/>
      <c r="W28" s="110"/>
      <c r="X28" s="118"/>
      <c r="Y28" s="183">
        <f t="shared" si="9"/>
        <v>1.2562037485184986E-2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6.2810187425924929E-3</v>
      </c>
      <c r="AF28" s="122">
        <f t="shared" si="10"/>
        <v>0.5</v>
      </c>
      <c r="AG28" s="121">
        <f t="shared" si="11"/>
        <v>6.2810187425924929E-3</v>
      </c>
      <c r="AH28" s="123">
        <f t="shared" si="12"/>
        <v>1</v>
      </c>
      <c r="AI28" s="183">
        <f t="shared" si="13"/>
        <v>3.1405093712962464E-3</v>
      </c>
      <c r="AJ28" s="120">
        <f t="shared" si="14"/>
        <v>0</v>
      </c>
      <c r="AK28" s="119">
        <f t="shared" si="15"/>
        <v>6.2810187425924929E-3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0.33627914305344936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0.33627914305344936</v>
      </c>
      <c r="N29" s="230"/>
      <c r="P29" s="22"/>
      <c r="V29" s="56"/>
      <c r="W29" s="110"/>
      <c r="X29" s="118"/>
      <c r="Y29" s="183">
        <f t="shared" si="9"/>
        <v>1.3451165722137974</v>
      </c>
      <c r="Z29" s="156">
        <f>Poor!Z29</f>
        <v>0.25</v>
      </c>
      <c r="AA29" s="121">
        <f t="shared" si="16"/>
        <v>0.33627914305344936</v>
      </c>
      <c r="AB29" s="156">
        <f>Poor!AB29</f>
        <v>0.25</v>
      </c>
      <c r="AC29" s="121">
        <f t="shared" si="7"/>
        <v>0.33627914305344936</v>
      </c>
      <c r="AD29" s="156">
        <f>Poor!AD29</f>
        <v>0.25</v>
      </c>
      <c r="AE29" s="121">
        <f t="shared" si="8"/>
        <v>0.33627914305344936</v>
      </c>
      <c r="AF29" s="122">
        <f t="shared" si="10"/>
        <v>0.25</v>
      </c>
      <c r="AG29" s="121">
        <f t="shared" si="11"/>
        <v>0.33627914305344936</v>
      </c>
      <c r="AH29" s="123">
        <f t="shared" si="12"/>
        <v>1</v>
      </c>
      <c r="AI29" s="183">
        <f t="shared" si="13"/>
        <v>0.33627914305344936</v>
      </c>
      <c r="AJ29" s="120">
        <f t="shared" si="14"/>
        <v>0.33627914305344936</v>
      </c>
      <c r="AK29" s="119">
        <f t="shared" si="15"/>
        <v>0.33627914305344936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26.371016144824054</v>
      </c>
      <c r="J30" s="232">
        <f>IF(I$32&lt;=1,I30,1-SUM(J6:J29))</f>
        <v>4.6903823749903539E-2</v>
      </c>
      <c r="K30" s="22">
        <f t="shared" si="4"/>
        <v>0.59689273225404738</v>
      </c>
      <c r="L30" s="22">
        <f>IF(L124=L119,0,IF(K30="",0,(L119-L124)/(B119-B124)*K30))</f>
        <v>0.33944750526964712</v>
      </c>
      <c r="M30" s="175">
        <f t="shared" si="6"/>
        <v>4.6903823749903539E-2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0.18761529499961416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1.0000000000000007</v>
      </c>
      <c r="AG30" s="187">
        <f>IF(AG79*4/$I$83+SUM(AG6:AG29)&lt;1,AG79*4/$I$83,1-SUM(AG6:AG29))</f>
        <v>0.18761529499961427</v>
      </c>
      <c r="AH30" s="123">
        <f t="shared" si="12"/>
        <v>1.0000000000000007</v>
      </c>
      <c r="AI30" s="183">
        <f t="shared" si="13"/>
        <v>4.6903823749903567E-2</v>
      </c>
      <c r="AJ30" s="120">
        <f t="shared" si="14"/>
        <v>0</v>
      </c>
      <c r="AK30" s="119">
        <f t="shared" si="15"/>
        <v>9.3807647499807134E-2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-0.30484079700065569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28.213454972240523</v>
      </c>
      <c r="J32" s="17"/>
      <c r="L32" s="22">
        <f>SUM(L6:L30)</f>
        <v>1.3048407970006557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-1.4021068440079727E-2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11327.999999999998</v>
      </c>
      <c r="K37" s="40">
        <f t="shared" ref="K37:K52" si="28">(B37/B$65)</f>
        <v>3.5261666208517783E-2</v>
      </c>
      <c r="L37" s="22">
        <f t="shared" ref="L37:L52" si="29">(K37*H37)</f>
        <v>3.3287012900840789E-2</v>
      </c>
      <c r="M37" s="24">
        <f t="shared" ref="M37:M52" si="30">J37/B$65</f>
        <v>3.3287012900840782E-2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11327.999999999998</v>
      </c>
      <c r="AH37" s="123">
        <f>SUM(Z37,AB37,AD37,AF37)</f>
        <v>1</v>
      </c>
      <c r="AI37" s="112">
        <f>SUM(AA37,AC37,AE37,AG37)</f>
        <v>11327.999999999998</v>
      </c>
      <c r="AJ37" s="148">
        <f>(AA37+AC37)</f>
        <v>0</v>
      </c>
      <c r="AK37" s="147">
        <f>(AE37+AG37)</f>
        <v>11327.999999999998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4153.5999999999995</v>
      </c>
      <c r="J38" s="38">
        <f t="shared" ref="J38:J64" si="33">J92*I$83</f>
        <v>3004.916933671077</v>
      </c>
      <c r="K38" s="40">
        <f t="shared" si="28"/>
        <v>9.4031109889380748E-3</v>
      </c>
      <c r="L38" s="22">
        <f t="shared" si="29"/>
        <v>8.8765367735575418E-3</v>
      </c>
      <c r="M38" s="24">
        <f t="shared" si="30"/>
        <v>8.8298648249526893E-3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3004.916933671077</v>
      </c>
      <c r="AH38" s="123">
        <f t="shared" ref="AH38:AI58" si="35">SUM(Z38,AB38,AD38,AF38)</f>
        <v>1</v>
      </c>
      <c r="AI38" s="112">
        <f t="shared" si="35"/>
        <v>3004.916933671077</v>
      </c>
      <c r="AJ38" s="148">
        <f t="shared" ref="AJ38:AJ64" si="36">(AA38+AC38)</f>
        <v>0</v>
      </c>
      <c r="AK38" s="147">
        <f t="shared" ref="AK38:AK64" si="37">(AE38+AG38)</f>
        <v>3004.916933671077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7.0523332417035565E-3</v>
      </c>
      <c r="L39" s="22">
        <f t="shared" si="29"/>
        <v>6.6574025801681572E-3</v>
      </c>
      <c r="M39" s="24">
        <f t="shared" si="30"/>
        <v>6.6574025801681563E-3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0.20374721046075603</v>
      </c>
      <c r="AA39" s="147">
        <f>$J39*Z39</f>
        <v>461.60968001988886</v>
      </c>
      <c r="AB39" s="122">
        <f>AB8</f>
        <v>0.45966282440340633</v>
      </c>
      <c r="AC39" s="147">
        <f>$J39*AB39</f>
        <v>1041.4120949683575</v>
      </c>
      <c r="AD39" s="122">
        <f>AD8</f>
        <v>0.19221396414489861</v>
      </c>
      <c r="AE39" s="147">
        <f>$J39*AD39</f>
        <v>435.47995716668225</v>
      </c>
      <c r="AF39" s="122">
        <f t="shared" si="31"/>
        <v>0.14437600099093895</v>
      </c>
      <c r="AG39" s="147">
        <f t="shared" si="34"/>
        <v>327.09826784507129</v>
      </c>
      <c r="AH39" s="123">
        <f t="shared" si="35"/>
        <v>1</v>
      </c>
      <c r="AI39" s="112">
        <f t="shared" si="35"/>
        <v>2265.6</v>
      </c>
      <c r="AJ39" s="148">
        <f t="shared" si="36"/>
        <v>1503.0217749882463</v>
      </c>
      <c r="AK39" s="147">
        <f t="shared" si="37"/>
        <v>762.5782250117536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5570.626141582422</v>
      </c>
      <c r="K40" s="40">
        <f t="shared" si="28"/>
        <v>1.0578499862555334E-2</v>
      </c>
      <c r="L40" s="22">
        <f t="shared" si="29"/>
        <v>1.6142790790259442E-2</v>
      </c>
      <c r="M40" s="24">
        <f t="shared" si="30"/>
        <v>1.6369129964743555E-2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0.20374721046075606</v>
      </c>
      <c r="AA40" s="147">
        <f>$J40*Z40</f>
        <v>1134.9995368671832</v>
      </c>
      <c r="AB40" s="122">
        <f>AB9</f>
        <v>0.45966282440340644</v>
      </c>
      <c r="AC40" s="147">
        <f>$J40*AB40</f>
        <v>2560.6097459352263</v>
      </c>
      <c r="AD40" s="122">
        <f>AD9</f>
        <v>0.19221396414489864</v>
      </c>
      <c r="AE40" s="147">
        <f>$J40*AD40</f>
        <v>1070.7521334427586</v>
      </c>
      <c r="AF40" s="122">
        <f t="shared" si="31"/>
        <v>0.14437600099093884</v>
      </c>
      <c r="AG40" s="147">
        <f t="shared" si="34"/>
        <v>804.26472533725348</v>
      </c>
      <c r="AH40" s="123">
        <f t="shared" si="35"/>
        <v>1</v>
      </c>
      <c r="AI40" s="112">
        <f t="shared" si="35"/>
        <v>5570.626141582421</v>
      </c>
      <c r="AJ40" s="148">
        <f t="shared" si="36"/>
        <v>3695.6092828024093</v>
      </c>
      <c r="AK40" s="147">
        <f t="shared" si="37"/>
        <v>1875.0168587800122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1.1100000000000001</v>
      </c>
      <c r="G41" s="22">
        <f t="shared" si="32"/>
        <v>1.65</v>
      </c>
      <c r="H41" s="24">
        <f t="shared" si="26"/>
        <v>1.1100000000000001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0.20374721046075606</v>
      </c>
      <c r="AA41" s="147">
        <f>$J41*Z41</f>
        <v>0</v>
      </c>
      <c r="AB41" s="122">
        <f>AB11</f>
        <v>0.45966282440340633</v>
      </c>
      <c r="AC41" s="147">
        <f>$J41*AB41</f>
        <v>0</v>
      </c>
      <c r="AD41" s="122">
        <f>AD11</f>
        <v>0.19221396414489864</v>
      </c>
      <c r="AE41" s="147">
        <f>$J41*AD41</f>
        <v>0</v>
      </c>
      <c r="AF41" s="122">
        <f t="shared" si="31"/>
        <v>0.14437600099093895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1.1100000000000001</v>
      </c>
      <c r="G42" s="22">
        <f t="shared" si="32"/>
        <v>1.65</v>
      </c>
      <c r="H42" s="24">
        <f t="shared" si="26"/>
        <v>1.1100000000000001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0.8</v>
      </c>
      <c r="F43" s="75">
        <f>Middle!F43</f>
        <v>1.18</v>
      </c>
      <c r="G43" s="22">
        <f t="shared" si="32"/>
        <v>1.65</v>
      </c>
      <c r="H43" s="24">
        <f t="shared" si="26"/>
        <v>0.94399999999999995</v>
      </c>
      <c r="I43" s="39">
        <f t="shared" si="27"/>
        <v>249216</v>
      </c>
      <c r="J43" s="38">
        <f t="shared" si="33"/>
        <v>249216</v>
      </c>
      <c r="K43" s="40">
        <f t="shared" si="28"/>
        <v>0.77575665658739112</v>
      </c>
      <c r="L43" s="22">
        <f t="shared" si="29"/>
        <v>0.73231428381849717</v>
      </c>
      <c r="M43" s="24">
        <f t="shared" si="30"/>
        <v>0.73231428381849728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62304</v>
      </c>
      <c r="AB43" s="156">
        <f>Poor!AB43</f>
        <v>0.25</v>
      </c>
      <c r="AC43" s="147">
        <f t="shared" si="39"/>
        <v>62304</v>
      </c>
      <c r="AD43" s="156">
        <f>Poor!AD43</f>
        <v>0.25</v>
      </c>
      <c r="AE43" s="147">
        <f t="shared" si="40"/>
        <v>62304</v>
      </c>
      <c r="AF43" s="122">
        <f t="shared" si="31"/>
        <v>0.25</v>
      </c>
      <c r="AG43" s="147">
        <f t="shared" si="34"/>
        <v>62304</v>
      </c>
      <c r="AH43" s="123">
        <f t="shared" si="35"/>
        <v>1</v>
      </c>
      <c r="AI43" s="112">
        <f t="shared" si="35"/>
        <v>249216</v>
      </c>
      <c r="AJ43" s="148">
        <f t="shared" si="36"/>
        <v>124608</v>
      </c>
      <c r="AK43" s="147">
        <f t="shared" si="37"/>
        <v>124608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1</v>
      </c>
      <c r="F46" s="75">
        <f>Middle!F46</f>
        <v>1.18</v>
      </c>
      <c r="G46" s="22">
        <f t="shared" si="32"/>
        <v>1.65</v>
      </c>
      <c r="H46" s="24">
        <f t="shared" si="26"/>
        <v>1.18</v>
      </c>
      <c r="I46" s="39">
        <f t="shared" si="27"/>
        <v>9809.2258064516136</v>
      </c>
      <c r="J46" s="38">
        <f t="shared" si="33"/>
        <v>9809.2258064516136</v>
      </c>
      <c r="K46" s="40">
        <f t="shared" si="28"/>
        <v>2.4427234897674819E-2</v>
      </c>
      <c r="L46" s="22">
        <f t="shared" si="29"/>
        <v>2.8824137179256287E-2</v>
      </c>
      <c r="M46" s="24">
        <f t="shared" si="30"/>
        <v>2.8824137179256287E-2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2452.3064516129034</v>
      </c>
      <c r="AB46" s="156">
        <f>Poor!AB46</f>
        <v>0.25</v>
      </c>
      <c r="AC46" s="147">
        <f t="shared" si="39"/>
        <v>2452.3064516129034</v>
      </c>
      <c r="AD46" s="156">
        <f>Poor!AD46</f>
        <v>0.25</v>
      </c>
      <c r="AE46" s="147">
        <f t="shared" si="40"/>
        <v>2452.3064516129034</v>
      </c>
      <c r="AF46" s="122">
        <f t="shared" si="31"/>
        <v>0.25</v>
      </c>
      <c r="AG46" s="147">
        <f t="shared" si="34"/>
        <v>2452.3064516129034</v>
      </c>
      <c r="AH46" s="123">
        <f t="shared" si="35"/>
        <v>1</v>
      </c>
      <c r="AI46" s="112">
        <f t="shared" si="35"/>
        <v>9809.2258064516136</v>
      </c>
      <c r="AJ46" s="148">
        <f t="shared" si="36"/>
        <v>4904.6129032258068</v>
      </c>
      <c r="AK46" s="147">
        <f t="shared" si="37"/>
        <v>4904.6129032258068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320951.62580645166</v>
      </c>
      <c r="J65" s="39">
        <f>SUM(J37:J64)</f>
        <v>325373.56888170517</v>
      </c>
      <c r="K65" s="40">
        <f>SUM(K37:K64)</f>
        <v>1</v>
      </c>
      <c r="L65" s="22">
        <f>SUM(L37:L64)</f>
        <v>0.95592151435585837</v>
      </c>
      <c r="M65" s="24">
        <f>SUM(M37:M64)</f>
        <v>0.95610118158173774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77397.715668499979</v>
      </c>
      <c r="AB65" s="137"/>
      <c r="AC65" s="153">
        <f>SUM(AC37:AC64)</f>
        <v>79403.1282925165</v>
      </c>
      <c r="AD65" s="137"/>
      <c r="AE65" s="153">
        <f>SUM(AE37:AE64)</f>
        <v>77307.338542222351</v>
      </c>
      <c r="AF65" s="137"/>
      <c r="AG65" s="153">
        <f>SUM(AG37:AG64)</f>
        <v>91265.386378466312</v>
      </c>
      <c r="AH65" s="137"/>
      <c r="AI65" s="153">
        <f>SUM(AI37:AI64)</f>
        <v>325373.56888170511</v>
      </c>
      <c r="AJ65" s="153">
        <f>SUM(AJ37:AJ64)</f>
        <v>156800.84396101648</v>
      </c>
      <c r="AK65" s="153">
        <f>SUM(AK37:AK64)</f>
        <v>168572.72492068866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302807.41000452673</v>
      </c>
      <c r="J74" s="51">
        <f>J128*I$83</f>
        <v>538.57709960883494</v>
      </c>
      <c r="K74" s="40">
        <f>B74/B$76</f>
        <v>1.2206005595024303E-2</v>
      </c>
      <c r="L74" s="22">
        <f>(L128*G$37*F$9/F$7)/B$130</f>
        <v>1.1453384462015164E-2</v>
      </c>
      <c r="M74" s="24">
        <f>J74/B$76</f>
        <v>1.5825938261631975E-3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538.57709960883528</v>
      </c>
      <c r="AH74" s="155"/>
      <c r="AI74" s="147">
        <f>SUM(AA74,AC74,AE74,AG74)</f>
        <v>538.57709960883528</v>
      </c>
      <c r="AJ74" s="148">
        <f>(AA74+AC74)</f>
        <v>0</v>
      </c>
      <c r="AK74" s="147">
        <f>(AE74+AG74)</f>
        <v>538.57709960883528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215409.90931350473</v>
      </c>
      <c r="K75" s="40">
        <f>B75/B$76</f>
        <v>0.72240052870094063</v>
      </c>
      <c r="L75" s="22">
        <f>(L129*G$37*F$9/F$7)/B$130</f>
        <v>0.62292556882325956</v>
      </c>
      <c r="M75" s="24">
        <f>J75/B$76</f>
        <v>0.63297602668499076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72861.66171801876</v>
      </c>
      <c r="AB75" s="158"/>
      <c r="AC75" s="149">
        <f>AA75+AC65-SUM(AC70,AC74)</f>
        <v>147728.73606005407</v>
      </c>
      <c r="AD75" s="158"/>
      <c r="AE75" s="149">
        <f>AC75+AE65-SUM(AE70,AE74)</f>
        <v>220500.02065179523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306690.77598017146</v>
      </c>
      <c r="AJ75" s="151">
        <f>AJ76-SUM(AJ70,AJ74)</f>
        <v>147728.73606005404</v>
      </c>
      <c r="AK75" s="149">
        <f>AJ75+AK76-SUM(AK70,AK74)</f>
        <v>306690.77598017146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320951.6258064516</v>
      </c>
      <c r="J76" s="51">
        <f>J130*I$83</f>
        <v>325373.56888170505</v>
      </c>
      <c r="K76" s="40">
        <f>SUM(K70:K75)</f>
        <v>0.92043596816339179</v>
      </c>
      <c r="L76" s="22">
        <f>SUM(L70:L75)</f>
        <v>0.86203595678866063</v>
      </c>
      <c r="M76" s="24">
        <f>SUM(M70:M75)</f>
        <v>0.86221562401453988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77397.715668499979</v>
      </c>
      <c r="AB76" s="137"/>
      <c r="AC76" s="153">
        <f>AC65</f>
        <v>79403.1282925165</v>
      </c>
      <c r="AD76" s="137"/>
      <c r="AE76" s="153">
        <f>AE65</f>
        <v>77307.338542222351</v>
      </c>
      <c r="AF76" s="137"/>
      <c r="AG76" s="153">
        <f>AG65</f>
        <v>91265.386378466312</v>
      </c>
      <c r="AH76" s="137"/>
      <c r="AI76" s="153">
        <f>SUM(AA76,AC76,AE76,AG76)</f>
        <v>325373.56888170517</v>
      </c>
      <c r="AJ76" s="154">
        <f>SUM(AA76,AC76)</f>
        <v>156800.84396101648</v>
      </c>
      <c r="AK76" s="154">
        <f>SUM(AE76,AG76)</f>
        <v>168572.72492068866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72861.66171801876</v>
      </c>
      <c r="AD78" s="112"/>
      <c r="AE78" s="112">
        <f>AC75</f>
        <v>147728.73606005407</v>
      </c>
      <c r="AF78" s="112"/>
      <c r="AG78" s="112">
        <f>AE75</f>
        <v>220500.02065179523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72861.66171801876</v>
      </c>
      <c r="AB79" s="112"/>
      <c r="AC79" s="112">
        <f>AA79-AA74+AC65-AC70</f>
        <v>147728.73606005407</v>
      </c>
      <c r="AD79" s="112"/>
      <c r="AE79" s="112">
        <f>AC79-AC74+AE65-AE70</f>
        <v>220500.02065179523</v>
      </c>
      <c r="AF79" s="112"/>
      <c r="AG79" s="112">
        <f>AE79-AE74+AG65-AG70</f>
        <v>307229.3530797803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0.57212121212121214</v>
      </c>
      <c r="I91" s="22">
        <f t="shared" ref="I91" si="52">(D91*H91)</f>
        <v>0.98653751862974903</v>
      </c>
      <c r="J91" s="24">
        <f>IF(I$32&lt;=1+I$131,I91,L91+J$33*(I91-L91))</f>
        <v>0.98653751862974903</v>
      </c>
      <c r="K91" s="22">
        <f t="shared" ref="K91" si="53">(B91)</f>
        <v>1.7243505357405571</v>
      </c>
      <c r="L91" s="22">
        <f t="shared" ref="L91" si="54">(K91*H91)</f>
        <v>0.98653751862974903</v>
      </c>
      <c r="M91" s="228">
        <f t="shared" si="50"/>
        <v>0.98653751862974903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0.57212121212121214</v>
      </c>
      <c r="I92" s="22">
        <f t="shared" ref="I92:I118" si="59">(D92*H92)</f>
        <v>0.36173042349757467</v>
      </c>
      <c r="J92" s="24">
        <f t="shared" ref="J92:J118" si="60">IF(I$32&lt;=1+I$131,I92,L92+J$33*(I92-L92))</f>
        <v>0.26169344062785832</v>
      </c>
      <c r="K92" s="22">
        <f t="shared" ref="K92:K118" si="61">(B92)</f>
        <v>0.45982680953081523</v>
      </c>
      <c r="L92" s="22">
        <f t="shared" ref="L92:L118" si="62">(K92*H92)</f>
        <v>0.26307667163459975</v>
      </c>
      <c r="M92" s="228">
        <f t="shared" ref="M92:M118" si="63">(J92)</f>
        <v>0.26169344062785832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0.57212121212121214</v>
      </c>
      <c r="I93" s="22">
        <f t="shared" si="59"/>
        <v>0.19730750372594982</v>
      </c>
      <c r="J93" s="24">
        <f t="shared" si="60"/>
        <v>0.19730750372594982</v>
      </c>
      <c r="K93" s="22">
        <f t="shared" si="61"/>
        <v>0.34487010714811145</v>
      </c>
      <c r="L93" s="22">
        <f t="shared" si="62"/>
        <v>0.19730750372594982</v>
      </c>
      <c r="M93" s="228">
        <f t="shared" si="63"/>
        <v>0.19730750372594982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0.48513697836606079</v>
      </c>
      <c r="K94" s="22">
        <f t="shared" si="61"/>
        <v>0.51730516072216715</v>
      </c>
      <c r="L94" s="22">
        <f t="shared" si="62"/>
        <v>0.47842889409819828</v>
      </c>
      <c r="M94" s="228">
        <f t="shared" si="63"/>
        <v>0.48513697836606079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0.67272727272727284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0.67272727272727284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0.57212121212121214</v>
      </c>
      <c r="I97" s="22">
        <f t="shared" si="59"/>
        <v>21.703825409854481</v>
      </c>
      <c r="J97" s="24">
        <f t="shared" si="60"/>
        <v>21.703825409854481</v>
      </c>
      <c r="K97" s="22">
        <f t="shared" si="61"/>
        <v>37.935711786292259</v>
      </c>
      <c r="L97" s="22">
        <f t="shared" si="62"/>
        <v>21.703825409854481</v>
      </c>
      <c r="M97" s="228">
        <f t="shared" si="63"/>
        <v>21.703825409854481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0.7151515151515152</v>
      </c>
      <c r="I100" s="22">
        <f t="shared" si="59"/>
        <v>0.85426988760378486</v>
      </c>
      <c r="J100" s="24">
        <f t="shared" si="60"/>
        <v>0.85426988760378486</v>
      </c>
      <c r="K100" s="22">
        <f t="shared" si="61"/>
        <v>1.1945299275815635</v>
      </c>
      <c r="L100" s="22">
        <f t="shared" si="62"/>
        <v>0.85426988760378486</v>
      </c>
      <c r="M100" s="228">
        <f t="shared" si="63"/>
        <v>0.85426988760378486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27.95116706596756</v>
      </c>
      <c r="J119" s="24">
        <f>SUM(J91:J118)</f>
        <v>28.336267061463904</v>
      </c>
      <c r="K119" s="22">
        <f>SUM(K91:K118)</f>
        <v>48.901561416403645</v>
      </c>
      <c r="L119" s="22">
        <f>SUM(L91:L118)</f>
        <v>28.330942208202782</v>
      </c>
      <c r="M119" s="57">
        <f t="shared" si="50"/>
        <v>28.336267061463904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26.371016144824054</v>
      </c>
      <c r="J128" s="229">
        <f>(J30)</f>
        <v>4.6903823749903539E-2</v>
      </c>
      <c r="K128" s="22">
        <f>(B128)</f>
        <v>0.59689273225404738</v>
      </c>
      <c r="L128" s="22">
        <f>IF(L124=L119,0,(L119-L124)/(B119-B124)*K128)</f>
        <v>0.33944750526964712</v>
      </c>
      <c r="M128" s="57">
        <f t="shared" si="90"/>
        <v>4.6903823749903539E-2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18.759706693361956</v>
      </c>
      <c r="K129" s="29">
        <f>(B129)</f>
        <v>35.326513821511512</v>
      </c>
      <c r="L129" s="60">
        <f>IF(SUM(L124:L128)&gt;L130,0,L130-SUM(L124:L128))</f>
        <v>18.461838158581092</v>
      </c>
      <c r="M129" s="57">
        <f t="shared" si="90"/>
        <v>18.759706693361956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27.95116706596756</v>
      </c>
      <c r="J130" s="229">
        <f>(J119)</f>
        <v>28.336267061463904</v>
      </c>
      <c r="K130" s="22">
        <f>(B130)</f>
        <v>48.901561416403645</v>
      </c>
      <c r="L130" s="22">
        <f>(L119)</f>
        <v>28.330942208202782</v>
      </c>
      <c r="M130" s="57">
        <f t="shared" si="90"/>
        <v>28.336267061463904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667.88010903482223</v>
      </c>
      <c r="G72" s="109">
        <f>Poor!T7</f>
        <v>5082.9848685109964</v>
      </c>
      <c r="H72" s="109">
        <f>Middle!T7</f>
        <v>7766.9324843275544</v>
      </c>
      <c r="I72" s="109">
        <f>Rich!T7</f>
        <v>7092.9495205936346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6684.751369898906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170.81543189845129</v>
      </c>
      <c r="H74" s="109">
        <f>Middle!T9</f>
        <v>442.21177966613317</v>
      </c>
      <c r="I74" s="109">
        <f>Rich!T9</f>
        <v>1362.9612144172429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3426.72</v>
      </c>
      <c r="H76" s="109">
        <f>Middle!T11</f>
        <v>9991.0268133849841</v>
      </c>
      <c r="I76" s="109">
        <f>Rich!T11</f>
        <v>19918.220320405289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4495.5</v>
      </c>
      <c r="G77" s="109">
        <f>Poor!T12</f>
        <v>8075.2500000000027</v>
      </c>
      <c r="H77" s="109">
        <f>Middle!T12</f>
        <v>832.50000000000011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5274.72</v>
      </c>
      <c r="G78" s="109">
        <f>Poor!T13</f>
        <v>6260.4000000000005</v>
      </c>
      <c r="H78" s="109">
        <f>Middle!T13</f>
        <v>75331.199999999997</v>
      </c>
      <c r="I78" s="109">
        <f>Rich!T13</f>
        <v>299059.20000000001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4149.0710027437399</v>
      </c>
      <c r="H79" s="109">
        <f>Middle!T14</f>
        <v>24217.190823944766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24207.674280732346</v>
      </c>
      <c r="G82" s="109">
        <f>Poor!T17</f>
        <v>21932.259808195293</v>
      </c>
      <c r="H82" s="109">
        <f>Middle!T17</f>
        <v>9809.2258064516154</v>
      </c>
      <c r="I82" s="109">
        <f>Rich!T17</f>
        <v>11771.070967741936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41764.149712530707</v>
      </c>
      <c r="G88" s="109">
        <f>Poor!T23</f>
        <v>53589.480546984778</v>
      </c>
      <c r="H88" s="109">
        <f>Middle!T23</f>
        <v>135261.14714341133</v>
      </c>
      <c r="I88" s="109">
        <f>Rich!T23</f>
        <v>398904.19339305704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4883.0373672661954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29436.477367266183</v>
      </c>
      <c r="G100" s="240">
        <f t="shared" si="0"/>
        <v>16681.546532812121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2016-06-02T06:20:59Z</dcterms:modified>
  <cp:category/>
</cp:coreProperties>
</file>