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<sst xmlns="http://schemas.openxmlformats.org/spreadsheetml/2006/main" count="790" uniqueCount="145">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</sst>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0.0360715610511909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0.332623148309979</c:v>
                </c:pt>
                <c:pt idx="2" formatCode="0.0%">
                  <c:v>0.428018941406029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253096"/>
        <c:axId val="-1992256456"/>
      </c:barChart>
      <c:catAx>
        <c:axId val="-19922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25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0.00776858619074974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201176"/>
        <c:axId val="1789198040"/>
      </c:barChart>
      <c:catAx>
        <c:axId val="17892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9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0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0.241998270159657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0.0053492201006292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0.0574301315182788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0.103374236732902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0.00114860263036558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57464"/>
        <c:axId val="1789054328"/>
      </c:barChart>
      <c:catAx>
        <c:axId val="17890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5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0.030822812363953</c:v>
                </c:pt>
                <c:pt idx="2">
                  <c:v>0.030822812363953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0.0121898127993034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1.131197213757074</c:v>
                </c:pt>
                <c:pt idx="2">
                  <c:v>1.131197213757074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12472"/>
        <c:axId val="1788909336"/>
      </c:barChart>
      <c:catAx>
        <c:axId val="17889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0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0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6375.645578222946</c:v>
                </c:pt>
                <c:pt idx="7">
                  <c:v>9077.203313634807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26942.81266927033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884.9999999999999</c:v>
                </c:pt>
                <c:pt idx="5">
                  <c:v>3776</c:v>
                </c:pt>
                <c:pt idx="6">
                  <c:v>10210.03952675198</c:v>
                </c:pt>
                <c:pt idx="7">
                  <c:v>31826.69626677153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1710.487137391121</c:v>
                </c:pt>
                <c:pt idx="6">
                  <c:v>398.5852615551468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856216"/>
        <c:axId val="17868595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56216"/>
        <c:axId val="1786859592"/>
      </c:lineChart>
      <c:catAx>
        <c:axId val="17868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5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989096"/>
        <c:axId val="17869924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89096"/>
        <c:axId val="1786992424"/>
      </c:lineChart>
      <c:catAx>
        <c:axId val="1786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9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9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34120"/>
        <c:axId val="1788737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34120"/>
        <c:axId val="1788737400"/>
      </c:lineChart>
      <c:catAx>
        <c:axId val="1788734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73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0.767068336756366</c:v>
                </c:pt>
                <c:pt idx="2">
                  <c:v>0.767068336756366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0.386047846880464</c:v>
                </c:pt>
                <c:pt idx="2">
                  <c:v>0.380661850471128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0.231271986577173</c:v>
                </c:pt>
                <c:pt idx="2">
                  <c:v>0.297600426712879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-0.445754511951762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808344"/>
        <c:axId val="1788811720"/>
      </c:barChart>
      <c:catAx>
        <c:axId val="17888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81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0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0.11194441883636</c:v>
                </c:pt>
                <c:pt idx="2">
                  <c:v>0.0854705383465266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0.00144158043370365</c:v>
                </c:pt>
                <c:pt idx="2">
                  <c:v>0.0277477171064398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0.11194441883636</c:v>
                </c:pt>
                <c:pt idx="2">
                  <c:v>0.0854705383465266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08856"/>
        <c:axId val="1788205432"/>
      </c:barChart>
      <c:catAx>
        <c:axId val="17882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0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0.064774490603104</c:v>
                </c:pt>
                <c:pt idx="2">
                  <c:v>0.0269630450244125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0.316813051492581</c:v>
                </c:pt>
                <c:pt idx="2">
                  <c:v>0.361071190493632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0.064774490603104</c:v>
                </c:pt>
                <c:pt idx="2">
                  <c:v>0.0269630450244125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153512"/>
        <c:axId val="1788149992"/>
      </c:barChart>
      <c:catAx>
        <c:axId val="178815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4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14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5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1.041636724427714</c:v>
                </c:pt>
                <c:pt idx="2">
                  <c:v>1.041636724427713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0.132573114492618</c:v>
                </c:pt>
                <c:pt idx="2">
                  <c:v>0.120383301693314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0.170826112677052</c:v>
                </c:pt>
                <c:pt idx="2">
                  <c:v>0.120383301693314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-0.718103032941518</c:v>
                </c:pt>
                <c:pt idx="2">
                  <c:v>-0.718103032941518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092456"/>
        <c:axId val="1788089096"/>
      </c:barChart>
      <c:catAx>
        <c:axId val="17880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8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08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9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0.0219250963033794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0.0147027116387367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0.017383893747837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0.194015179402014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0.409307478485756</c:v>
                </c:pt>
                <c:pt idx="2" formatCode="0.0%">
                  <c:v>0.312509823170159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87576"/>
        <c:axId val="1788290872"/>
      </c:barChart>
      <c:catAx>
        <c:axId val="17882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9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9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349944"/>
        <c:axId val="1790353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49944"/>
        <c:axId val="1790353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9944"/>
        <c:axId val="1790353368"/>
      </c:scatterChart>
      <c:catAx>
        <c:axId val="1790349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53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49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70680"/>
        <c:axId val="1790474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70680"/>
        <c:axId val="1790474056"/>
      </c:lineChart>
      <c:catAx>
        <c:axId val="17904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474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8360"/>
        <c:axId val="17878550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1400"/>
        <c:axId val="1787848504"/>
      </c:scatterChart>
      <c:valAx>
        <c:axId val="1787858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5016"/>
        <c:crosses val="autoZero"/>
        <c:crossBetween val="midCat"/>
      </c:valAx>
      <c:valAx>
        <c:axId val="178785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8360"/>
        <c:crosses val="autoZero"/>
        <c:crossBetween val="midCat"/>
      </c:valAx>
      <c:valAx>
        <c:axId val="1787851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848504"/>
        <c:crosses val="autoZero"/>
        <c:crossBetween val="midCat"/>
      </c:valAx>
      <c:valAx>
        <c:axId val="1787848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1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29304"/>
        <c:axId val="179143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29304"/>
        <c:axId val="1791435048"/>
      </c:lineChart>
      <c:catAx>
        <c:axId val="17914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3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43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293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0.200457567456827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0.0196658169390092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0.00299215327613233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0.00434375527853552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0.0335864958831146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0.0280878217783569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0.196291807603682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0.307442753814818</c:v>
                </c:pt>
                <c:pt idx="2" formatCode="0.0%">
                  <c:v>0.127976194584555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446936"/>
        <c:axId val="1773391032"/>
      </c:barChart>
      <c:catAx>
        <c:axId val="17734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39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3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44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0.180926203495856</c:v>
                </c:pt>
                <c:pt idx="2" formatCode="0.0%">
                  <c:v>0.127500962226096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492136"/>
        <c:axId val="1788495432"/>
      </c:barChart>
      <c:catAx>
        <c:axId val="17884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49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0.0380870763474019</c:v>
                </c:pt>
                <c:pt idx="1">
                  <c:v>0.453396768910797</c:v>
                </c:pt>
                <c:pt idx="2">
                  <c:v>0.390630618766501</c:v>
                </c:pt>
                <c:pt idx="3">
                  <c:v>0.829961301599417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586024"/>
        <c:axId val="1788589336"/>
      </c:barChart>
      <c:catAx>
        <c:axId val="178858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9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85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0.184904913657017</c:v>
                </c:pt>
                <c:pt idx="2">
                  <c:v>0.0948557516392469</c:v>
                </c:pt>
                <c:pt idx="3">
                  <c:v>0.0948557516392469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559512"/>
        <c:axId val="1787562824"/>
      </c:barChart>
      <c:catAx>
        <c:axId val="178755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6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56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5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0.0702443022636523</c:v>
                </c:pt>
                <c:pt idx="1">
                  <c:v>0.0273361771884025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0.0815841546169641</c:v>
                </c:pt>
                <c:pt idx="1">
                  <c:v>0.0317491787163692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0.330016333377773</c:v>
                </c:pt>
                <c:pt idx="1">
                  <c:v>0.128428707718118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0.141374803516902</c:v>
                </c:pt>
                <c:pt idx="1">
                  <c:v>0.0550172263710186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0.0587592580930567</c:v>
                </c:pt>
                <c:pt idx="3">
                  <c:v>0.0289411271204607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0.0347677874956739</c:v>
                </c:pt>
                <c:pt idx="3">
                  <c:v>0.0347677874956739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0.194015179402014</c:v>
                </c:pt>
                <c:pt idx="1">
                  <c:v>0.194015179402014</c:v>
                </c:pt>
                <c:pt idx="2">
                  <c:v>0.194015179402014</c:v>
                </c:pt>
                <c:pt idx="3">
                  <c:v>0.194015179402014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0.344312452114024</c:v>
                </c:pt>
                <c:pt idx="2">
                  <c:v>0.512533974836622</c:v>
                </c:pt>
                <c:pt idx="3">
                  <c:v>0.452003712284934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670440"/>
        <c:axId val="1787673752"/>
      </c:barChart>
      <c:catAx>
        <c:axId val="178767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3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67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0.0518527603765044</c:v>
                </c:pt>
                <c:pt idx="1">
                  <c:v>0.0514156998739651</c:v>
                </c:pt>
                <c:pt idx="2">
                  <c:v>0.0169782084917471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0.048871592348243</c:v>
                </c:pt>
                <c:pt idx="1">
                  <c:v>0.0484596597422154</c:v>
                </c:pt>
                <c:pt idx="2">
                  <c:v>0.0160020812428748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0.345765194818958</c:v>
                </c:pt>
                <c:pt idx="1">
                  <c:v>0.342850782766237</c:v>
                </c:pt>
                <c:pt idx="2">
                  <c:v>0.113214292242113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0.121950947331018</c:v>
                </c:pt>
                <c:pt idx="1">
                  <c:v>0.120923037882444</c:v>
                </c:pt>
                <c:pt idx="2">
                  <c:v>0.0399305378251432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0.0527043893965446</c:v>
                </c:pt>
                <c:pt idx="3">
                  <c:v>0.0259588783594921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0.0119686131045293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0.0173750211141421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0.0561756435567138</c:v>
                </c:pt>
                <c:pt idx="3">
                  <c:v>0.0561756435567138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0.196291807603682</c:v>
                </c:pt>
                <c:pt idx="1">
                  <c:v>0.196291807603682</c:v>
                </c:pt>
                <c:pt idx="2">
                  <c:v>0.196291807603682</c:v>
                </c:pt>
                <c:pt idx="3">
                  <c:v>0.196291807603682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0.235283868270193</c:v>
                </c:pt>
                <c:pt idx="3">
                  <c:v>0.276620910068028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776408"/>
        <c:axId val="1787779720"/>
      </c:barChart>
      <c:catAx>
        <c:axId val="1787776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77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28776"/>
        <c:axId val="1789831832"/>
      </c:barChart>
      <c:catAx>
        <c:axId val="17898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8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41781.454421677787</v>
      </c>
      <c r="T23" s="179">
        <f>SUM(T7:T22)</f>
        <v>41742.361913610323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0.12750096222609564</v>
      </c>
      <c r="J30" s="232">
        <f>IF(I$32&lt;=1,I30,1-SUM(J6:J29))</f>
        <v>0.12750096222609564</v>
      </c>
      <c r="K30" s="22">
        <f t="shared" si="4"/>
        <v>0.57640191780821914</v>
      </c>
      <c r="L30" s="22">
        <f>IF(L124=L119,0,IF(K30="",0,(L119-L124)/(B119-B124)*K30))</f>
        <v>0.18092620349585642</v>
      </c>
      <c r="M30" s="175">
        <f t="shared" si="6"/>
        <v>0.12750096222609564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9146.3601713123062</v>
      </c>
      <c r="T30" s="235">
        <f t="shared" si="24"/>
        <v>9185.4526793797704</v>
      </c>
      <c r="U30" s="56"/>
      <c r="V30" s="56"/>
      <c r="W30" s="110"/>
      <c r="X30" s="118"/>
      <c r="Y30" s="183">
        <f>M30*4</f>
        <v>0.51000384890438255</v>
      </c>
      <c r="Z30" s="122">
        <f>IF($Y30=0,0,AA30/($Y$30))</f>
        <v>0.26546354946088996</v>
      </c>
      <c r="AA30" s="187">
        <f>IF(AA79*4/$I$83+SUM(AA6:AA29)&lt;1,AA79*4/$I$83,1-SUM(AA6:AA29))</f>
        <v>0.13538743196887282</v>
      </c>
      <c r="AB30" s="122">
        <f>IF($Y30=0,0,AC30/($Y$30))</f>
        <v>0.36255591806657755</v>
      </c>
      <c r="AC30" s="187">
        <f>IF(AC79*4/$I$83+SUM(AC6:AC29)&lt;1,AC79*4/$I$83,1-SUM(AC6:AC29))</f>
        <v>0.18490491365701653</v>
      </c>
      <c r="AD30" s="122">
        <f>IF($Y30=0,0,AE30/($Y$30))</f>
        <v>0.18599026623626677</v>
      </c>
      <c r="AE30" s="187">
        <f>IF(AE79*4/$I$83+SUM(AE6:AE29)&lt;1,AE79*4/$I$83,1-SUM(AE6:AE29))</f>
        <v>9.485575163924688E-2</v>
      </c>
      <c r="AF30" s="122">
        <f>IF($Y30=0,0,AG30/($Y$30))</f>
        <v>0.18599026623626677</v>
      </c>
      <c r="AG30" s="187">
        <f>IF(AG79*4/$I$83+SUM(AG6:AG29)&lt;1,AG79*4/$I$83,1-SUM(AG6:AG29))</f>
        <v>9.485575163924688E-2</v>
      </c>
      <c r="AH30" s="123">
        <f t="shared" si="12"/>
        <v>1.0000000000000011</v>
      </c>
      <c r="AI30" s="183">
        <f t="shared" si="13"/>
        <v>0.12750096222609578</v>
      </c>
      <c r="AJ30" s="120">
        <f t="shared" si="14"/>
        <v>0.16014617281294469</v>
      </c>
      <c r="AK30" s="119">
        <f t="shared" si="15"/>
        <v>9.485575163924688E-2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0.338826030569365</v>
      </c>
      <c r="K31" s="22" t="str">
        <f t="shared" si="4"/>
        <v/>
      </c>
      <c r="L31" s="22">
        <f>(1-SUM(L6:L30))</f>
        <v>0.28284838161021908</v>
      </c>
      <c r="M31" s="242">
        <f t="shared" si="6"/>
        <v>0.338826030569365</v>
      </c>
      <c r="N31" s="167">
        <f>M31*I83</f>
        <v>7348.3621435038131</v>
      </c>
      <c r="P31" s="22"/>
      <c r="Q31" s="239" t="s">
        <v>142</v>
      </c>
      <c r="R31" s="235">
        <f t="shared" si="24"/>
        <v>20906.156764887033</v>
      </c>
      <c r="S31" s="235">
        <f t="shared" si="24"/>
        <v>29764.893504645632</v>
      </c>
      <c r="T31" s="235">
        <f>IF(T25&gt;T$23,T25-T$23,0)</f>
        <v>29803.986012713096</v>
      </c>
      <c r="U31" s="243"/>
      <c r="V31" s="56"/>
      <c r="W31" s="129" t="s">
        <v>84</v>
      </c>
      <c r="X31" s="130"/>
      <c r="Y31" s="121">
        <f>M31*4</f>
        <v>1.35530412227746</v>
      </c>
      <c r="Z31" s="131"/>
      <c r="AA31" s="132">
        <f>1-AA32+IF($Y32&lt;0,$Y32/4,0)</f>
        <v>0</v>
      </c>
      <c r="AB31" s="131"/>
      <c r="AC31" s="133">
        <f>1-AC32+IF($Y32&lt;0,$Y32/4,0)</f>
        <v>0.41439681639197257</v>
      </c>
      <c r="AD31" s="134"/>
      <c r="AE31" s="133">
        <f>1-AE32+IF($Y32&lt;0,$Y32/4,0)</f>
        <v>0.46100549992281814</v>
      </c>
      <c r="AF31" s="134"/>
      <c r="AG31" s="133">
        <f>1-AG32+IF($Y32&lt;0,$Y32/4,0)</f>
        <v>0.50338511854050194</v>
      </c>
      <c r="AH31" s="123"/>
      <c r="AI31" s="182">
        <f>SUM(AA31,AC31,AE31,AG31)/4</f>
        <v>0.34469685871382316</v>
      </c>
      <c r="AJ31" s="135">
        <f t="shared" si="14"/>
        <v>0.20719840819598628</v>
      </c>
      <c r="AK31" s="136">
        <f t="shared" si="15"/>
        <v>0.48219530923166004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0.661173969430635</v>
      </c>
      <c r="J32" s="17"/>
      <c r="L32" s="22">
        <f>SUM(L6:L30)</f>
        <v>0.71715161838978092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70687.29350464564</v>
      </c>
      <c r="T32" s="235">
        <f t="shared" si="24"/>
        <v>70726.386012713105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0.58560318360802743</v>
      </c>
      <c r="AD32" s="137"/>
      <c r="AE32" s="139">
        <f>SUM(AE6:AE30)</f>
        <v>0.53899450007718186</v>
      </c>
      <c r="AF32" s="137"/>
      <c r="AG32" s="139">
        <f>SUM(AG6:AG30)</f>
        <v>0.49661488145949806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-5.0528806920178067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3.2651284283848496E-2</v>
      </c>
      <c r="L38" s="22">
        <f t="shared" ref="L38:L64" si="34">(K38*H38)</f>
        <v>3.0822812363952977E-2</v>
      </c>
      <c r="M38" s="24">
        <f t="shared" ref="M38:M64" si="35">J38/B$65</f>
        <v>3.0822812363952977E-2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0.31039530455620745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219.75987562579485</v>
      </c>
      <c r="AB38" s="122">
        <f>IF($J38=0,0,AC38/($J38))</f>
        <v>0.68960469544379255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488.24012437420504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1.2189812799303439E-2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0.95864170657379189</v>
      </c>
      <c r="L47" s="22">
        <f t="shared" si="34"/>
        <v>1.1311972137570743</v>
      </c>
      <c r="M47" s="24">
        <f t="shared" si="35"/>
        <v>1.1311972137570745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26691.599999999999</v>
      </c>
      <c r="J65" s="39">
        <f>SUM(J37:J64)</f>
        <v>26691.600000000002</v>
      </c>
      <c r="K65" s="40">
        <f>SUM(K37:K64)</f>
        <v>1</v>
      </c>
      <c r="L65" s="22">
        <f>SUM(L37:L64)</f>
        <v>1.1742098389203306</v>
      </c>
      <c r="M65" s="24">
        <f>SUM(M37:M64)</f>
        <v>1.1620200261210274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6715.6598756257954</v>
      </c>
      <c r="AB65" s="137"/>
      <c r="AC65" s="153">
        <f>SUM(AC37:AC64)</f>
        <v>6984.1401243742057</v>
      </c>
      <c r="AD65" s="137"/>
      <c r="AE65" s="153">
        <f>SUM(AE37:AE64)</f>
        <v>6495.9000000000005</v>
      </c>
      <c r="AF65" s="137"/>
      <c r="AG65" s="153">
        <f>SUM(AG37:AG64)</f>
        <v>6495.9000000000005</v>
      </c>
      <c r="AH65" s="137"/>
      <c r="AI65" s="153">
        <f>SUM(AI37:AI64)</f>
        <v>26691.600000000002</v>
      </c>
      <c r="AJ65" s="153">
        <f>SUM(AJ37:AJ64)</f>
        <v>13699.800000000001</v>
      </c>
      <c r="AK65" s="153">
        <f>SUM(AK37:AK64)</f>
        <v>12991.800000000001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23926.395560104575</v>
      </c>
      <c r="J70" s="51">
        <f t="shared" ref="J70:J77" si="44">J124*I$83</f>
        <v>23926.395560104575</v>
      </c>
      <c r="K70" s="40">
        <f>B70/B$76</f>
        <v>0.744026231734081</v>
      </c>
      <c r="L70" s="22">
        <f t="shared" ref="L70:L74" si="45">(L124*G$37*F$9/F$7)/B$130</f>
        <v>1.0416367244277136</v>
      </c>
      <c r="M70" s="24">
        <f>J70/B$76</f>
        <v>1.0416367244277134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5981.5988900261436</v>
      </c>
      <c r="AB70" s="156">
        <f>Poor!AB70</f>
        <v>0.25</v>
      </c>
      <c r="AC70" s="147">
        <f>$J70*AB70</f>
        <v>5981.5988900261436</v>
      </c>
      <c r="AD70" s="156">
        <f>Poor!AD70</f>
        <v>0.25</v>
      </c>
      <c r="AE70" s="147">
        <f>$J70*AD70</f>
        <v>5981.5988900261436</v>
      </c>
      <c r="AF70" s="156">
        <f>Poor!AF70</f>
        <v>0.25</v>
      </c>
      <c r="AG70" s="147">
        <f>$J70*AF70</f>
        <v>5981.5988900261436</v>
      </c>
      <c r="AH70" s="155">
        <f>SUM(Z70,AB70,AD70,AF70)</f>
        <v>1</v>
      </c>
      <c r="AI70" s="147">
        <f>SUM(AA70,AC70,AE70,AG70)</f>
        <v>23926.395560104575</v>
      </c>
      <c r="AJ70" s="148">
        <f>(AA70+AC70)</f>
        <v>11963.197780052287</v>
      </c>
      <c r="AK70" s="147">
        <f>(AE70+AG70)</f>
        <v>11963.197780052287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2765.2044398954245</v>
      </c>
      <c r="J71" s="51">
        <f t="shared" si="44"/>
        <v>2765.2044398954245</v>
      </c>
      <c r="K71" s="40">
        <f t="shared" ref="K71:K72" si="47">B71/B$76</f>
        <v>0.60856189232332036</v>
      </c>
      <c r="L71" s="22">
        <f t="shared" si="45"/>
        <v>0.13257311449261761</v>
      </c>
      <c r="M71" s="24">
        <f t="shared" ref="M71:M72" si="48">J71/B$76</f>
        <v>0.12038330169331408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2765.2044398954245</v>
      </c>
      <c r="J74" s="51">
        <f t="shared" si="44"/>
        <v>2765.2044398954245</v>
      </c>
      <c r="K74" s="40">
        <f>B74/B$76</f>
        <v>0.32983311848345043</v>
      </c>
      <c r="L74" s="22">
        <f t="shared" si="45"/>
        <v>0.17082611267705244</v>
      </c>
      <c r="M74" s="24">
        <f>J74/B$76</f>
        <v>0.12038330169331408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1002.5412343480621</v>
      </c>
      <c r="AD74" s="156"/>
      <c r="AE74" s="147">
        <f>AE30*$I$83/4</f>
        <v>514.30110997385691</v>
      </c>
      <c r="AF74" s="156"/>
      <c r="AG74" s="147">
        <f>AG30*$I$83/4</f>
        <v>514.30110997385691</v>
      </c>
      <c r="AH74" s="155"/>
      <c r="AI74" s="147">
        <f>SUM(AA74,AC74,AE74,AG74)</f>
        <v>2765.2044398954276</v>
      </c>
      <c r="AJ74" s="148">
        <f>(AA74+AC74)</f>
        <v>1736.6022199477136</v>
      </c>
      <c r="AK74" s="147">
        <f>(AE74+AG74)</f>
        <v>1028.6022199477138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26691.599999999999</v>
      </c>
      <c r="J76" s="51">
        <f t="shared" si="44"/>
        <v>26691.599999999999</v>
      </c>
      <c r="K76" s="40">
        <f>SUM(K70:K75)</f>
        <v>2.8902575507689754</v>
      </c>
      <c r="L76" s="22">
        <f>SUM(L70:L75)</f>
        <v>1.3450359515973838</v>
      </c>
      <c r="M76" s="24">
        <f>SUM(M70:M75)</f>
        <v>1.2824033278143414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6715.6598756257954</v>
      </c>
      <c r="AB76" s="137"/>
      <c r="AC76" s="153">
        <f>AC65</f>
        <v>6984.1401243742057</v>
      </c>
      <c r="AD76" s="137"/>
      <c r="AE76" s="153">
        <f>AE65</f>
        <v>6495.9000000000005</v>
      </c>
      <c r="AF76" s="137"/>
      <c r="AG76" s="153">
        <f>AG65</f>
        <v>6495.9000000000005</v>
      </c>
      <c r="AH76" s="137"/>
      <c r="AI76" s="153">
        <f>SUM(AA76,AC76,AE76,AG76)</f>
        <v>26691.600000000002</v>
      </c>
      <c r="AJ76" s="154">
        <f>SUM(AA76,AC76)</f>
        <v>13699.800000000001</v>
      </c>
      <c r="AK76" s="154">
        <f>SUM(AE76,AG76)</f>
        <v>12991.800000000001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-0.718103032941518</v>
      </c>
      <c r="M77" s="24">
        <f>-J77/B$76</f>
        <v>-0.718103032941518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2246.8299386902227</v>
      </c>
      <c r="AD77" s="112"/>
      <c r="AE77" s="111">
        <f>AE31*$I$83/4</f>
        <v>2499.5388916011611</v>
      </c>
      <c r="AF77" s="112"/>
      <c r="AG77" s="111">
        <f>AG31*$I$83/4</f>
        <v>2729.3181566291491</v>
      </c>
      <c r="AH77" s="110"/>
      <c r="AI77" s="154">
        <f>SUM(AA77,AC77,AE77,AG77)</f>
        <v>7475.6869869205329</v>
      </c>
      <c r="AJ77" s="153">
        <f>SUM(AA77,AC77)</f>
        <v>2246.8299386902227</v>
      </c>
      <c r="AK77" s="160">
        <f>SUM(AE77,AG77)</f>
        <v>5228.8570482303103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734.06098559965176</v>
      </c>
      <c r="AB79" s="112"/>
      <c r="AC79" s="112">
        <f>AA79-AA74+AC65-AC70</f>
        <v>1002.5412343480621</v>
      </c>
      <c r="AD79" s="112"/>
      <c r="AE79" s="112">
        <f>AC79-AC74+AE65-AE70</f>
        <v>514.30110997385691</v>
      </c>
      <c r="AF79" s="112"/>
      <c r="AG79" s="112">
        <f>AE79-AE74+AG65-AG70</f>
        <v>514.30110997385691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1.2307244391242038</v>
      </c>
      <c r="J119" s="24">
        <f>SUM(J91:J118)</f>
        <v>1.2307244391242038</v>
      </c>
      <c r="K119" s="22">
        <f>SUM(K91:K118)</f>
        <v>1.7475562201226933</v>
      </c>
      <c r="L119" s="22">
        <f>SUM(L91:L118)</f>
        <v>1.2436349743845396</v>
      </c>
      <c r="M119" s="57">
        <f t="shared" si="49"/>
        <v>1.2307244391242038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1.1032234768981082</v>
      </c>
      <c r="J124" s="238">
        <f>IF(SUMPRODUCT($B$124:$B124,$H$124:$H124)&lt;J$119,($B124*$H124),J$119)</f>
        <v>1.1032234768981082</v>
      </c>
      <c r="K124" s="29">
        <f>(B124)</f>
        <v>1.3002276692013417</v>
      </c>
      <c r="L124" s="29">
        <f>IF(SUMPRODUCT($B$124:$B124,$H$124:$H124)&lt;L$119,($B124*$H124),L$119)</f>
        <v>1.1032234768981082</v>
      </c>
      <c r="M124" s="241">
        <f t="shared" si="66"/>
        <v>1.1032234768981082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0.12750096222609564</v>
      </c>
      <c r="J125" s="238">
        <f>IF(SUMPRODUCT($B$124:$B125,$H$124:$H125)&lt;J$119,($B125*$H125),IF(SUMPRODUCT($B$124:$B124,$H$124:$H124)&lt;J$119,J$119-SUMPRODUCT($B$124:$B124,$H$124:$H124),0))</f>
        <v>0.12750096222609564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0.14041149748643145</v>
      </c>
      <c r="M125" s="241">
        <f t="shared" si="66"/>
        <v>0.12750096222609564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0.12750096222609564</v>
      </c>
      <c r="J128" s="229">
        <f>(J30)</f>
        <v>0.12750096222609564</v>
      </c>
      <c r="K128" s="29">
        <f>(B128)</f>
        <v>0.57640191780821914</v>
      </c>
      <c r="L128" s="29">
        <f>IF(L124=L119,0,(L119-L124)/(B119-B124)*K128)</f>
        <v>0.18092620349585642</v>
      </c>
      <c r="M128" s="241">
        <f t="shared" si="66"/>
        <v>0.12750096222609564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1.2307244391242038</v>
      </c>
      <c r="J130" s="229">
        <f>(J119)</f>
        <v>1.2307244391242038</v>
      </c>
      <c r="K130" s="29">
        <f>(B130)</f>
        <v>1.7475562201226933</v>
      </c>
      <c r="L130" s="29">
        <f>(L119)</f>
        <v>1.2436349743845396</v>
      </c>
      <c r="M130" s="241">
        <f t="shared" si="66"/>
        <v>1.2307244391242038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1710.4871373911215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3.6071561051190956E-2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3.6071561051190956E-2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0.14428624420476382</v>
      </c>
      <c r="Z18" s="116">
        <v>1.2941</v>
      </c>
      <c r="AA18" s="121">
        <f t="shared" ref="AA18:AA20" si="25">$M18*Z18*4</f>
        <v>0.18672082862538486</v>
      </c>
      <c r="AB18" s="116">
        <v>1.1765000000000001</v>
      </c>
      <c r="AC18" s="121">
        <f t="shared" ref="AC18:AC20" si="26">$M18*AB18*4</f>
        <v>0.16975276630690467</v>
      </c>
      <c r="AD18" s="116">
        <v>1.2353000000000001</v>
      </c>
      <c r="AE18" s="121">
        <f t="shared" ref="AE18:AE20" si="27">$M18*AD18*4</f>
        <v>0.17823679746614476</v>
      </c>
      <c r="AF18" s="122">
        <f t="shared" ref="AF18:AF20" si="28">1-SUM(Z18,AB18,AD18)</f>
        <v>-2.7059000000000002</v>
      </c>
      <c r="AG18" s="121">
        <f t="shared" ref="AG18:AG20" si="29">$M18*AF18*4</f>
        <v>-0.39042414819367044</v>
      </c>
      <c r="AH18" s="123">
        <f t="shared" ref="AH18:AH20" si="30">SUM(Z18,AB18,AD18,AF18)</f>
        <v>1</v>
      </c>
      <c r="AI18" s="183">
        <f t="shared" ref="AI18:AI20" si="31">SUM(AA18,AC18,AE18,AG18)/4</f>
        <v>3.607156105119097E-2</v>
      </c>
      <c r="AJ18" s="120">
        <f t="shared" ref="AJ18:AJ20" si="32">(AA18+AC18)/2</f>
        <v>0.17823679746614476</v>
      </c>
      <c r="AK18" s="119">
        <f t="shared" ref="AK18:AK20" si="33">(AE18+AG18)/2</f>
        <v>-0.10609367536376284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54143.861249801557</v>
      </c>
      <c r="T23" s="179">
        <f>SUM(T7:T22)</f>
        <v>54166.379505324207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0.54748067424481728</v>
      </c>
      <c r="J30" s="232">
        <f>IF(I$32&lt;=1,I30,1-SUM(J6:J29))</f>
        <v>0.42801894140602914</v>
      </c>
      <c r="K30" s="22">
        <f t="shared" si="4"/>
        <v>0.64272333250311331</v>
      </c>
      <c r="L30" s="22">
        <f>IF(L124=L119,0,IF(K30="",0,(L119-L124)/(B119-B124)*K30))</f>
        <v>0.33262314830997902</v>
      </c>
      <c r="M30" s="175">
        <f t="shared" si="6"/>
        <v>0.42801894140602914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1.7120757656241166</v>
      </c>
      <c r="Z30" s="122">
        <f>IF($Y30=0,0,AA30/($Y$30))</f>
        <v>2.2246139517965641E-2</v>
      </c>
      <c r="AA30" s="187">
        <f>IF(AA79*4/$I$83+SUM(AA6:AA29)&lt;1,AA79*4/$I$83,1-SUM(AA6:AA29))</f>
        <v>3.8087076347401938E-2</v>
      </c>
      <c r="AB30" s="122">
        <f>IF($Y30=0,0,AC30/($Y$30))</f>
        <v>0.26482284138022166</v>
      </c>
      <c r="AC30" s="187">
        <f>IF(AC79*4/$I$83+SUM(AC6:AC29)&lt;1,AC79*4/$I$83,1-SUM(AC6:AC29))</f>
        <v>0.45339676891079694</v>
      </c>
      <c r="AD30" s="122">
        <f>IF($Y30=0,0,AE30/($Y$30))</f>
        <v>0.22816199295017839</v>
      </c>
      <c r="AE30" s="187">
        <f>IF(AE79*4/$I$83+SUM(AE6:AE29)&lt;1,AE79*4/$I$83,1-SUM(AE6:AE29))</f>
        <v>0.39063061876650096</v>
      </c>
      <c r="AF30" s="122">
        <f>IF($Y30=0,0,AG30/($Y$30))</f>
        <v>0.48476902615163447</v>
      </c>
      <c r="AG30" s="187">
        <f>IF(AG79*4/$I$83+SUM(AG6:AG29)&lt;1,AG79*4/$I$83,1-SUM(AG6:AG29))</f>
        <v>0.82996130159941695</v>
      </c>
      <c r="AH30" s="123">
        <f t="shared" si="12"/>
        <v>1.0000000000000002</v>
      </c>
      <c r="AI30" s="183">
        <f t="shared" si="13"/>
        <v>0.4280189414060292</v>
      </c>
      <c r="AJ30" s="120">
        <f t="shared" si="14"/>
        <v>0.24574192262909944</v>
      </c>
      <c r="AK30" s="119">
        <f t="shared" si="15"/>
        <v>0.61029596018295895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6.7017426339549546E-2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4408.6464104952902</v>
      </c>
      <c r="S31" s="235">
        <f t="shared" si="50"/>
        <v>17402.486676521861</v>
      </c>
      <c r="T31" s="235">
        <f>IF(T25&gt;T$23,T25-T$23,0)</f>
        <v>17379.968420999212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1.1237388641910839</v>
      </c>
      <c r="J32" s="17"/>
      <c r="L32" s="22">
        <f>SUM(L6:L30)</f>
        <v>0.93298257366045045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58324.886676521855</v>
      </c>
      <c r="T32" s="235">
        <f t="shared" si="50"/>
        <v>58302.368420999206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0.46997893890529879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17379.968420999197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8.1132079436300339E-2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248.91321971056942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0.9188679205636997</v>
      </c>
      <c r="AG37" s="147">
        <f>$J37*AF37</f>
        <v>2819.0867802894304</v>
      </c>
      <c r="AH37" s="123">
        <f>SUM(Z37,AB37,AD37,AF37)</f>
        <v>1</v>
      </c>
      <c r="AI37" s="112">
        <f>SUM(AA37,AC37,AE37,AG37)</f>
        <v>3068</v>
      </c>
      <c r="AJ37" s="148">
        <f>(AA37+AC37)</f>
        <v>248.91321971056942</v>
      </c>
      <c r="AK37" s="147">
        <f>(AE37+AG37)</f>
        <v>2819.0867802894304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8.1132079436300339E-2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57.441512240900643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0.9188679205636997</v>
      </c>
      <c r="AG38" s="147">
        <f t="shared" ref="AG38:AG64" si="60">$J38*AF38</f>
        <v>650.55848775909942</v>
      </c>
      <c r="AH38" s="123">
        <f t="shared" ref="AH38:AI58" si="61">SUM(Z38,AB38,AD38,AF38)</f>
        <v>1</v>
      </c>
      <c r="AI38" s="112">
        <f t="shared" si="61"/>
        <v>708.00000000000011</v>
      </c>
      <c r="AJ38" s="148">
        <f t="shared" ref="AJ38:AJ64" si="62">(AA38+AC38)</f>
        <v>57.441512240900643</v>
      </c>
      <c r="AK38" s="147">
        <f t="shared" ref="AK38:AK64" si="63">(AE38+AG38)</f>
        <v>650.55848775909942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10549.854731951469</v>
      </c>
      <c r="AD65" s="137"/>
      <c r="AE65" s="153">
        <f>SUM(AE37:AE64)</f>
        <v>10243.5</v>
      </c>
      <c r="AF65" s="137"/>
      <c r="AG65" s="153">
        <f>SUM(AG37:AG64)</f>
        <v>13713.145268048531</v>
      </c>
      <c r="AH65" s="137"/>
      <c r="AI65" s="153">
        <f>SUM(AI37:AI64)</f>
        <v>44750</v>
      </c>
      <c r="AJ65" s="153">
        <f>SUM(AJ37:AJ64)</f>
        <v>20793.354731951469</v>
      </c>
      <c r="AK65" s="153">
        <f>SUM(AK37:AK64)</f>
        <v>23956.645268048531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29907.994450130707</v>
      </c>
      <c r="J70" s="51">
        <f t="shared" ref="J70:J77" si="75">J124*I$83</f>
        <v>29907.994450130707</v>
      </c>
      <c r="K70" s="40">
        <f>B70/B$76</f>
        <v>0.54790595482597571</v>
      </c>
      <c r="L70" s="22">
        <f t="shared" ref="L70:L75" si="76">(L124*G$37*F$9/F$7)/B$130</f>
        <v>0.76706833675636599</v>
      </c>
      <c r="M70" s="24">
        <f>J70/B$76</f>
        <v>0.76706833675636588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7476.9986125326768</v>
      </c>
      <c r="AB70" s="116">
        <v>0.25</v>
      </c>
      <c r="AC70" s="147">
        <f>$J70*AB70</f>
        <v>7476.9986125326768</v>
      </c>
      <c r="AD70" s="116">
        <v>0.25</v>
      </c>
      <c r="AE70" s="147">
        <f>$J70*AD70</f>
        <v>7476.9986125326768</v>
      </c>
      <c r="AF70" s="122">
        <f>1-SUM(Z70,AB70,AD70)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14842.005549869296</v>
      </c>
      <c r="J71" s="51">
        <f t="shared" si="75"/>
        <v>14842.005549869296</v>
      </c>
      <c r="K71" s="40">
        <f t="shared" ref="K71:K72" si="78">B71/B$76</f>
        <v>0.44814909805933151</v>
      </c>
      <c r="L71" s="22">
        <f t="shared" si="76"/>
        <v>0.38604784688046401</v>
      </c>
      <c r="M71" s="24">
        <f t="shared" ref="M71:M72" si="79">J71/B$76</f>
        <v>0.38066185047112838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14842.005549869296</v>
      </c>
      <c r="J74" s="51">
        <f t="shared" si="75"/>
        <v>11603.440637535166</v>
      </c>
      <c r="K74" s="40">
        <f>B74/B$76</f>
        <v>0.27083867658373945</v>
      </c>
      <c r="L74" s="22">
        <f t="shared" si="76"/>
        <v>0.23127198657717338</v>
      </c>
      <c r="M74" s="24">
        <f>J74/B$76</f>
        <v>0.29760042671287934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258.1317593110395</v>
      </c>
      <c r="AB74" s="156"/>
      <c r="AC74" s="147">
        <f>AC30*$I$83/4</f>
        <v>3072.8561194187932</v>
      </c>
      <c r="AD74" s="156"/>
      <c r="AE74" s="147">
        <f>AE30*$I$83/4</f>
        <v>2647.464140939112</v>
      </c>
      <c r="AF74" s="156"/>
      <c r="AG74" s="147">
        <f>AG30*$I$83/4</f>
        <v>5624.9886178662227</v>
      </c>
      <c r="AH74" s="155"/>
      <c r="AI74" s="147">
        <f>SUM(AA74,AC74,AE74,AG74)</f>
        <v>11603.440637535168</v>
      </c>
      <c r="AJ74" s="148">
        <f>(AA74+AC74)</f>
        <v>3330.9878787298326</v>
      </c>
      <c r="AK74" s="147">
        <f>(AE74+AG74)</f>
        <v>8272.4527588053352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3119.5276658059151</v>
      </c>
      <c r="AB75" s="158"/>
      <c r="AC75" s="149">
        <f>AA75+AC65-SUM(AC70,AC74)</f>
        <v>3119.5276658059156</v>
      </c>
      <c r="AD75" s="158"/>
      <c r="AE75" s="149">
        <f>AC75+AE65-SUM(AE70,AE74)</f>
        <v>3238.5649123341263</v>
      </c>
      <c r="AF75" s="158"/>
      <c r="AG75" s="149">
        <f>IF(SUM(AG6:AG29)+((AG65-AG70-$J$75)*4/I$83)&lt;1,0,AG65-AG70-$J$75-(1-SUM(AG6:AG29))*I$83/4)</f>
        <v>611.1580376496313</v>
      </c>
      <c r="AH75" s="134"/>
      <c r="AI75" s="149">
        <f>AI76-SUM(AI70,AI74)</f>
        <v>3238.5649123341282</v>
      </c>
      <c r="AJ75" s="151">
        <f>AJ76-SUM(AJ70,AJ74)</f>
        <v>2508.3696281562843</v>
      </c>
      <c r="AK75" s="149">
        <f>AJ75+AK76-SUM(AK70,AK74)</f>
        <v>3238.5649123341245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75"/>
        <v>44750</v>
      </c>
      <c r="K76" s="40">
        <f>SUM(K70:K75)</f>
        <v>2.1696893180815113</v>
      </c>
      <c r="L76" s="22">
        <f>SUM(L70:L75)</f>
        <v>1.3843881702140033</v>
      </c>
      <c r="M76" s="24">
        <f>SUM(M70:M75)</f>
        <v>1.4453306139403737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10549.854731951469</v>
      </c>
      <c r="AD76" s="137"/>
      <c r="AE76" s="153">
        <f>AE65</f>
        <v>10243.5</v>
      </c>
      <c r="AF76" s="137"/>
      <c r="AG76" s="153">
        <f>AG65</f>
        <v>13713.145268048531</v>
      </c>
      <c r="AH76" s="137"/>
      <c r="AI76" s="153">
        <f>SUM(AA76,AC76,AE76,AG76)</f>
        <v>44750</v>
      </c>
      <c r="AJ76" s="154">
        <f>SUM(AA76,AC76)</f>
        <v>20793.354731951469</v>
      </c>
      <c r="AK76" s="154">
        <f>SUM(AE76,AG76)</f>
        <v>23956.645268048531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20618.533333333326</v>
      </c>
      <c r="J77" s="100">
        <f t="shared" si="75"/>
        <v>17379.968420999197</v>
      </c>
      <c r="K77" s="40"/>
      <c r="L77" s="22">
        <f>-(L131*G$37*F$9/F$7)/B$130</f>
        <v>-0.52881593571001084</v>
      </c>
      <c r="M77" s="24">
        <f>-J77/B$76</f>
        <v>-0.44575451195176191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611.1580376496313</v>
      </c>
      <c r="AB78" s="112"/>
      <c r="AC78" s="112">
        <f>IF(AA75&lt;0,0,AA75)</f>
        <v>3119.5276658059151</v>
      </c>
      <c r="AD78" s="112"/>
      <c r="AE78" s="112">
        <f>AC75</f>
        <v>3119.5276658059156</v>
      </c>
      <c r="AF78" s="112"/>
      <c r="AG78" s="112">
        <f>AE75</f>
        <v>3238.5649123341263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3377.6594251169545</v>
      </c>
      <c r="AB79" s="112"/>
      <c r="AC79" s="112">
        <f>AA79-AA74+AC65-AC70</f>
        <v>6192.3837852247079</v>
      </c>
      <c r="AD79" s="112"/>
      <c r="AE79" s="112">
        <f>AC79-AC74+AE65-AE70</f>
        <v>5886.0290532732388</v>
      </c>
      <c r="AF79" s="112"/>
      <c r="AG79" s="112">
        <f>AE79-AE74+AG65-AG70</f>
        <v>9474.7115678499831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 t="shared" si="80"/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9">
        <f>(B124)</f>
        <v>1.300227669201341</v>
      </c>
      <c r="L124" s="29">
        <f>IF(SUMPRODUCT($B$124:$B124,$H$124:$H124)&lt;L$119,($B124*$H124),L$119)</f>
        <v>1.1032234768981075</v>
      </c>
      <c r="M124" s="241">
        <f t="shared" si="93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0.54748067424481728</v>
      </c>
      <c r="J125" s="238">
        <f>IF(SUMPRODUCT($B$124:$B125,$H$124:$H125)&lt;J$119,($B125*$H125),IF(SUMPRODUCT($B$124:$B124,$H$124:$H124)&lt;J$119,J$119-SUMPRODUCT($B$124:$B124,$H$124:$H124),0))</f>
        <v>0.54748067424481728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0.5552269954010185</v>
      </c>
      <c r="M125" s="241">
        <f t="shared" si="93"/>
        <v>0.54748067424481728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0.54748067424481728</v>
      </c>
      <c r="J128" s="229">
        <f>(J30)</f>
        <v>0.42801894140602914</v>
      </c>
      <c r="K128" s="29">
        <f>(B128)</f>
        <v>0.64272333250311331</v>
      </c>
      <c r="L128" s="29">
        <f>IF(L124=L119,0,(L119-L124)/(B119-B124)*K128)</f>
        <v>0.33262314830997902</v>
      </c>
      <c r="M128" s="241">
        <f t="shared" si="93"/>
        <v>0.42801894140602914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>(B130)</f>
        <v>2.3730854862023092</v>
      </c>
      <c r="L130" s="29">
        <f>(L119)</f>
        <v>1.658450472299126</v>
      </c>
      <c r="M130" s="241">
        <f t="shared" si="93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0.76056086176116389</v>
      </c>
      <c r="J131" s="238">
        <f>IF(SUMPRODUCT($B124:$B125,$H124:$H125)&gt;(J119-J128),SUMPRODUCT($B124:$B125,$H124:$H125)+J128-J119,0)</f>
        <v>0.64109912892237575</v>
      </c>
      <c r="K131" s="29"/>
      <c r="L131" s="29">
        <f>IF(I131&lt;SUM(L126:L127),0,I131-(SUM(L126:L127)))</f>
        <v>0.76056086176116389</v>
      </c>
      <c r="M131" s="238">
        <f>IF(I131&lt;SUM(M126:M127),0,I131-(SUM(M126:M127)))</f>
        <v>0.76056086176116389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6375.6455782229468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0.71986018779674199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7.0244302263652289E-2</v>
      </c>
      <c r="AB8" s="125">
        <f>IF($Y8=0,0,AC8/$Y8)</f>
        <v>0.28013981220325801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2.7336177188402505E-2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0.7198601877967421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8.1584154616964111E-2</v>
      </c>
      <c r="AB9" s="125">
        <f>IF($Y9=0,0,AC9/$Y9)</f>
        <v>0.2801398122032579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3.1749178716369231E-2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0.7198601877967421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0.33001633337777275</v>
      </c>
      <c r="AB10" s="125">
        <f>IF($Y10=0,0,AC10/$Y10)</f>
        <v>0.28013981220325795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0.1284287077181176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10210.039526751983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0.7198601877967421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0.14137480351690168</v>
      </c>
      <c r="AB11" s="125">
        <f>IF($Y11=0,0,AC11/$Y11)</f>
        <v>0.2801398122032579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5.5017226371018607E-2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2.1925096303379358E-2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2.1925096303379358E-2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398.58526155514681</v>
      </c>
      <c r="U12" s="224">
        <v>6</v>
      </c>
      <c r="V12" s="56"/>
      <c r="W12" s="117"/>
      <c r="X12" s="118"/>
      <c r="Y12" s="183">
        <f t="shared" si="9"/>
        <v>8.7700385213517432E-2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5.8759258093056682E-2</v>
      </c>
      <c r="AF12" s="122">
        <f>1-SUM(Z12,AB12,AD12)</f>
        <v>0.32999999999999996</v>
      </c>
      <c r="AG12" s="121">
        <f>$M12*AF12*4</f>
        <v>2.894112712046075E-2</v>
      </c>
      <c r="AH12" s="123">
        <f t="shared" si="12"/>
        <v>1</v>
      </c>
      <c r="AI12" s="183">
        <f t="shared" si="13"/>
        <v>2.1925096303379358E-2</v>
      </c>
      <c r="AJ12" s="120">
        <f t="shared" si="14"/>
        <v>0</v>
      </c>
      <c r="AK12" s="119">
        <f t="shared" si="15"/>
        <v>4.3850192606758716E-2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1.4702711638736743E-2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1.4702711638736743E-2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117729.2656416126</v>
      </c>
      <c r="T23" s="179">
        <f>SUM(T7:T22)</f>
        <v>117702.0326482298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1.738389374783696E-2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1.738389374783696E-2</v>
      </c>
      <c r="N28" s="230"/>
      <c r="O28" s="2"/>
      <c r="P28" s="22"/>
      <c r="U28" s="56"/>
      <c r="V28" s="56"/>
      <c r="W28" s="110"/>
      <c r="X28" s="118"/>
      <c r="Y28" s="183">
        <f t="shared" si="9"/>
        <v>6.953557499134784E-2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3.476778749567392E-2</v>
      </c>
      <c r="AF28" s="122">
        <f t="shared" si="10"/>
        <v>0.5</v>
      </c>
      <c r="AG28" s="121">
        <f t="shared" si="11"/>
        <v>3.476778749567392E-2</v>
      </c>
      <c r="AH28" s="123">
        <f t="shared" si="12"/>
        <v>1</v>
      </c>
      <c r="AI28" s="183">
        <f t="shared" si="13"/>
        <v>1.738389374783696E-2</v>
      </c>
      <c r="AJ28" s="120">
        <f t="shared" si="14"/>
        <v>0</v>
      </c>
      <c r="AK28" s="119">
        <f t="shared" si="15"/>
        <v>3.476778749567392E-2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0.1940151794020139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0.1940151794020139</v>
      </c>
      <c r="N29" s="230"/>
      <c r="P29" s="22"/>
      <c r="V29" s="56"/>
      <c r="W29" s="110"/>
      <c r="X29" s="118"/>
      <c r="Y29" s="183">
        <f t="shared" si="9"/>
        <v>0.77606071760805562</v>
      </c>
      <c r="Z29" s="156">
        <f>Poor!Z29</f>
        <v>0.25</v>
      </c>
      <c r="AA29" s="121">
        <f t="shared" si="16"/>
        <v>0.1940151794020139</v>
      </c>
      <c r="AB29" s="156">
        <f>Poor!AB29</f>
        <v>0.25</v>
      </c>
      <c r="AC29" s="121">
        <f t="shared" si="7"/>
        <v>0.1940151794020139</v>
      </c>
      <c r="AD29" s="156">
        <f>Poor!AD29</f>
        <v>0.25</v>
      </c>
      <c r="AE29" s="121">
        <f t="shared" si="8"/>
        <v>0.1940151794020139</v>
      </c>
      <c r="AF29" s="122">
        <f t="shared" si="10"/>
        <v>0.25</v>
      </c>
      <c r="AG29" s="121">
        <f t="shared" si="11"/>
        <v>0.1940151794020139</v>
      </c>
      <c r="AH29" s="123">
        <f t="shared" si="12"/>
        <v>1</v>
      </c>
      <c r="AI29" s="183">
        <f t="shared" si="13"/>
        <v>0.1940151794020139</v>
      </c>
      <c r="AJ29" s="120">
        <f t="shared" si="14"/>
        <v>0.1940151794020139</v>
      </c>
      <c r="AK29" s="119">
        <f t="shared" si="15"/>
        <v>0.1940151794020139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2.7775112818886729</v>
      </c>
      <c r="J30" s="232">
        <f>IF(I$32&lt;=1,I30,1-SUM(J6:J29))</f>
        <v>0.31250982317015863</v>
      </c>
      <c r="K30" s="22">
        <f t="shared" si="4"/>
        <v>0.70110216687422167</v>
      </c>
      <c r="L30" s="22">
        <f>IF(L124=L119,0,IF(K30="",0,(L119-L124)/(B119-B124)*K30))</f>
        <v>0.40930747848575638</v>
      </c>
      <c r="M30" s="175">
        <f t="shared" si="6"/>
        <v>0.31250982317015863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1.2500392926806345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0.27544130342948403</v>
      </c>
      <c r="AC30" s="187">
        <f>IF(AC79*4/$I$84+SUM(AC6:AC29)&lt;1,AC79*4/$I$84,1-SUM(AC6:AC29))</f>
        <v>0.34431245211402428</v>
      </c>
      <c r="AD30" s="122">
        <f>IF($Y30=0,0,AE30/($Y$30))</f>
        <v>0.41001429142081125</v>
      </c>
      <c r="AE30" s="187">
        <f>IF(AE79*4/$I$84+SUM(AE6:AE29)&lt;1,AE79*4/$I$84,1-SUM(AE6:AE29))</f>
        <v>0.51253397483662244</v>
      </c>
      <c r="AF30" s="122">
        <f>IF($Y30=0,0,AG30/($Y$30))</f>
        <v>0.36159160350523023</v>
      </c>
      <c r="AG30" s="187">
        <f>IF(AG79*4/$I$84+SUM(AG6:AG29)&lt;1,AG79*4/$I$84,1-SUM(AG6:AG29))</f>
        <v>0.45200371228493441</v>
      </c>
      <c r="AH30" s="123">
        <f t="shared" si="12"/>
        <v>1.0470471983555254</v>
      </c>
      <c r="AI30" s="183">
        <f t="shared" si="13"/>
        <v>0.32721253480889528</v>
      </c>
      <c r="AJ30" s="120">
        <f t="shared" si="14"/>
        <v>0.17215622605701214</v>
      </c>
      <c r="AK30" s="119">
        <f t="shared" si="15"/>
        <v>0.48226884356077843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-9.7725769491376901E-2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3.4878851373717823</v>
      </c>
      <c r="J32" s="17"/>
      <c r="L32" s="22">
        <f>SUM(L6:L30)</f>
        <v>1.0977257694913769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3.9411891534450532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-4.2272389613603974E-2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693.0355740767842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7.768586190749739E-3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693.0355740767842</v>
      </c>
      <c r="AH38" s="123">
        <f t="shared" ref="AH38:AI58" si="37">SUM(Z38,AB38,AD38,AF38)</f>
        <v>1</v>
      </c>
      <c r="AI38" s="112">
        <f t="shared" si="37"/>
        <v>693.0355740767842</v>
      </c>
      <c r="AJ38" s="148">
        <f t="shared" ref="AJ38:AJ64" si="38">(AA38+AC38)</f>
        <v>0</v>
      </c>
      <c r="AK38" s="147">
        <f t="shared" ref="AK38:AK64" si="39">(AE38+AG38)</f>
        <v>693.0355740767842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0.71986018779674199</v>
      </c>
      <c r="AA39" s="147">
        <f t="shared" ref="AA39:AA64" si="40">$J39*Z39</f>
        <v>0</v>
      </c>
      <c r="AB39" s="122">
        <f>AB8</f>
        <v>0.28013981220325801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0.7198601877967421</v>
      </c>
      <c r="AA40" s="147">
        <f t="shared" si="40"/>
        <v>0</v>
      </c>
      <c r="AB40" s="122">
        <f>AB9</f>
        <v>0.2801398122032579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0.7198601877967421</v>
      </c>
      <c r="AA41" s="147">
        <f t="shared" si="40"/>
        <v>0</v>
      </c>
      <c r="AB41" s="122">
        <f>AB11</f>
        <v>0.2801398122032579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94315.835574076773</v>
      </c>
      <c r="K65" s="40">
        <f>SUM(K37:K64)</f>
        <v>1</v>
      </c>
      <c r="L65" s="22">
        <f>SUM(L37:L64)</f>
        <v>1.0574016365878265</v>
      </c>
      <c r="M65" s="24">
        <f>SUM(M37:M64)</f>
        <v>1.0572338927707294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30470.735574076778</v>
      </c>
      <c r="AH65" s="137"/>
      <c r="AI65" s="153">
        <f>SUM(AI37:AI64)</f>
        <v>94315.835574076773</v>
      </c>
      <c r="AJ65" s="153">
        <f>SUM(AJ37:AJ64)</f>
        <v>42563.399999999994</v>
      </c>
      <c r="AK65" s="153">
        <f>SUM(AK37:AK64)</f>
        <v>51752.435574076771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36830.160000000003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1911.6</v>
      </c>
      <c r="K73" s="40">
        <f>B73/B$76</f>
        <v>1.8159399170496582E-2</v>
      </c>
      <c r="L73" s="22">
        <f t="shared" si="45"/>
        <v>2.1428091021185966E-2</v>
      </c>
      <c r="M73" s="24">
        <f>J73/B$76</f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67767.604994882349</v>
      </c>
      <c r="J74" s="51">
        <f t="shared" si="44"/>
        <v>7624.8267258936348</v>
      </c>
      <c r="K74" s="40">
        <f>B74/B$76</f>
        <v>0.11621177416029714</v>
      </c>
      <c r="L74" s="22">
        <f t="shared" si="45"/>
        <v>0.11194441883635969</v>
      </c>
      <c r="M74" s="24">
        <f>J74/B$76</f>
        <v>8.547053834652657E-2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3945.3931627471811</v>
      </c>
      <c r="AD74" s="156"/>
      <c r="AE74" s="147">
        <f>AE30*$I$84/4</f>
        <v>5873.0029296947441</v>
      </c>
      <c r="AF74" s="156"/>
      <c r="AG74" s="147">
        <f>AG30*$I$84/4</f>
        <v>5179.4012822828345</v>
      </c>
      <c r="AH74" s="155"/>
      <c r="AI74" s="147">
        <f>SUM(AA74,AC74,AE74,AG74)</f>
        <v>14997.79737472476</v>
      </c>
      <c r="AJ74" s="148">
        <f>(AA74+AC74)</f>
        <v>3945.3931627471811</v>
      </c>
      <c r="AK74" s="147">
        <f>(AE74+AG74)</f>
        <v>11052.404211977579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2475.3738430654985</v>
      </c>
      <c r="K75" s="40">
        <f>B75/B$76</f>
        <v>0.12395672868917798</v>
      </c>
      <c r="L75" s="22">
        <f t="shared" si="45"/>
        <v>1.4415804337036496E-3</v>
      </c>
      <c r="M75" s="24">
        <f>J75/B$76</f>
        <v>2.7747717106439845E-2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33061.390906187044</v>
      </c>
      <c r="AB75" s="158"/>
      <c r="AC75" s="149">
        <f>AA75+AC65-SUM(AC70,AC74)</f>
        <v>43668.398992160452</v>
      </c>
      <c r="AD75" s="158"/>
      <c r="AE75" s="149">
        <f>AC75+AE65-SUM(AE70,AE74)</f>
        <v>52347.797311186296</v>
      </c>
      <c r="AF75" s="158"/>
      <c r="AG75" s="149">
        <f>IF(SUM(AG6:AG29)+((AG65-AG70-$J$75)*4/I$83)&lt;1,0,AG65-AG70-$J$75-(1-SUM(AG6:AG29))*I$83/4)</f>
        <v>18508.989657466456</v>
      </c>
      <c r="AH75" s="134"/>
      <c r="AI75" s="149">
        <f>AI76-SUM(AI70,AI74)</f>
        <v>52400.843194234374</v>
      </c>
      <c r="AJ75" s="151">
        <f>AJ76-SUM(AJ70,AJ74)</f>
        <v>25159.409334693992</v>
      </c>
      <c r="AK75" s="149">
        <f>AJ75+AK76-SUM(AK70,AK74)</f>
        <v>52400.843194234374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4"/>
        <v>94315.835574076773</v>
      </c>
      <c r="K76" s="40">
        <f>SUM(K70:K75)</f>
        <v>0.99999999999999989</v>
      </c>
      <c r="L76" s="22">
        <f>SUM(L70:L75)</f>
        <v>1.0574016365878263</v>
      </c>
      <c r="M76" s="24">
        <f>SUM(M70:M75)</f>
        <v>1.0572338927707294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30470.735574076778</v>
      </c>
      <c r="AH76" s="137"/>
      <c r="AI76" s="153">
        <f>SUM(AA76,AC76,AE76,AG76)</f>
        <v>94315.835574076773</v>
      </c>
      <c r="AJ76" s="154">
        <f>SUM(AA76,AC76)</f>
        <v>42563.399999999994</v>
      </c>
      <c r="AK76" s="154">
        <f>SUM(AE76,AG76)</f>
        <v>51752.435574076779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18508.989657466456</v>
      </c>
      <c r="AB78" s="112"/>
      <c r="AC78" s="112">
        <f>IF(AA75&lt;0,0,AA75)</f>
        <v>33061.390906187044</v>
      </c>
      <c r="AD78" s="112"/>
      <c r="AE78" s="112">
        <f>AC75</f>
        <v>43668.398992160452</v>
      </c>
      <c r="AF78" s="112"/>
      <c r="AG78" s="112">
        <f>AE75</f>
        <v>52347.797311186296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33061.390906187044</v>
      </c>
      <c r="AB79" s="112"/>
      <c r="AC79" s="112">
        <f>AA79-AA74+AC65-AC70</f>
        <v>47613.792154907627</v>
      </c>
      <c r="AD79" s="112"/>
      <c r="AE79" s="112">
        <f>AC79-AC74+AE65-AE70</f>
        <v>58220.800240881028</v>
      </c>
      <c r="AF79" s="112"/>
      <c r="AG79" s="112">
        <f>AE79-AE74+AG65-AG70</f>
        <v>76089.234133983657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2.8404635605667725E-2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2.8404635605667725E-2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3.8656124469433166</v>
      </c>
      <c r="K119" s="22">
        <f>SUM(K91:K118)</f>
        <v>6.0329701696762132</v>
      </c>
      <c r="L119" s="22">
        <f>SUM(L91:L118)</f>
        <v>3.8662257763037369</v>
      </c>
      <c r="M119" s="57">
        <f t="shared" si="49"/>
        <v>3.8656124469433166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2.7775112818886729</v>
      </c>
      <c r="J128" s="229">
        <f>(J30)</f>
        <v>0.31250982317015863</v>
      </c>
      <c r="K128" s="22">
        <f>(B128)</f>
        <v>0.70110216687422167</v>
      </c>
      <c r="L128" s="22">
        <f>IF(L124=L119,0,(L119-L124)/(B119-B124)*K128)</f>
        <v>0.40930747848575638</v>
      </c>
      <c r="M128" s="57">
        <f t="shared" si="63"/>
        <v>0.31250982317015863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0.10145524216955515</v>
      </c>
      <c r="K129" s="29">
        <f>(B129)</f>
        <v>0.74782724651245847</v>
      </c>
      <c r="L129" s="60">
        <f>IF(SUM(L124:L128)&gt;L130,0,L130-SUM(L124:L128))</f>
        <v>5.2709162143775856E-3</v>
      </c>
      <c r="M129" s="57">
        <f t="shared" si="63"/>
        <v>0.10145524216955515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3.8656124469433166</v>
      </c>
      <c r="K130" s="22">
        <f>(B130)</f>
        <v>6.0329701696762132</v>
      </c>
      <c r="L130" s="22">
        <f>(L119)</f>
        <v>3.8662257763037369</v>
      </c>
      <c r="M130" s="57">
        <f t="shared" si="63"/>
        <v>3.8656124469433166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9077.2033136348073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26942.812669270334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0.43121993248449736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5.1852760376504409E-2</v>
      </c>
      <c r="AB8" s="125">
        <f>IF($Y8=0,0,AC8/$Y8)</f>
        <v>0.42758523301954815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5.1415699873965146E-2</v>
      </c>
      <c r="AD8" s="125">
        <f>IF($Y8=0,0,AE8/$Y8)</f>
        <v>0.14119483449595449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1.6978208491747152E-2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3.0061667185554176E-2</v>
      </c>
      <c r="AJ8" s="120">
        <f t="shared" si="14"/>
        <v>5.1634230125234777E-2</v>
      </c>
      <c r="AK8" s="119">
        <f t="shared" si="15"/>
        <v>8.4891042458735758E-3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0.43121993248449736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4.8871592348243037E-2</v>
      </c>
      <c r="AB9" s="125">
        <f>IF($Y9=0,0,AC9/$Y9)</f>
        <v>0.42758523301954815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4.8459659742215458E-2</v>
      </c>
      <c r="AD9" s="125">
        <f>IF($Y9=0,0,AE9/$Y9)</f>
        <v>0.14119483449595452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1.6002081242874847E-2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4.8665626045229247E-2</v>
      </c>
      <c r="AK9" s="119">
        <f t="shared" si="15"/>
        <v>8.0010406214374233E-3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0.20045756745682713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0.20045756745682713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0.80183026982730854</v>
      </c>
      <c r="Z10" s="125">
        <f>IF($Y10=0,0,AA10/$Y10)</f>
        <v>0.4312199324844973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0.34576519481895823</v>
      </c>
      <c r="AB10" s="125">
        <f>IF($Y10=0,0,AC10/$Y10)</f>
        <v>0.42758523301954815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0.34285078276623687</v>
      </c>
      <c r="AD10" s="125">
        <f>IF($Y10=0,0,AE10/$Y10)</f>
        <v>0.14119483449595457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0.11321429224211343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0.20045756745682713</v>
      </c>
      <c r="AJ10" s="120">
        <f t="shared" si="14"/>
        <v>0.34430798879259755</v>
      </c>
      <c r="AK10" s="119">
        <f t="shared" si="15"/>
        <v>5.6607146121056717E-2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31826.696266771534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0.4312199324844973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0.12195094733101783</v>
      </c>
      <c r="AB11" s="125">
        <f>IF($Y11=0,0,AC11/$Y11)</f>
        <v>0.42758523301954815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0.1209230378824442</v>
      </c>
      <c r="AD11" s="125">
        <f>IF($Y11=0,0,AE11/$Y11)</f>
        <v>0.14119483449595455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3.9930537825143234E-2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0.12143699260673102</v>
      </c>
      <c r="AK11" s="119">
        <f t="shared" si="15"/>
        <v>1.9965268912571617E-2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1.9665816939009168E-2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1.9665816939009168E-2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7.8663267756036673E-2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5.2704389396544572E-2</v>
      </c>
      <c r="AF12" s="122">
        <f>1-SUM(Z12,AB12,AD12)</f>
        <v>0.32999999999999996</v>
      </c>
      <c r="AG12" s="121">
        <f>$M12*AF12*4</f>
        <v>2.59588783594921E-2</v>
      </c>
      <c r="AH12" s="123">
        <f t="shared" si="12"/>
        <v>1</v>
      </c>
      <c r="AI12" s="183">
        <f t="shared" si="13"/>
        <v>1.9665816939009168E-2</v>
      </c>
      <c r="AJ12" s="120">
        <f t="shared" si="14"/>
        <v>0</v>
      </c>
      <c r="AK12" s="119">
        <f t="shared" si="15"/>
        <v>3.9331633878018336E-2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2.9921532761323353E-3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2.9921532761323353E-3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1.1968613104529341E-2</v>
      </c>
      <c r="Z13" s="156">
        <f>Poor!Z13</f>
        <v>1</v>
      </c>
      <c r="AA13" s="121">
        <f>$M13*Z13*4</f>
        <v>1.1968613104529341E-2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2.9921532761323353E-3</v>
      </c>
      <c r="AJ13" s="120">
        <f t="shared" si="14"/>
        <v>5.9843065522646706E-3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4.3437552785355257E-3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4.3437552785355257E-3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1.7375021114142103E-2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1.7375021114142103E-2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4.3437552785355257E-3</v>
      </c>
      <c r="AJ14" s="120">
        <f t="shared" si="14"/>
        <v>8.6875105570710515E-3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166266.12982295299</v>
      </c>
      <c r="T23" s="179">
        <f>SUM(T7:T22)</f>
        <v>165435.35333849481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3.3586495883114596E-2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3.3586495883114596E-2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0.13434598353245839</v>
      </c>
      <c r="Z27" s="156">
        <f>Poor!Z27</f>
        <v>0.25</v>
      </c>
      <c r="AA27" s="121">
        <f t="shared" si="16"/>
        <v>3.3586495883114596E-2</v>
      </c>
      <c r="AB27" s="156">
        <f>Poor!AB27</f>
        <v>0.25</v>
      </c>
      <c r="AC27" s="121">
        <f t="shared" si="7"/>
        <v>3.3586495883114596E-2</v>
      </c>
      <c r="AD27" s="156">
        <f>Poor!AD27</f>
        <v>0.25</v>
      </c>
      <c r="AE27" s="121">
        <f t="shared" si="8"/>
        <v>3.3586495883114596E-2</v>
      </c>
      <c r="AF27" s="122">
        <f t="shared" si="10"/>
        <v>0.25</v>
      </c>
      <c r="AG27" s="121">
        <f t="shared" si="11"/>
        <v>3.3586495883114596E-2</v>
      </c>
      <c r="AH27" s="123">
        <f t="shared" si="12"/>
        <v>1</v>
      </c>
      <c r="AI27" s="183">
        <f t="shared" si="13"/>
        <v>3.3586495883114596E-2</v>
      </c>
      <c r="AJ27" s="120">
        <f t="shared" si="14"/>
        <v>3.3586495883114596E-2</v>
      </c>
      <c r="AK27" s="119">
        <f t="shared" si="15"/>
        <v>3.3586495883114596E-2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2.8087821778356895E-2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2.8087821778356895E-2</v>
      </c>
      <c r="N28" s="230"/>
      <c r="O28" s="2"/>
      <c r="P28" s="22"/>
      <c r="U28" s="56"/>
      <c r="V28" s="56"/>
      <c r="W28" s="110"/>
      <c r="X28" s="118"/>
      <c r="Y28" s="183">
        <f t="shared" si="9"/>
        <v>0.11235128711342758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5.617564355671379E-2</v>
      </c>
      <c r="AF28" s="122">
        <f t="shared" si="10"/>
        <v>0.5</v>
      </c>
      <c r="AG28" s="121">
        <f t="shared" si="11"/>
        <v>5.617564355671379E-2</v>
      </c>
      <c r="AH28" s="123">
        <f t="shared" si="12"/>
        <v>1</v>
      </c>
      <c r="AI28" s="183">
        <f t="shared" si="13"/>
        <v>2.8087821778356895E-2</v>
      </c>
      <c r="AJ28" s="120">
        <f t="shared" si="14"/>
        <v>0</v>
      </c>
      <c r="AK28" s="119">
        <f t="shared" si="15"/>
        <v>5.617564355671379E-2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0.19629180760368242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0.19629180760368242</v>
      </c>
      <c r="N29" s="230"/>
      <c r="P29" s="22"/>
      <c r="V29" s="56"/>
      <c r="W29" s="110"/>
      <c r="X29" s="118"/>
      <c r="Y29" s="183">
        <f t="shared" si="9"/>
        <v>0.78516723041472969</v>
      </c>
      <c r="Z29" s="156">
        <f>Poor!Z29</f>
        <v>0.25</v>
      </c>
      <c r="AA29" s="121">
        <f t="shared" si="16"/>
        <v>0.19629180760368242</v>
      </c>
      <c r="AB29" s="156">
        <f>Poor!AB29</f>
        <v>0.25</v>
      </c>
      <c r="AC29" s="121">
        <f t="shared" si="7"/>
        <v>0.19629180760368242</v>
      </c>
      <c r="AD29" s="156">
        <f>Poor!AD29</f>
        <v>0.25</v>
      </c>
      <c r="AE29" s="121">
        <f t="shared" si="8"/>
        <v>0.19629180760368242</v>
      </c>
      <c r="AF29" s="122">
        <f t="shared" si="10"/>
        <v>0.25</v>
      </c>
      <c r="AG29" s="121">
        <f t="shared" si="11"/>
        <v>0.19629180760368242</v>
      </c>
      <c r="AH29" s="123">
        <f t="shared" si="12"/>
        <v>1</v>
      </c>
      <c r="AI29" s="183">
        <f t="shared" si="13"/>
        <v>0.19629180760368242</v>
      </c>
      <c r="AJ29" s="120">
        <f t="shared" si="14"/>
        <v>0.19629180760368242</v>
      </c>
      <c r="AK29" s="119">
        <f t="shared" si="15"/>
        <v>0.19629180760368242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3.8048810194249771</v>
      </c>
      <c r="J30" s="232">
        <f>IF(I$32&lt;=1,I30,1-SUM(J6:J29))</f>
        <v>0.12797619458455545</v>
      </c>
      <c r="K30" s="22">
        <f t="shared" si="4"/>
        <v>0.46112153424657532</v>
      </c>
      <c r="L30" s="22">
        <f>IF(L124=L119,0,IF(K30="",0,(L119-L124)/(B119-B124)*K30))</f>
        <v>0.30744275381481789</v>
      </c>
      <c r="M30" s="175">
        <f t="shared" si="6"/>
        <v>0.12797619458455545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0.51190477833822179</v>
      </c>
      <c r="Z30" s="122">
        <f>IF($Y30=0,0,AA30/($Y$30))</f>
        <v>4.3376153988217651E-16</v>
      </c>
      <c r="AA30" s="187">
        <f>IF(AA79*4/$I$83+SUM(AA6:AA29)&lt;1,AA79*4/$I$83,1-SUM(AA6:AA29))</f>
        <v>2.2204460492503131E-16</v>
      </c>
      <c r="AB30" s="122">
        <f>IF($Y30=0,0,AC30/($Y$30))</f>
        <v>4.3376153988217651E-16</v>
      </c>
      <c r="AC30" s="187">
        <f>IF(AC79*4/$I$83+SUM(AC6:AC29)&lt;1,AC79*4/$I$83,1-SUM(AC6:AC29))</f>
        <v>2.2204460492503131E-16</v>
      </c>
      <c r="AD30" s="122">
        <f>IF($Y30=0,0,AE30/($Y$30))</f>
        <v>0.45962428605176697</v>
      </c>
      <c r="AE30" s="187">
        <f>IF(AE79*4/$I$83+SUM(AE6:AE29)&lt;1,AE79*4/$I$83,1-SUM(AE6:AE29))</f>
        <v>0.23528386827019321</v>
      </c>
      <c r="AF30" s="122">
        <f>IF($Y30=0,0,AG30/($Y$30))</f>
        <v>0.54037571394823258</v>
      </c>
      <c r="AG30" s="187">
        <f>IF(AG79*4/$I$83+SUM(AG6:AG29)&lt;1,AG79*4/$I$83,1-SUM(AG6:AG29))</f>
        <v>0.27662091006802836</v>
      </c>
      <c r="AH30" s="123">
        <f t="shared" si="12"/>
        <v>1.0000000000000004</v>
      </c>
      <c r="AI30" s="183">
        <f t="shared" si="13"/>
        <v>0.1279761945845555</v>
      </c>
      <c r="AJ30" s="120">
        <f t="shared" si="14"/>
        <v>2.2204460492503131E-16</v>
      </c>
      <c r="AK30" s="119">
        <f t="shared" si="15"/>
        <v>0.25595238916911078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-0.23895248395358326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5.8050462054733609</v>
      </c>
      <c r="J32" s="17"/>
      <c r="L32" s="22">
        <f>SUM(L6:L30)</f>
        <v>1.2389524839535833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-5.5664268959996523E-2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31138.401417983368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0.24199827015965686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31138.401417983368</v>
      </c>
      <c r="AH37" s="123">
        <f>SUM(Z37,AB37,AD37,AF37)</f>
        <v>1</v>
      </c>
      <c r="AI37" s="112">
        <f>SUM(AA37,AC37,AE37,AG37)</f>
        <v>31138.401417983368</v>
      </c>
      <c r="AJ37" s="148">
        <f>(AA37+AC37)</f>
        <v>0</v>
      </c>
      <c r="AK37" s="147">
        <f>(AE37+AG37)</f>
        <v>31138.401417983368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688.29484878816118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5.3492201006292055E-3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688.29484878816118</v>
      </c>
      <c r="AH38" s="123">
        <f t="shared" ref="AH38:AI58" si="35">SUM(Z38,AB38,AD38,AF38)</f>
        <v>1</v>
      </c>
      <c r="AI38" s="112">
        <f t="shared" si="35"/>
        <v>688.29484878816118</v>
      </c>
      <c r="AJ38" s="148">
        <f t="shared" ref="AJ38:AJ64" si="36">(AA38+AC38)</f>
        <v>0</v>
      </c>
      <c r="AK38" s="147">
        <f t="shared" ref="AK38:AK64" si="37">(AE38+AG38)</f>
        <v>688.29484878816118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7389.6498827199757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5.7430131518278846E-2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0.43121993248449736</v>
      </c>
      <c r="AA39" s="147">
        <f>$J39*Z39</f>
        <v>3186.5643235105817</v>
      </c>
      <c r="AB39" s="122">
        <f>AB8</f>
        <v>0.42758523301954815</v>
      </c>
      <c r="AC39" s="147">
        <f>$J39*AB39</f>
        <v>3159.7051670356973</v>
      </c>
      <c r="AD39" s="122">
        <f>AD8</f>
        <v>0.14119483449595449</v>
      </c>
      <c r="AE39" s="147">
        <f>$J39*AD39</f>
        <v>1043.3803921736965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7389.6498827199757</v>
      </c>
      <c r="AJ39" s="148">
        <f t="shared" si="36"/>
        <v>6346.2694905462795</v>
      </c>
      <c r="AK39" s="147">
        <f t="shared" si="37"/>
        <v>1043.3803921736965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0.43121993248449736</v>
      </c>
      <c r="AA40" s="147">
        <f>$J40*Z40</f>
        <v>2632.1664678853717</v>
      </c>
      <c r="AB40" s="122">
        <f>AB9</f>
        <v>0.42758523301954815</v>
      </c>
      <c r="AC40" s="147">
        <f>$J40*AB40</f>
        <v>2609.9802623513219</v>
      </c>
      <c r="AD40" s="122">
        <f>AD9</f>
        <v>0.14119483449595452</v>
      </c>
      <c r="AE40" s="147">
        <f>$J40*AD40</f>
        <v>861.85326976330634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5242.1467302366937</v>
      </c>
      <c r="AK40" s="147">
        <f t="shared" si="37"/>
        <v>861.85326976330634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13301.369788895956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0.10337423673290191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0.4312199324844973</v>
      </c>
      <c r="AA41" s="147">
        <f>$J41*Z41</f>
        <v>5735.8157823190459</v>
      </c>
      <c r="AB41" s="122">
        <f>AB11</f>
        <v>0.42758523301954815</v>
      </c>
      <c r="AC41" s="147">
        <f>$J41*AB41</f>
        <v>5687.4693006642556</v>
      </c>
      <c r="AD41" s="122">
        <f>AD11</f>
        <v>0.14119483449595455</v>
      </c>
      <c r="AE41" s="147">
        <f>$J41*AD41</f>
        <v>1878.0847059126543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13301.369788895954</v>
      </c>
      <c r="AJ41" s="148">
        <f t="shared" si="36"/>
        <v>11423.285082983301</v>
      </c>
      <c r="AK41" s="147">
        <f t="shared" si="37"/>
        <v>1878.0847059126543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147.7929976543995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1.1486026303655769E-3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36.948249413599875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73.89649882719975</v>
      </c>
      <c r="AF42" s="122">
        <f t="shared" si="31"/>
        <v>0.25</v>
      </c>
      <c r="AG42" s="147">
        <f t="shared" si="34"/>
        <v>36.948249413599875</v>
      </c>
      <c r="AH42" s="123">
        <f t="shared" si="35"/>
        <v>1</v>
      </c>
      <c r="AI42" s="112">
        <f t="shared" si="35"/>
        <v>147.7929976543995</v>
      </c>
      <c r="AJ42" s="148">
        <f t="shared" si="36"/>
        <v>36.948249413599875</v>
      </c>
      <c r="AK42" s="147">
        <f t="shared" si="37"/>
        <v>110.84474824079962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148788.46893604184</v>
      </c>
      <c r="K65" s="40">
        <f>SUM(K37:K64)</f>
        <v>1</v>
      </c>
      <c r="L65" s="22">
        <f>SUM(L37:L64)</f>
        <v>1.1498924396916188</v>
      </c>
      <c r="M65" s="24">
        <f>SUM(M37:M64)</f>
        <v>1.1563391331139787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34096.234823128601</v>
      </c>
      <c r="AB65" s="137"/>
      <c r="AC65" s="153">
        <f>SUM(AC37:AC64)</f>
        <v>33961.894730051274</v>
      </c>
      <c r="AD65" s="137"/>
      <c r="AE65" s="153">
        <f>SUM(AE37:AE64)</f>
        <v>26361.954866676853</v>
      </c>
      <c r="AF65" s="137"/>
      <c r="AG65" s="153">
        <f>SUM(AG37:AG64)</f>
        <v>54368.384516185128</v>
      </c>
      <c r="AH65" s="137"/>
      <c r="AI65" s="153">
        <f>SUM(AI37:AI64)</f>
        <v>148788.46893604184</v>
      </c>
      <c r="AJ65" s="153">
        <f>SUM(AJ37:AJ64)</f>
        <v>68058.129553179868</v>
      </c>
      <c r="AK65" s="153">
        <f>SUM(AK37:AK64)</f>
        <v>80730.339382861988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103148.96554986926</v>
      </c>
      <c r="J74" s="51">
        <f>J128*I$83</f>
        <v>3469.3889293812013</v>
      </c>
      <c r="K74" s="40">
        <f>B74/B$76</f>
        <v>5.8880461417906448E-2</v>
      </c>
      <c r="L74" s="22">
        <f>(L128*G$37*F$9/F$7)/B$130</f>
        <v>6.4774490603104001E-2</v>
      </c>
      <c r="M74" s="24">
        <f>J74/B$76</f>
        <v>2.696304502441247E-2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1.5048874844585656E-12</v>
      </c>
      <c r="AB74" s="156"/>
      <c r="AC74" s="147">
        <f>AC30*$I$83/4</f>
        <v>1.5048874844585656E-12</v>
      </c>
      <c r="AD74" s="156"/>
      <c r="AE74" s="147">
        <f>AE30*$I$83/4</f>
        <v>1594.6154097027388</v>
      </c>
      <c r="AF74" s="156"/>
      <c r="AG74" s="147">
        <f>AG30*$I$83/4</f>
        <v>1874.7735196784611</v>
      </c>
      <c r="AH74" s="155"/>
      <c r="AI74" s="147">
        <f>SUM(AA74,AC74,AE74,AG74)</f>
        <v>3469.3889293812026</v>
      </c>
      <c r="AJ74" s="148">
        <f>(AA74+AC74)</f>
        <v>3.0097749689171311E-12</v>
      </c>
      <c r="AK74" s="147">
        <f>(AE74+AG74)</f>
        <v>3469.3889293811999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46459.752223196621</v>
      </c>
      <c r="K75" s="40">
        <f>B75/B$76</f>
        <v>0.32096762898250586</v>
      </c>
      <c r="L75" s="22">
        <f>(L129*G$37*F$9/F$7)/B$130</f>
        <v>0.31681305149258082</v>
      </c>
      <c r="M75" s="24">
        <f>J75/B$76</f>
        <v>0.36107119049363201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26619.236210595926</v>
      </c>
      <c r="AB75" s="158"/>
      <c r="AC75" s="149">
        <f>AA75+AC65-SUM(AC70,AC74)</f>
        <v>53104.132328114523</v>
      </c>
      <c r="AD75" s="158"/>
      <c r="AE75" s="149">
        <f>AC75+AE65-SUM(AE70,AE74)</f>
        <v>70394.473172555969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115411.08555652993</v>
      </c>
      <c r="AJ75" s="151">
        <f>AJ76-SUM(AJ70,AJ74)</f>
        <v>53104.132328114509</v>
      </c>
      <c r="AK75" s="149">
        <f>AJ75+AK76-SUM(AK70,AK74)</f>
        <v>115411.08555652993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>J130*I$83</f>
        <v>148788.46893604187</v>
      </c>
      <c r="K76" s="40">
        <f>SUM(K70:K75)</f>
        <v>0.59468001326369868</v>
      </c>
      <c r="L76" s="22">
        <f>SUM(L70:L75)</f>
        <v>0.67161485534278387</v>
      </c>
      <c r="M76" s="24">
        <f>SUM(M70:M75)</f>
        <v>0.67806154876514335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34096.234823128601</v>
      </c>
      <c r="AB76" s="137"/>
      <c r="AC76" s="153">
        <f>AC65</f>
        <v>33961.894730051274</v>
      </c>
      <c r="AD76" s="137"/>
      <c r="AE76" s="153">
        <f>AE65</f>
        <v>26361.954866676853</v>
      </c>
      <c r="AF76" s="137"/>
      <c r="AG76" s="153">
        <f>AG65</f>
        <v>54368.384516185128</v>
      </c>
      <c r="AH76" s="137"/>
      <c r="AI76" s="153">
        <f>SUM(AA76,AC76,AE76,AG76)</f>
        <v>148788.46893604184</v>
      </c>
      <c r="AJ76" s="154">
        <f>SUM(AA76,AC76)</f>
        <v>68058.129553179868</v>
      </c>
      <c r="AK76" s="154">
        <f>SUM(AE76,AG76)</f>
        <v>80730.339382861974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26619.236210595926</v>
      </c>
      <c r="AD78" s="112"/>
      <c r="AE78" s="112">
        <f>AC75</f>
        <v>53104.132328114523</v>
      </c>
      <c r="AF78" s="112"/>
      <c r="AG78" s="112">
        <f>AE75</f>
        <v>70394.473172555969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26619.236210595926</v>
      </c>
      <c r="AB79" s="112"/>
      <c r="AC79" s="112">
        <f>AA79-AA74+AC65-AC70</f>
        <v>53104.132328114523</v>
      </c>
      <c r="AD79" s="112"/>
      <c r="AE79" s="112">
        <f>AC79-AC74+AE65-AE70</f>
        <v>71989.088582258701</v>
      </c>
      <c r="AF79" s="112"/>
      <c r="AG79" s="112">
        <f>AE79-AE74+AG65-AG70</f>
        <v>117285.85907620841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1.1486097984496062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1.1486097984496062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2.5389299756534287E-2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2.5389299756534287E-2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0.27258381534969139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0.27258381534969139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0.49065086762944454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0.49065086762944454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5.4516763069938278E-3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5.4516763069938278E-3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5.4883964986575284</v>
      </c>
      <c r="K119" s="22">
        <f>SUM(K91:K118)</f>
        <v>7.831486424227327</v>
      </c>
      <c r="L119" s="22">
        <f>SUM(L91:L118)</f>
        <v>5.4577982004645795</v>
      </c>
      <c r="M119" s="57">
        <f t="shared" si="50"/>
        <v>5.4883964986575284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3.8048810194249771</v>
      </c>
      <c r="J128" s="229">
        <f>(J30)</f>
        <v>0.12797619458455545</v>
      </c>
      <c r="K128" s="22">
        <f>(B128)</f>
        <v>0.46112153424657532</v>
      </c>
      <c r="L128" s="22">
        <f>IF(L124=L119,0,(L119-L124)/(B119-B124)*K128)</f>
        <v>0.30744275381481789</v>
      </c>
      <c r="M128" s="57">
        <f t="shared" si="90"/>
        <v>0.12797619458455545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1.71377219789726</v>
      </c>
      <c r="K129" s="29">
        <f>(B129)</f>
        <v>2.5136536289929285</v>
      </c>
      <c r="L129" s="60">
        <f>IF(SUM(L124:L128)&gt;L130,0,L130-SUM(L124:L128))</f>
        <v>1.5037073404740484</v>
      </c>
      <c r="M129" s="57">
        <f t="shared" si="90"/>
        <v>1.71377219789726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5.4883964986575284</v>
      </c>
      <c r="K130" s="22">
        <f>(B130)</f>
        <v>7.831486424227327</v>
      </c>
      <c r="L130" s="22">
        <f>(L119)</f>
        <v>5.4577982004645795</v>
      </c>
      <c r="M130" s="57">
        <f t="shared" si="90"/>
        <v>5.4883964986575284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4541.3456065119817</v>
      </c>
      <c r="G72" s="109">
        <f>Poor!T7</f>
        <v>4146.650923797336</v>
      </c>
      <c r="H72" s="109">
        <f>Middle!T7</f>
        <v>6375.6455782229468</v>
      </c>
      <c r="I72" s="109">
        <f>Rich!T7</f>
        <v>9077.2033136348073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26942.812669270334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884.99999999999989</v>
      </c>
      <c r="G76" s="109">
        <f>Poor!T11</f>
        <v>3775.9999999999991</v>
      </c>
      <c r="H76" s="109">
        <f>Middle!T11</f>
        <v>10210.039526751983</v>
      </c>
      <c r="I76" s="109">
        <f>Rich!T11</f>
        <v>31826.696266771534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1710.4871373911215</v>
      </c>
      <c r="H77" s="109">
        <f>Middle!T12</f>
        <v>398.58526155514681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41742.361913610323</v>
      </c>
      <c r="G88" s="109">
        <f>Poor!T23</f>
        <v>54166.379505324207</v>
      </c>
      <c r="H88" s="109">
        <f>Middle!T23</f>
        <v>117702.0326482298</v>
      </c>
      <c r="I88" s="109">
        <f>Rich!T23</f>
        <v>165435.35333849481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9185.4526793797704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29803.986012713096</v>
      </c>
      <c r="G99" s="240">
        <f t="shared" si="0"/>
        <v>17379.968420999212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70726.386012713105</v>
      </c>
      <c r="G100" s="240">
        <f t="shared" si="0"/>
        <v>58302.368420999206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2016-06-02T06:20:47Z</dcterms:modified>
  <cp:category/>
</cp:coreProperties>
</file>