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I8" i="7"/>
  <c r="D9" i="7"/>
  <c r="H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L8" i="12"/>
  <c r="K9" i="12"/>
  <c r="E9" i="12"/>
  <c r="H9" i="12"/>
  <c r="L9" i="12"/>
  <c r="K10" i="12"/>
  <c r="L10" i="12"/>
  <c r="K6" i="12"/>
  <c r="E6" i="12"/>
  <c r="H6" i="12"/>
  <c r="L6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H101" i="12"/>
  <c r="I101" i="12"/>
  <c r="B102" i="12"/>
  <c r="C102" i="12"/>
  <c r="D102" i="12"/>
  <c r="G48" i="12"/>
  <c r="F48" i="12"/>
  <c r="H102" i="12"/>
  <c r="I102" i="12"/>
  <c r="B103" i="12"/>
  <c r="C103" i="12"/>
  <c r="D103" i="12"/>
  <c r="G49" i="12"/>
  <c r="F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H105" i="12"/>
  <c r="I105" i="12"/>
  <c r="B106" i="12"/>
  <c r="C106" i="12"/>
  <c r="D106" i="12"/>
  <c r="G52" i="12"/>
  <c r="F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4" i="12"/>
  <c r="E47" i="12"/>
  <c r="E48" i="12"/>
  <c r="E49" i="12"/>
  <c r="E50" i="12"/>
  <c r="E51" i="12"/>
  <c r="E52" i="12"/>
  <c r="F54" i="12"/>
  <c r="E56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4" i="7"/>
  <c r="E47" i="7"/>
  <c r="E48" i="7"/>
  <c r="E49" i="7"/>
  <c r="E50" i="7"/>
  <c r="E51" i="7"/>
  <c r="E52" i="7"/>
  <c r="F54" i="7"/>
  <c r="E56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4" i="8"/>
  <c r="E47" i="8"/>
  <c r="E48" i="8"/>
  <c r="E49" i="8"/>
  <c r="E50" i="8"/>
  <c r="E51" i="8"/>
  <c r="E52" i="8"/>
  <c r="F54" i="8"/>
  <c r="E56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4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<sst xmlns="http://schemas.openxmlformats.org/spreadsheetml/2006/main" count="790" uniqueCount="145">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</sst>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0.0945542897260274</c:v>
                </c:pt>
                <c:pt idx="2" formatCode="0.0%">
                  <c:v>0.0945542897260274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3.5669007840213E-5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0.0288959575081154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0.183014584669234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0.402360393813264</c:v>
                </c:pt>
                <c:pt idx="2" formatCode="0.0%">
                  <c:v>0.404679283930844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983784"/>
        <c:axId val="1813987080"/>
      </c:barChart>
      <c:catAx>
        <c:axId val="181398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8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98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8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0.0170649458933198</c:v>
                </c:pt>
                <c:pt idx="2">
                  <c:v>0.0170649458933198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0.0533279559166243</c:v>
                </c:pt>
                <c:pt idx="2">
                  <c:v>0.0533279559166243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0.0149318276566548</c:v>
                </c:pt>
                <c:pt idx="2">
                  <c:v>0.0148415127915253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0.00426623647332994</c:v>
                </c:pt>
                <c:pt idx="2">
                  <c:v>0.00426623647332994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0.00172411993069425</c:v>
                </c:pt>
                <c:pt idx="2">
                  <c:v>0.00172411993069425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0.00237264210645998</c:v>
                </c:pt>
                <c:pt idx="2">
                  <c:v>0.00237264210645998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0.0122902861114627</c:v>
                </c:pt>
                <c:pt idx="2">
                  <c:v>0.0122902861114627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0.383961282599695</c:v>
                </c:pt>
                <c:pt idx="2">
                  <c:v>0.383961282599695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0.0323816421019276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870904"/>
        <c:axId val="1815873928"/>
      </c:barChart>
      <c:catAx>
        <c:axId val="181587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7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87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7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0.00188652898499398</c:v>
                </c:pt>
                <c:pt idx="2">
                  <c:v>0.00188652898499398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0.0377305796998796</c:v>
                </c:pt>
                <c:pt idx="2">
                  <c:v>0.0377305796998796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0.0132057028949579</c:v>
                </c:pt>
                <c:pt idx="2">
                  <c:v>0.013249352719232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0.00282979347749097</c:v>
                </c:pt>
                <c:pt idx="2">
                  <c:v>0.00282979347749097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0.00205849489511975</c:v>
                </c:pt>
                <c:pt idx="2">
                  <c:v>0.00205849489511975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0.00419672761492305</c:v>
                </c:pt>
                <c:pt idx="2">
                  <c:v>0.00425221467967827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0.000693905896011652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0.00699454602487174</c:v>
                </c:pt>
                <c:pt idx="2">
                  <c:v>0.00708702446613045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0.000699454602487174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0.0326412147827348</c:v>
                </c:pt>
                <c:pt idx="2">
                  <c:v>0.0326412147827348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0.0163206073913674</c:v>
                </c:pt>
                <c:pt idx="2">
                  <c:v>0.0163206073913674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0.000932606136649566</c:v>
                </c:pt>
                <c:pt idx="2">
                  <c:v>0.000932606136649566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0.00116575767081196</c:v>
                </c:pt>
                <c:pt idx="2">
                  <c:v>0.00116575767081196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0.641419854897953</c:v>
                </c:pt>
                <c:pt idx="2">
                  <c:v>0.641419854897953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0.0159452579122743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015128"/>
        <c:axId val="1816018184"/>
      </c:barChart>
      <c:catAx>
        <c:axId val="181601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1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01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1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0.0139993262412787</c:v>
                </c:pt>
                <c:pt idx="2">
                  <c:v>0.0139993262412787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0.00611017203170725</c:v>
                </c:pt>
                <c:pt idx="2">
                  <c:v>0.00611017203170725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0.0230370926688868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0.0497124379512864</c:v>
                </c:pt>
                <c:pt idx="2">
                  <c:v>0.0497124379512864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0.148149649523701</c:v>
                </c:pt>
                <c:pt idx="2">
                  <c:v>0.148149649523701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0.0873665791486726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23880"/>
        <c:axId val="1774494696"/>
      </c:barChart>
      <c:catAx>
        <c:axId val="181352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9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9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52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2479.764256448982</c:v>
                </c:pt>
                <c:pt idx="5">
                  <c:v>3837.392898779859</c:v>
                </c:pt>
                <c:pt idx="6">
                  <c:v>3798.722225638531</c:v>
                </c:pt>
                <c:pt idx="7">
                  <c:v>5766.422704362356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210.0</c:v>
                </c:pt>
                <c:pt idx="7">
                  <c:v>22983.31002549138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76.61849045545877</c:v>
                </c:pt>
                <c:pt idx="6">
                  <c:v>837.4841342933683</c:v>
                </c:pt>
                <c:pt idx="7">
                  <c:v>1425.590053583389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678.01</c:v>
                </c:pt>
                <c:pt idx="5">
                  <c:v>2756.548</c:v>
                </c:pt>
                <c:pt idx="6">
                  <c:v>8074.206328461613</c:v>
                </c:pt>
                <c:pt idx="7">
                  <c:v>20807.92218963112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777.2343897451524</c:v>
                </c:pt>
                <c:pt idx="5">
                  <c:v>774.8864397110706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6671.100000000001</c:v>
                </c:pt>
                <c:pt idx="5">
                  <c:v>13375.5</c:v>
                </c:pt>
                <c:pt idx="6">
                  <c:v>2650.541398799434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33984.0</c:v>
                </c:pt>
                <c:pt idx="7">
                  <c:v>231091.2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2945.64357223001</c:v>
                </c:pt>
                <c:pt idx="5">
                  <c:v>3346.794348295434</c:v>
                </c:pt>
                <c:pt idx="6">
                  <c:v>2866.06430143429</c:v>
                </c:pt>
                <c:pt idx="7">
                  <c:v>5744.768823601817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995912"/>
        <c:axId val="1813999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95912"/>
        <c:axId val="1813999288"/>
      </c:lineChart>
      <c:catAx>
        <c:axId val="181399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9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99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9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096696"/>
        <c:axId val="1813093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96696"/>
        <c:axId val="1813093448"/>
      </c:lineChart>
      <c:catAx>
        <c:axId val="18130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0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09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003544"/>
        <c:axId val="18130002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03544"/>
        <c:axId val="1813000248"/>
      </c:lineChart>
      <c:catAx>
        <c:axId val="1813003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0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0.346796720521263</c:v>
                </c:pt>
                <c:pt idx="2">
                  <c:v>0.348051767078874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0.117106869690496</c:v>
                </c:pt>
                <c:pt idx="2">
                  <c:v>0.117781781950752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596296"/>
        <c:axId val="1816599672"/>
      </c:barChart>
      <c:catAx>
        <c:axId val="181659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59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59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59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0.0520973370778403</c:v>
                </c:pt>
                <c:pt idx="2">
                  <c:v>0.0395950558192891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0.298903192912679</c:v>
                </c:pt>
                <c:pt idx="2">
                  <c:v>0.298903192912679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0.0573308494675754</c:v>
                </c:pt>
                <c:pt idx="2">
                  <c:v>0.0695853662171879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0.0520973370778403</c:v>
                </c:pt>
                <c:pt idx="2">
                  <c:v>0.0395950558192891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658248"/>
        <c:axId val="1816661656"/>
      </c:barChart>
      <c:catAx>
        <c:axId val="181665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66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66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65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0.012408160702057</c:v>
                </c:pt>
                <c:pt idx="2">
                  <c:v>0.00236785075058771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0.659918908637399</c:v>
                </c:pt>
                <c:pt idx="2">
                  <c:v>0.670103009353819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0.012408160702057</c:v>
                </c:pt>
                <c:pt idx="2">
                  <c:v>0.00236785075058771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13576"/>
        <c:axId val="1816717080"/>
      </c:barChart>
      <c:catAx>
        <c:axId val="181671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7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1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0.104572701468503</c:v>
                </c:pt>
                <c:pt idx="2">
                  <c:v>0.0798345717182015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0.166998285048613</c:v>
                </c:pt>
                <c:pt idx="2">
                  <c:v>0.194321546887032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-0.346345596763084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74632"/>
        <c:axId val="1816778008"/>
      </c:barChart>
      <c:catAx>
        <c:axId val="18167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7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77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7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0.128937667808219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0.120469810957483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0.023362909217502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0.228609029299935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0.355462423958355</c:v>
                </c:pt>
                <c:pt idx="2" formatCode="0.0%">
                  <c:v>0.270158808640481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207224"/>
        <c:axId val="1813230616"/>
      </c:barChart>
      <c:catAx>
        <c:axId val="181320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23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23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20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330632"/>
        <c:axId val="18153271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30632"/>
        <c:axId val="18153271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0632"/>
        <c:axId val="1815327192"/>
      </c:scatterChart>
      <c:catAx>
        <c:axId val="1815330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327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5327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330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239160"/>
        <c:axId val="18152357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239160"/>
        <c:axId val="1815235768"/>
      </c:lineChart>
      <c:catAx>
        <c:axId val="1815239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235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5235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2391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21720"/>
        <c:axId val="18176250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28680"/>
        <c:axId val="1817631576"/>
      </c:scatterChart>
      <c:valAx>
        <c:axId val="18176217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5064"/>
        <c:crosses val="autoZero"/>
        <c:crossBetween val="midCat"/>
      </c:valAx>
      <c:valAx>
        <c:axId val="1817625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1720"/>
        <c:crosses val="autoZero"/>
        <c:crossBetween val="midCat"/>
      </c:valAx>
      <c:valAx>
        <c:axId val="1817628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7631576"/>
        <c:crosses val="autoZero"/>
        <c:crossBetween val="midCat"/>
      </c:valAx>
      <c:valAx>
        <c:axId val="18176315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86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11928"/>
        <c:axId val="1817717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711928"/>
        <c:axId val="1817717672"/>
      </c:lineChart>
      <c:catAx>
        <c:axId val="181771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71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771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711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0.0450485080946451</c:v>
                </c:pt>
                <c:pt idx="2" formatCode="0.0%">
                  <c:v>0.0450485080946451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0.0648484744707347</c:v>
                </c:pt>
                <c:pt idx="2" formatCode="0.0%">
                  <c:v>0.0648484744707347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0.221772788630137</c:v>
                </c:pt>
                <c:pt idx="2" formatCode="0.0%">
                  <c:v>0.216317587622478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0.0293557190339787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0.00450642505834396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0.0554702814079484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0.324342576176503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0.344619247407309</c:v>
                </c:pt>
                <c:pt idx="2" formatCode="0.0%">
                  <c:v>0.0657637310826491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18072"/>
        <c:axId val="1812286200"/>
      </c:barChart>
      <c:catAx>
        <c:axId val="181351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28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28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1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0.0670475872602739</c:v>
                </c:pt>
                <c:pt idx="2" formatCode="0.0%">
                  <c:v>0.0670475872602739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3.99231568586867E-5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0.0203272314356875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0.00609806019345717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0.19413795080314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0.434048227459658</c:v>
                </c:pt>
                <c:pt idx="2" formatCode="0.0%">
                  <c:v>0.505064605657372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040232"/>
        <c:axId val="1815043560"/>
      </c:barChart>
      <c:catAx>
        <c:axId val="181504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04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04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04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0.113566817611168</c:v>
                </c:pt>
                <c:pt idx="1">
                  <c:v>0.0530998490554985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0.257717514616063</c:v>
                </c:pt>
                <c:pt idx="1">
                  <c:v>0.120499644288046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0.096635852157196</c:v>
                </c:pt>
                <c:pt idx="1">
                  <c:v>0.0451835251777977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0.180659304492405</c:v>
                </c:pt>
                <c:pt idx="1">
                  <c:v>0.0844699358562873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0.000142676031360852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0.183014584669234</c:v>
                </c:pt>
                <c:pt idx="1">
                  <c:v>0.183014584669234</c:v>
                </c:pt>
                <c:pt idx="2">
                  <c:v>0.183014584669234</c:v>
                </c:pt>
                <c:pt idx="3">
                  <c:v>0.183014584669234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0.345326534499203</c:v>
                </c:pt>
                <c:pt idx="2">
                  <c:v>0.648579488876833</c:v>
                </c:pt>
                <c:pt idx="3">
                  <c:v>0.62481111234734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315704"/>
        <c:axId val="1814312312"/>
      </c:barChart>
      <c:catAx>
        <c:axId val="181431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12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31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1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0.268190349041096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0.0121961203869143</c:v>
                </c:pt>
                <c:pt idx="3">
                  <c:v>0.0121961203869143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0.19413795080314</c:v>
                </c:pt>
                <c:pt idx="1">
                  <c:v>0.19413795080314</c:v>
                </c:pt>
                <c:pt idx="2">
                  <c:v>0.19413795080314</c:v>
                </c:pt>
                <c:pt idx="3">
                  <c:v>0.19413795080314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-0.00327957390577704</c:v>
                </c:pt>
                <c:pt idx="1">
                  <c:v>-0.212347399433488</c:v>
                </c:pt>
                <c:pt idx="2">
                  <c:v>-0.212347399433488</c:v>
                </c:pt>
                <c:pt idx="3">
                  <c:v>-0.212347399433488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208440"/>
        <c:axId val="1814205048"/>
      </c:barChart>
      <c:catAx>
        <c:axId val="1814208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05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20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0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0.0945220504149982</c:v>
                </c:pt>
                <c:pt idx="1">
                  <c:v>0.0721446162516684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0.292498865687059</c:v>
                </c:pt>
                <c:pt idx="1">
                  <c:v>0.223251805545818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0.0804303500056916</c:v>
                </c:pt>
                <c:pt idx="1">
                  <c:v>0.0613890273293021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0.0317433752687904</c:v>
                </c:pt>
                <c:pt idx="1">
                  <c:v>0.0242283532492669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0.141720685610383</c:v>
                </c:pt>
                <c:pt idx="1">
                  <c:v>0.0850516865359829</c:v>
                </c:pt>
                <c:pt idx="2">
                  <c:v>0.113386186073183</c:v>
                </c:pt>
                <c:pt idx="3">
                  <c:v>0.141720685610383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0.228609029299935</c:v>
                </c:pt>
                <c:pt idx="1">
                  <c:v>0.228609029299935</c:v>
                </c:pt>
                <c:pt idx="2">
                  <c:v>0.228609029299935</c:v>
                </c:pt>
                <c:pt idx="3">
                  <c:v>0.228609029299935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0.168853798224323</c:v>
                </c:pt>
                <c:pt idx="2">
                  <c:v>0.523034717999667</c:v>
                </c:pt>
                <c:pt idx="3">
                  <c:v>0.388746718337934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097560"/>
        <c:axId val="1814094168"/>
      </c:barChart>
      <c:catAx>
        <c:axId val="181409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94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09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9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0.0306329855043587</c:v>
                </c:pt>
                <c:pt idx="1">
                  <c:v>0.0306329855043587</c:v>
                </c:pt>
                <c:pt idx="2">
                  <c:v>0.0594640306849315</c:v>
                </c:pt>
                <c:pt idx="3">
                  <c:v>0.0594640306849315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0.0555478555717989</c:v>
                </c:pt>
                <c:pt idx="1">
                  <c:v>0.0580990341356939</c:v>
                </c:pt>
                <c:pt idx="2">
                  <c:v>0.0530197769591738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0.28838347475744</c:v>
                </c:pt>
                <c:pt idx="1">
                  <c:v>0.301628229778303</c:v>
                </c:pt>
                <c:pt idx="2">
                  <c:v>0.275258645954167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0.0391355337865381</c:v>
                </c:pt>
                <c:pt idx="1">
                  <c:v>0.0409329341335912</c:v>
                </c:pt>
                <c:pt idx="2">
                  <c:v>0.0373544082157853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0.0801168424840796</c:v>
                </c:pt>
                <c:pt idx="1">
                  <c:v>0.0837964151525177</c:v>
                </c:pt>
                <c:pt idx="2">
                  <c:v>0.0764705869462171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0.0120772191563618</c:v>
                </c:pt>
                <c:pt idx="3">
                  <c:v>0.00594848107701403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0.324342576176503</c:v>
                </c:pt>
                <c:pt idx="1">
                  <c:v>0.324342576176503</c:v>
                </c:pt>
                <c:pt idx="2">
                  <c:v>0.324342576176503</c:v>
                </c:pt>
                <c:pt idx="3">
                  <c:v>0.324342576176503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0.0371083330294217</c:v>
                </c:pt>
                <c:pt idx="3">
                  <c:v>0.225946591301174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532744"/>
        <c:axId val="1815536120"/>
      </c:barChart>
      <c:catAx>
        <c:axId val="1815532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536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55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53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0.0550685449640776</c:v>
                </c:pt>
                <c:pt idx="2">
                  <c:v>0.0550685449640776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0.00677919276556638</c:v>
                </c:pt>
                <c:pt idx="2">
                  <c:v>0.00677919276556638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0.0173754842352478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0.0759593216166415</c:v>
                </c:pt>
                <c:pt idx="2">
                  <c:v>0.0759593216166414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0.224142260508122</c:v>
                </c:pt>
                <c:pt idx="2">
                  <c:v>0.224142260508122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0.0750908959642389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724040"/>
        <c:axId val="1815727096"/>
      </c:barChart>
      <c:catAx>
        <c:axId val="181572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72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2479.7642564489815</v>
      </c>
      <c r="T7" s="222">
        <f>IF($B$81=0,0,(SUMIF($N$6:$N$28,$U7,M$6:M$28)+SUMIF($N$91:$N$118,$U7,M$91:M$118))*$I$83*Poor!$B$81/$B$81)</f>
        <v>2479.7642564489815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6.7047587260273961E-2</v>
      </c>
      <c r="J9" s="24">
        <f t="shared" si="3"/>
        <v>6.7047587260273961E-2</v>
      </c>
      <c r="K9" s="22">
        <f t="shared" si="4"/>
        <v>6.1511547945205469E-2</v>
      </c>
      <c r="L9" s="22">
        <f t="shared" si="5"/>
        <v>6.7047587260273961E-2</v>
      </c>
      <c r="M9" s="224">
        <f t="shared" si="6"/>
        <v>6.7047587260273961E-2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0.26819034904109584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0.26819034904109584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6.7047587260273961E-2</v>
      </c>
      <c r="AJ9" s="120">
        <f t="shared" si="14"/>
        <v>0.13409517452054792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678.01</v>
      </c>
      <c r="T11" s="222">
        <f>IF($B$81=0,0,(SUMIF($N$6:$N$28,$U11,M$6:M$28)+SUMIF($N$91:$N$118,$U11,M$91:M$118))*$I$83*Poor!$B$81/$B$81)</f>
        <v>678.01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777.2343897451525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6671.1000000000013</v>
      </c>
      <c r="T13" s="222">
        <f>IF($B$81=0,0,(SUMIF($N$6:$N$28,$U13,M$6:M$28)+SUMIF($N$91:$N$118,$U13,M$91:M$118))*$I$83*Poor!$B$81/$B$81)</f>
        <v>6671.1000000000013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3.9923156858686708E-5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3.9923156858686708E-5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2945.6435722300107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41234.435446663585</v>
      </c>
      <c r="T23" s="179">
        <f>SUM(T7:T22)</f>
        <v>41322.113408638746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2.0327231435687536E-2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2.0327231435687536E-2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8.1308925742750143E-2</v>
      </c>
      <c r="Z27" s="156">
        <f>Poor!Z27</f>
        <v>0.25</v>
      </c>
      <c r="AA27" s="121">
        <f t="shared" si="16"/>
        <v>2.0327231435687536E-2</v>
      </c>
      <c r="AB27" s="156">
        <f>Poor!AB27</f>
        <v>0.25</v>
      </c>
      <c r="AC27" s="121">
        <f t="shared" si="7"/>
        <v>2.0327231435687536E-2</v>
      </c>
      <c r="AD27" s="156">
        <f>Poor!AD27</f>
        <v>0.25</v>
      </c>
      <c r="AE27" s="121">
        <f t="shared" si="8"/>
        <v>2.0327231435687536E-2</v>
      </c>
      <c r="AF27" s="122">
        <f t="shared" si="10"/>
        <v>0.25</v>
      </c>
      <c r="AG27" s="121">
        <f t="shared" si="11"/>
        <v>2.0327231435687536E-2</v>
      </c>
      <c r="AH27" s="123">
        <f t="shared" si="12"/>
        <v>1</v>
      </c>
      <c r="AI27" s="184">
        <f t="shared" si="13"/>
        <v>2.0327231435687536E-2</v>
      </c>
      <c r="AJ27" s="120">
        <f t="shared" si="14"/>
        <v>2.0327231435687536E-2</v>
      </c>
      <c r="AK27" s="119">
        <f t="shared" si="15"/>
        <v>2.0327231435687536E-2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6.0980601934571676E-3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6.0980601934571676E-3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2.439224077382867E-2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1.2196120386914335E-2</v>
      </c>
      <c r="AF28" s="122">
        <f t="shared" si="10"/>
        <v>0.5</v>
      </c>
      <c r="AG28" s="121">
        <f t="shared" si="11"/>
        <v>1.2196120386914335E-2</v>
      </c>
      <c r="AH28" s="123">
        <f t="shared" si="12"/>
        <v>1</v>
      </c>
      <c r="AI28" s="184">
        <f t="shared" si="13"/>
        <v>6.0980601934571676E-3</v>
      </c>
      <c r="AJ28" s="120">
        <f t="shared" si="14"/>
        <v>0</v>
      </c>
      <c r="AK28" s="119">
        <f t="shared" si="15"/>
        <v>1.2196120386914335E-2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0.19413795080314053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0.19413795080314053</v>
      </c>
      <c r="N29" s="229"/>
      <c r="P29" s="22"/>
      <c r="V29" s="56"/>
      <c r="W29" s="110"/>
      <c r="X29" s="118"/>
      <c r="Y29" s="184">
        <f t="shared" si="9"/>
        <v>0.77655180321256212</v>
      </c>
      <c r="Z29" s="156">
        <f>Poor!Z29</f>
        <v>0.25</v>
      </c>
      <c r="AA29" s="121">
        <f t="shared" si="16"/>
        <v>0.19413795080314053</v>
      </c>
      <c r="AB29" s="156">
        <f>Poor!AB29</f>
        <v>0.25</v>
      </c>
      <c r="AC29" s="121">
        <f t="shared" si="7"/>
        <v>0.19413795080314053</v>
      </c>
      <c r="AD29" s="156">
        <f>Poor!AD29</f>
        <v>0.25</v>
      </c>
      <c r="AE29" s="121">
        <f t="shared" si="8"/>
        <v>0.19413795080314053</v>
      </c>
      <c r="AF29" s="122">
        <f t="shared" si="10"/>
        <v>0.25</v>
      </c>
      <c r="AG29" s="121">
        <f t="shared" si="11"/>
        <v>0.19413795080314053</v>
      </c>
      <c r="AH29" s="123">
        <f t="shared" si="12"/>
        <v>1</v>
      </c>
      <c r="AI29" s="184">
        <f t="shared" si="13"/>
        <v>0.19413795080314053</v>
      </c>
      <c r="AJ29" s="120">
        <f t="shared" si="14"/>
        <v>0.19413795080314053</v>
      </c>
      <c r="AK29" s="119">
        <f t="shared" si="15"/>
        <v>0.19413795080314053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1.9367923038265964</v>
      </c>
      <c r="J30" s="231">
        <f>IF(I$32&lt;=1,I30,1-SUM(J6:J29))</f>
        <v>0.5050646056573721</v>
      </c>
      <c r="K30" s="22">
        <f t="shared" si="4"/>
        <v>0.71161696139476982</v>
      </c>
      <c r="L30" s="22">
        <f>IF(L124=L119,0,IF(K30="",0,(L119-L124)/(B119-B124)*K30))</f>
        <v>0.43404822745965849</v>
      </c>
      <c r="M30" s="175">
        <f t="shared" si="6"/>
        <v>0.5050646056573721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2.0202584226294884</v>
      </c>
      <c r="Z30" s="122">
        <f>IF($Y30=0,0,AA30/($Y$30))</f>
        <v>-1.6233437608979143E-3</v>
      </c>
      <c r="AA30" s="188">
        <f>IF(AA79*4/$I$83+SUM(AA6:AA29)&lt;1,AA79*4/$I$83,1-SUM(AA6:AA29))</f>
        <v>-3.2795739057770415E-3</v>
      </c>
      <c r="AB30" s="122">
        <f>IF($Y30=0,0,AC30/($Y$30))</f>
        <v>-0.10510902815942996</v>
      </c>
      <c r="AC30" s="188">
        <f>IF(AC79*4/$I$83+SUM(AC6:AC29)&lt;1,AC79*4/$I$83,1-SUM(AC6:AC29))</f>
        <v>-0.21234739943348846</v>
      </c>
      <c r="AD30" s="122">
        <f>IF($Y30=0,0,AE30/($Y$30))</f>
        <v>-0.10510902815942996</v>
      </c>
      <c r="AE30" s="188">
        <f>IF(AE79*4/$I$83+SUM(AE6:AE29)&lt;1,AE79*4/$I$83,1-SUM(AE6:AE29))</f>
        <v>-0.21234739943348846</v>
      </c>
      <c r="AF30" s="122">
        <f>IF($Y30=0,0,AG30/($Y$30))</f>
        <v>-0.10510902815942996</v>
      </c>
      <c r="AG30" s="188">
        <f>IF(AG79*4/$I$83+SUM(AG6:AG29)&lt;1,AG79*4/$I$83,1-SUM(AG6:AG29))</f>
        <v>-0.21234739943348846</v>
      </c>
      <c r="AH30" s="123">
        <f t="shared" si="12"/>
        <v>-0.31695042823918779</v>
      </c>
      <c r="AI30" s="184">
        <f t="shared" si="13"/>
        <v>-0.16008044305156061</v>
      </c>
      <c r="AJ30" s="120">
        <f t="shared" si="14"/>
        <v>-0.10781348666963275</v>
      </c>
      <c r="AK30" s="119">
        <f t="shared" si="15"/>
        <v>-0.21234739943348846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7.1623053749497734E-2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2.0241727409106569E-2</v>
      </c>
      <c r="AB31" s="131"/>
      <c r="AC31" s="133">
        <f>1-AC32+IF($Y32&lt;0,$Y32/4,0)</f>
        <v>0.88829680027596258</v>
      </c>
      <c r="AD31" s="134"/>
      <c r="AE31" s="133">
        <f>1-AE32+IF($Y32&lt;0,$Y32/4,0)</f>
        <v>0.87610067988904827</v>
      </c>
      <c r="AF31" s="134"/>
      <c r="AG31" s="133">
        <f>1-AG32+IF($Y32&lt;0,$Y32/4,0)</f>
        <v>0.87610067988904827</v>
      </c>
      <c r="AH31" s="123"/>
      <c r="AI31" s="183">
        <f>SUM(AA31,AC31,AE31,AG31)/4</f>
        <v>0.6651849718657914</v>
      </c>
      <c r="AJ31" s="135">
        <f t="shared" si="14"/>
        <v>0.45426926384253458</v>
      </c>
      <c r="AK31" s="136">
        <f t="shared" si="15"/>
        <v>0.87610067988904827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2.4364443940604685</v>
      </c>
      <c r="J32" s="17"/>
      <c r="L32" s="22">
        <f>SUM(L6:L30)</f>
        <v>0.92837694625050227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21892.26399165966</v>
      </c>
      <c r="T32" s="234">
        <f t="shared" si="24"/>
        <v>21804.586029684498</v>
      </c>
      <c r="U32" s="56"/>
      <c r="V32" s="56"/>
      <c r="W32" s="110"/>
      <c r="X32" s="118"/>
      <c r="Y32" s="115">
        <f>SUM(Y6:Y31)</f>
        <v>3.999840307372565</v>
      </c>
      <c r="Z32" s="137"/>
      <c r="AA32" s="138">
        <f>SUM(AA6:AA30)</f>
        <v>0.97975827259089343</v>
      </c>
      <c r="AB32" s="137"/>
      <c r="AC32" s="139">
        <f>SUM(AC6:AC30)</f>
        <v>0.11170319972403736</v>
      </c>
      <c r="AD32" s="137"/>
      <c r="AE32" s="139">
        <f>SUM(AE6:AE30)</f>
        <v>0.12389932011095173</v>
      </c>
      <c r="AF32" s="137"/>
      <c r="AG32" s="139">
        <f>SUM(AG6:AG30)</f>
        <v>0.12389932011095173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0.11396453512154631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472</v>
      </c>
      <c r="J37" s="38">
        <f>J91*I$83</f>
        <v>472</v>
      </c>
      <c r="K37" s="40">
        <f>(B37/B$65)</f>
        <v>1.4829794747117245E-2</v>
      </c>
      <c r="L37" s="22">
        <f t="shared" ref="L37" si="28">(K37*H37)</f>
        <v>1.3999326241278679E-2</v>
      </c>
      <c r="M37" s="24">
        <f>J37/B$65</f>
        <v>1.399932624127868E-2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472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472</v>
      </c>
      <c r="AJ37" s="148">
        <f>(AA37+AC37)</f>
        <v>472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206.01</v>
      </c>
      <c r="J41" s="38">
        <f t="shared" si="32"/>
        <v>206.01</v>
      </c>
      <c r="K41" s="40">
        <f t="shared" si="33"/>
        <v>4.0040445817216561E-3</v>
      </c>
      <c r="L41" s="22">
        <f t="shared" si="34"/>
        <v>6.1101720317072476E-3</v>
      </c>
      <c r="M41" s="24">
        <f t="shared" si="35"/>
        <v>6.1101720317072476E-3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206.01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206.01</v>
      </c>
      <c r="AJ41" s="148">
        <f t="shared" si="38"/>
        <v>206.01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776.71650423094809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2.3037092668886767E-2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194.17912605773702</v>
      </c>
      <c r="AB50" s="156">
        <f>Poor!AB55</f>
        <v>0.25</v>
      </c>
      <c r="AC50" s="147">
        <f t="shared" si="41"/>
        <v>194.17912605773702</v>
      </c>
      <c r="AD50" s="156">
        <f>Poor!AD55</f>
        <v>0.25</v>
      </c>
      <c r="AE50" s="147">
        <f t="shared" si="42"/>
        <v>194.17912605773702</v>
      </c>
      <c r="AF50" s="122">
        <f t="shared" si="29"/>
        <v>0.25</v>
      </c>
      <c r="AG50" s="147">
        <f t="shared" si="36"/>
        <v>194.17912605773702</v>
      </c>
      <c r="AH50" s="123">
        <f t="shared" si="37"/>
        <v>1</v>
      </c>
      <c r="AI50" s="112">
        <f t="shared" si="37"/>
        <v>776.71650423094809</v>
      </c>
      <c r="AJ50" s="148">
        <f t="shared" si="38"/>
        <v>388.35825211547404</v>
      </c>
      <c r="AK50" s="147">
        <f t="shared" si="39"/>
        <v>388.35825211547404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1676.1000000000001</v>
      </c>
      <c r="J51" s="38">
        <f t="shared" si="32"/>
        <v>1676.1000000000001</v>
      </c>
      <c r="K51" s="40">
        <f t="shared" si="33"/>
        <v>4.4785980136294083E-2</v>
      </c>
      <c r="L51" s="22">
        <f t="shared" si="34"/>
        <v>4.9712437951286437E-2</v>
      </c>
      <c r="M51" s="24">
        <f t="shared" si="35"/>
        <v>4.9712437951286437E-2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419.02500000000003</v>
      </c>
      <c r="AB51" s="156">
        <f>Poor!AB56</f>
        <v>0.25</v>
      </c>
      <c r="AC51" s="147">
        <f t="shared" si="41"/>
        <v>419.02500000000003</v>
      </c>
      <c r="AD51" s="156">
        <f>Poor!AD56</f>
        <v>0.25</v>
      </c>
      <c r="AE51" s="147">
        <f t="shared" si="42"/>
        <v>419.02500000000003</v>
      </c>
      <c r="AF51" s="122">
        <f t="shared" si="29"/>
        <v>0.25</v>
      </c>
      <c r="AG51" s="147">
        <f t="shared" si="36"/>
        <v>419.02500000000003</v>
      </c>
      <c r="AH51" s="123">
        <f t="shared" si="37"/>
        <v>1</v>
      </c>
      <c r="AI51" s="112">
        <f t="shared" si="37"/>
        <v>1676.1000000000001</v>
      </c>
      <c r="AJ51" s="148">
        <f t="shared" si="38"/>
        <v>838.05000000000007</v>
      </c>
      <c r="AK51" s="147">
        <f t="shared" si="39"/>
        <v>838.05000000000007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4995</v>
      </c>
      <c r="J52" s="38">
        <f t="shared" si="32"/>
        <v>4995.0000000000009</v>
      </c>
      <c r="K52" s="40">
        <f t="shared" si="33"/>
        <v>0.13346815272405521</v>
      </c>
      <c r="L52" s="22">
        <f t="shared" si="34"/>
        <v>0.1481496495237013</v>
      </c>
      <c r="M52" s="24">
        <f t="shared" si="35"/>
        <v>0.1481496495237013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1248.7500000000002</v>
      </c>
      <c r="AB52" s="156">
        <f>Poor!AB57</f>
        <v>0.25</v>
      </c>
      <c r="AC52" s="147">
        <f t="shared" si="41"/>
        <v>1248.7500000000002</v>
      </c>
      <c r="AD52" s="156">
        <f>Poor!AD57</f>
        <v>0.25</v>
      </c>
      <c r="AE52" s="147">
        <f t="shared" si="42"/>
        <v>1248.7500000000002</v>
      </c>
      <c r="AF52" s="122">
        <f t="shared" si="29"/>
        <v>0.25</v>
      </c>
      <c r="AG52" s="147">
        <f t="shared" si="36"/>
        <v>1248.7500000000002</v>
      </c>
      <c r="AH52" s="123">
        <f t="shared" si="37"/>
        <v>1</v>
      </c>
      <c r="AI52" s="112">
        <f t="shared" si="37"/>
        <v>4995.0000000000009</v>
      </c>
      <c r="AJ52" s="148">
        <f t="shared" si="38"/>
        <v>2497.5000000000005</v>
      </c>
      <c r="AK52" s="147">
        <f t="shared" si="39"/>
        <v>2497.5000000000005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2945.6435722300107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8.7366579148672588E-2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38440.581809784468</v>
      </c>
      <c r="J65" s="39">
        <f>SUM(J37:J64)</f>
        <v>37762.941886245433</v>
      </c>
      <c r="K65" s="40">
        <f>SUM(K37:K64)</f>
        <v>1</v>
      </c>
      <c r="L65" s="22">
        <f>SUM(L37:L64)</f>
        <v>1.1174482223525544</v>
      </c>
      <c r="M65" s="24">
        <f>SUM(M37:M64)</f>
        <v>1.1200333544406724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3318.4641260577373</v>
      </c>
      <c r="AB65" s="137"/>
      <c r="AC65" s="153">
        <f>SUM(AC37:AC64)</f>
        <v>2640.4541260577375</v>
      </c>
      <c r="AD65" s="137"/>
      <c r="AE65" s="153">
        <f>SUM(AE37:AE64)</f>
        <v>2640.4541260577375</v>
      </c>
      <c r="AF65" s="137"/>
      <c r="AG65" s="153">
        <f>SUM(AG37:AG64)</f>
        <v>2640.4541260577375</v>
      </c>
      <c r="AH65" s="137"/>
      <c r="AI65" s="153">
        <f>SUM(AI37:AI64)</f>
        <v>11239.82650423095</v>
      </c>
      <c r="AJ65" s="153">
        <f>SUM(AJ37:AJ64)</f>
        <v>5958.9182521154744</v>
      </c>
      <c r="AK65" s="153">
        <f>SUM(AK37:AK64)</f>
        <v>5280.9082521154751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2691.6951002885776</v>
      </c>
      <c r="K72" s="40">
        <f t="shared" si="47"/>
        <v>0.61715673819603134</v>
      </c>
      <c r="L72" s="22">
        <f t="shared" si="45"/>
        <v>0.10457270146850256</v>
      </c>
      <c r="M72" s="24">
        <f t="shared" si="48"/>
        <v>7.9834571718201547E-2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25124.182481984317</v>
      </c>
      <c r="J74" s="51">
        <f t="shared" si="44"/>
        <v>6551.727458156689</v>
      </c>
      <c r="K74" s="40">
        <f>B74/B$76</f>
        <v>0.16593437771979364</v>
      </c>
      <c r="L74" s="22">
        <f t="shared" si="45"/>
        <v>0.16699828504861286</v>
      </c>
      <c r="M74" s="24">
        <f>J74/B$76</f>
        <v>0.19432154688703179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-10.635705892302212</v>
      </c>
      <c r="AB74" s="156"/>
      <c r="AC74" s="147">
        <f>AC30*$I$83/4</f>
        <v>-688.64570589230198</v>
      </c>
      <c r="AD74" s="156"/>
      <c r="AE74" s="147">
        <f>AE30*$I$83/4</f>
        <v>-688.64570589230198</v>
      </c>
      <c r="AF74" s="156"/>
      <c r="AG74" s="147">
        <f>AG30*$I$83/4</f>
        <v>-688.64570589230198</v>
      </c>
      <c r="AH74" s="155"/>
      <c r="AI74" s="147">
        <f>SUM(AA74,AC74,AE74,AG74)</f>
        <v>-2076.5728235692081</v>
      </c>
      <c r="AJ74" s="148">
        <f>(AA74+AC74)</f>
        <v>-699.28141178460419</v>
      </c>
      <c r="AK74" s="147">
        <f>(AE74+AG74)</f>
        <v>-1377.291411784604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38440.581809784475</v>
      </c>
      <c r="J76" s="51">
        <f t="shared" si="44"/>
        <v>37762.941886245426</v>
      </c>
      <c r="K76" s="40">
        <f>SUM(K70:K75)</f>
        <v>1.4800236614420834</v>
      </c>
      <c r="L76" s="22">
        <f>SUM(L70:L75)</f>
        <v>1.1174482223525546</v>
      </c>
      <c r="M76" s="24">
        <f>SUM(M70:M75)</f>
        <v>1.1200333544406724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3318.4641260577373</v>
      </c>
      <c r="AB76" s="137"/>
      <c r="AC76" s="153">
        <f>AC65</f>
        <v>2640.4541260577375</v>
      </c>
      <c r="AD76" s="137"/>
      <c r="AE76" s="153">
        <f>AE65</f>
        <v>2640.4541260577375</v>
      </c>
      <c r="AF76" s="137"/>
      <c r="AG76" s="153">
        <f>AG65</f>
        <v>2640.4541260577375</v>
      </c>
      <c r="AH76" s="137"/>
      <c r="AI76" s="153">
        <f>SUM(AA76,AC76,AE76,AG76)</f>
        <v>11239.826504230949</v>
      </c>
      <c r="AJ76" s="154">
        <f>SUM(AA76,AC76)</f>
        <v>5958.9182521154744</v>
      </c>
      <c r="AK76" s="154">
        <f>SUM(AE76,AG76)</f>
        <v>5280.9082521154751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-0.34634559676308385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65.644216492935428</v>
      </c>
      <c r="AB77" s="112"/>
      <c r="AC77" s="111">
        <f>AC31*$I$83/4</f>
        <v>2880.7594474898065</v>
      </c>
      <c r="AD77" s="112"/>
      <c r="AE77" s="111">
        <f>AE31*$I$83/4</f>
        <v>2841.2072516286803</v>
      </c>
      <c r="AF77" s="112"/>
      <c r="AG77" s="111">
        <f>AG31*$I$83/4</f>
        <v>2841.2072516286803</v>
      </c>
      <c r="AH77" s="110"/>
      <c r="AI77" s="154">
        <f>SUM(AA77,AC77,AE77,AG77)</f>
        <v>8628.8181672401024</v>
      </c>
      <c r="AJ77" s="153">
        <f>SUM(AA77,AC77)</f>
        <v>2946.4036639827418</v>
      </c>
      <c r="AK77" s="160">
        <f>SUM(AE77,AG77)</f>
        <v>5682.4145032573606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-10.635705892302212</v>
      </c>
      <c r="AB79" s="112"/>
      <c r="AC79" s="112">
        <f>AA79-AA74+AC65-AC70</f>
        <v>-688.64570589230198</v>
      </c>
      <c r="AD79" s="112"/>
      <c r="AE79" s="112">
        <f>AC79-AC74+AE65-AE70</f>
        <v>-688.64570589230198</v>
      </c>
      <c r="AF79" s="112"/>
      <c r="AG79" s="112">
        <f>AE79-AE74+AG65-AG70</f>
        <v>-688.64570589230198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0.57212121212121214</v>
      </c>
      <c r="I91" s="22">
        <f t="shared" ref="I91:I106" si="54">(D91*H91)</f>
        <v>3.6385899046134949E-2</v>
      </c>
      <c r="J91" s="24">
        <f t="shared" ref="J91:J99" si="55">IF(I$32&lt;=1+I$131,I91,L91+J$33*(I91-L91))</f>
        <v>3.6385899046134949E-2</v>
      </c>
      <c r="K91" s="22">
        <f t="shared" ref="K91:K106" si="56">(B91)</f>
        <v>6.3598234561570613E-2</v>
      </c>
      <c r="L91" s="22">
        <f t="shared" ref="L91:L106" si="57">(K91*H91)</f>
        <v>3.6385899046134949E-2</v>
      </c>
      <c r="M91" s="227">
        <f t="shared" si="49"/>
        <v>3.6385899046134949E-2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0.92484848484848492</v>
      </c>
      <c r="I95" s="22">
        <f t="shared" si="54"/>
        <v>1.5881057335792925E-2</v>
      </c>
      <c r="J95" s="24">
        <f t="shared" si="55"/>
        <v>1.5881057335792925E-2</v>
      </c>
      <c r="K95" s="22">
        <f t="shared" si="56"/>
        <v>1.7171523331624066E-2</v>
      </c>
      <c r="L95" s="22">
        <f t="shared" si="57"/>
        <v>1.5881057335792925E-2</v>
      </c>
      <c r="M95" s="228">
        <f t="shared" si="49"/>
        <v>1.5881057335792925E-2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5.9876119301724838E-2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5.9876119301724838E-2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0.67272727272727284</v>
      </c>
      <c r="I105" s="22">
        <f t="shared" si="54"/>
        <v>0.12920848599836185</v>
      </c>
      <c r="J105" s="24">
        <f>IF(I$32&lt;=1+I131,I105,L105+J$33*(I105-L105))</f>
        <v>0.12920848599836185</v>
      </c>
      <c r="K105" s="22">
        <f t="shared" si="56"/>
        <v>0.19206666837594324</v>
      </c>
      <c r="L105" s="22">
        <f t="shared" si="57"/>
        <v>0.12920848599836185</v>
      </c>
      <c r="M105" s="228">
        <f t="shared" si="49"/>
        <v>0.12920848599836185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0.67272727272727284</v>
      </c>
      <c r="I106" s="22">
        <f t="shared" si="54"/>
        <v>0.38505840198187308</v>
      </c>
      <c r="J106" s="24">
        <f>IF(I$32&lt;=1+I132,I106,L106+J$33*(I106-L106))</f>
        <v>0.38505840198187308</v>
      </c>
      <c r="K106" s="22">
        <f t="shared" si="56"/>
        <v>0.57238411105413556</v>
      </c>
      <c r="L106" s="22">
        <f t="shared" si="57"/>
        <v>0.38505840198187308</v>
      </c>
      <c r="M106" s="228">
        <f>(J106)</f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0.22707603738359636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0.22707603738359636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2.9633371377235367</v>
      </c>
      <c r="J119" s="24">
        <f>SUM(J91:J118)</f>
        <v>2.911098710080481</v>
      </c>
      <c r="K119" s="22">
        <f>SUM(K91:K118)</f>
        <v>4.2885444907410761</v>
      </c>
      <c r="L119" s="22">
        <f>SUM(L91:L118)</f>
        <v>2.9043796470657317</v>
      </c>
      <c r="M119" s="57">
        <f t="shared" si="49"/>
        <v>2.911098710080481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0.20749946225016158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0.27179677743312602</v>
      </c>
      <c r="M126" s="240">
        <f t="shared" si="66"/>
        <v>0.20749946225016158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1.9367923038265964</v>
      </c>
      <c r="J128" s="228">
        <f>(J30)</f>
        <v>0.5050646056573721</v>
      </c>
      <c r="K128" s="29">
        <f>(B128)</f>
        <v>0.71161696139476982</v>
      </c>
      <c r="L128" s="29">
        <f>IF(L124=L119,0,(L119-L124)/(B119-B124)*K128)</f>
        <v>0.43404822745965849</v>
      </c>
      <c r="M128" s="240">
        <f t="shared" si="66"/>
        <v>0.5050646056573721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2.9633371377235367</v>
      </c>
      <c r="J130" s="228">
        <f>(J119)</f>
        <v>2.911098710080481</v>
      </c>
      <c r="K130" s="29">
        <f>(B130)</f>
        <v>4.2885444907410761</v>
      </c>
      <c r="L130" s="29">
        <f>(L119)</f>
        <v>2.9043796470657317</v>
      </c>
      <c r="M130" s="240">
        <f t="shared" si="66"/>
        <v>2.911098710080481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0.90019303084288094</v>
      </c>
      <c r="M131" s="237">
        <f>IF(I131&lt;SUM(M126:M127),0,I131-(SUM(M126:M127)))</f>
        <v>0.96449034602584538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5.9064251245330018E-3</v>
      </c>
      <c r="J7" s="24">
        <f t="shared" si="3"/>
        <v>5.9064251245330018E-3</v>
      </c>
      <c r="K7" s="22">
        <f t="shared" si="4"/>
        <v>1.1812850249066004E-2</v>
      </c>
      <c r="L7" s="22">
        <f t="shared" si="5"/>
        <v>5.9064251245330018E-3</v>
      </c>
      <c r="M7" s="224">
        <f t="shared" si="6"/>
        <v>5.9064251245330018E-3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3837.3928987798586</v>
      </c>
      <c r="T7" s="222">
        <f>IF($B$81=0,0,(SUMIF($N$6:$N$28,$U7,M$6:M$28)+SUMIF($N$91:$N$118,$U7,M$91:M$118))*$I$83*Poor!$B$81/$B$81)</f>
        <v>3837.3928987798586</v>
      </c>
      <c r="U7" s="223">
        <v>1</v>
      </c>
      <c r="V7" s="56"/>
      <c r="W7" s="115"/>
      <c r="X7" s="124">
        <v>4</v>
      </c>
      <c r="Y7" s="184">
        <f t="shared" ref="Y7:Y29" si="9">M7*4</f>
        <v>2.3625700498132007E-2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2.3625700498132007E-2</v>
      </c>
      <c r="AH7" s="123">
        <f t="shared" ref="AH7:AH30" si="12">SUM(Z7,AB7,AD7,AF7)</f>
        <v>1</v>
      </c>
      <c r="AI7" s="184">
        <f t="shared" ref="AI7:AI30" si="13">SUM(AA7,AC7,AE7,AG7)/4</f>
        <v>5.9064251245330018E-3</v>
      </c>
      <c r="AJ7" s="120">
        <f t="shared" ref="AJ7:AJ31" si="14">(AA7+AC7)/2</f>
        <v>0</v>
      </c>
      <c r="AK7" s="119">
        <f t="shared" ref="AK7:AK31" si="15">(AE7+AG7)/2</f>
        <v>1.1812850249066004E-2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0.68140090566700895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0.11356681761116816</v>
      </c>
      <c r="AB8" s="125">
        <f>IF($Y8=0,0,AC8/$Y8)</f>
        <v>0.318599094332991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5.3099849055498499E-2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9.4554289726027391E-2</v>
      </c>
      <c r="J9" s="24">
        <f t="shared" si="3"/>
        <v>9.4554289726027391E-2</v>
      </c>
      <c r="K9" s="22">
        <f t="shared" si="4"/>
        <v>8.6747054794520537E-2</v>
      </c>
      <c r="L9" s="22">
        <f t="shared" si="5"/>
        <v>9.4554289726027391E-2</v>
      </c>
      <c r="M9" s="224">
        <f t="shared" si="6"/>
        <v>9.4554289726027391E-2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76.618490455458769</v>
      </c>
      <c r="T9" s="222">
        <f>IF($B$81=0,0,(SUMIF($N$6:$N$28,$U9,M$6:M$28)+SUMIF($N$91:$N$118,$U9,M$91:M$118))*$I$83*Poor!$B$81/$B$81)</f>
        <v>76.618490455458769</v>
      </c>
      <c r="U9" s="223">
        <v>3</v>
      </c>
      <c r="V9" s="56"/>
      <c r="W9" s="115"/>
      <c r="X9" s="124">
        <v>1</v>
      </c>
      <c r="Y9" s="184">
        <f t="shared" si="9"/>
        <v>0.37821715890410956</v>
      </c>
      <c r="Z9" s="125">
        <f>IF($Y9=0,0,AA9/$Y9)</f>
        <v>0.68140090566700906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0.25771751461606335</v>
      </c>
      <c r="AB9" s="125">
        <f>IF($Y9=0,0,AC9/$Y9)</f>
        <v>0.31859909433299088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0.12049964428804621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9.4554289726027391E-2</v>
      </c>
      <c r="AJ9" s="120">
        <f t="shared" si="14"/>
        <v>0.18910857945205478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0.68140090566700906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9.6635852157196056E-2</v>
      </c>
      <c r="AB10" s="125">
        <f>IF($Y10=0,0,AC10/$Y10)</f>
        <v>0.31859909433299094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4.5183525177797723E-2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2756.5480000000002</v>
      </c>
      <c r="T11" s="222">
        <f>IF($B$81=0,0,(SUMIF($N$6:$N$28,$U11,M$6:M$28)+SUMIF($N$91:$N$118,$U11,M$91:M$118))*$I$83*Poor!$B$81/$B$81)</f>
        <v>2756.5480000000002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0.68140090566700906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0.18065930449240511</v>
      </c>
      <c r="AB11" s="125">
        <f>IF($Y11=0,0,AC11/$Y11)</f>
        <v>0.318599094332991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8.4469935856287287E-2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774.88643971107058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13375.500000000002</v>
      </c>
      <c r="T13" s="222">
        <f>IF($B$81=0,0,(SUMIF($N$6:$N$28,$U13,M$6:M$28)+SUMIF($N$91:$N$118,$U13,M$91:M$118))*$I$83*Poor!$B$81/$B$81)</f>
        <v>13375.500000000002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3.566900784021303E-5</v>
      </c>
      <c r="K16" s="22">
        <f t="shared" si="4"/>
        <v>0</v>
      </c>
      <c r="L16" s="22">
        <f t="shared" si="5"/>
        <v>0</v>
      </c>
      <c r="M16" s="224">
        <f t="shared" si="6"/>
        <v>3.566900784021303E-5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3346.7943482954338</v>
      </c>
      <c r="U16" s="223">
        <v>10</v>
      </c>
      <c r="V16" s="56"/>
      <c r="W16" s="110"/>
      <c r="X16" s="118"/>
      <c r="Y16" s="184">
        <f t="shared" si="9"/>
        <v>1.4267603136085212E-4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1.4267603136085212E-4</v>
      </c>
      <c r="AH16" s="123">
        <f t="shared" si="12"/>
        <v>1</v>
      </c>
      <c r="AI16" s="184">
        <f t="shared" si="13"/>
        <v>3.566900784021303E-5</v>
      </c>
      <c r="AJ16" s="120">
        <f t="shared" si="14"/>
        <v>0</v>
      </c>
      <c r="AK16" s="119">
        <f t="shared" si="15"/>
        <v>7.1338015680426061E-5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54168.81619863159</v>
      </c>
      <c r="T23" s="179">
        <f>SUM(T7:T22)</f>
        <v>54255.296986638088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2.8895957508115411E-2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2.8895957508115411E-2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0.11558383003246164</v>
      </c>
      <c r="Z27" s="116">
        <v>0.25</v>
      </c>
      <c r="AA27" s="121">
        <f t="shared" si="16"/>
        <v>2.8895957508115411E-2</v>
      </c>
      <c r="AB27" s="116">
        <v>0.25</v>
      </c>
      <c r="AC27" s="121">
        <f t="shared" si="7"/>
        <v>2.8895957508115411E-2</v>
      </c>
      <c r="AD27" s="116">
        <v>0.25</v>
      </c>
      <c r="AE27" s="121">
        <f t="shared" si="8"/>
        <v>2.8895957508115411E-2</v>
      </c>
      <c r="AF27" s="122">
        <f t="shared" si="10"/>
        <v>0.25</v>
      </c>
      <c r="AG27" s="121">
        <f t="shared" si="11"/>
        <v>2.8895957508115411E-2</v>
      </c>
      <c r="AH27" s="123">
        <f t="shared" si="12"/>
        <v>1</v>
      </c>
      <c r="AI27" s="184">
        <f t="shared" si="13"/>
        <v>2.8895957508115411E-2</v>
      </c>
      <c r="AJ27" s="120">
        <f t="shared" si="14"/>
        <v>2.8895957508115411E-2</v>
      </c>
      <c r="AK27" s="119">
        <f t="shared" si="15"/>
        <v>2.8895957508115411E-2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0.18301458466923365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0.18301458466923365</v>
      </c>
      <c r="N29" s="229"/>
      <c r="P29" s="22"/>
      <c r="V29" s="56"/>
      <c r="W29" s="110"/>
      <c r="X29" s="118"/>
      <c r="Y29" s="184">
        <f t="shared" si="9"/>
        <v>0.73205833867693459</v>
      </c>
      <c r="Z29" s="116">
        <v>0.25</v>
      </c>
      <c r="AA29" s="121">
        <f t="shared" si="16"/>
        <v>0.18301458466923365</v>
      </c>
      <c r="AB29" s="116">
        <v>0.25</v>
      </c>
      <c r="AC29" s="121">
        <f t="shared" si="7"/>
        <v>0.18301458466923365</v>
      </c>
      <c r="AD29" s="116">
        <v>0.25</v>
      </c>
      <c r="AE29" s="121">
        <f t="shared" si="8"/>
        <v>0.18301458466923365</v>
      </c>
      <c r="AF29" s="122">
        <f t="shared" si="10"/>
        <v>0.25</v>
      </c>
      <c r="AG29" s="121">
        <f t="shared" si="11"/>
        <v>0.18301458466923365</v>
      </c>
      <c r="AH29" s="123">
        <f t="shared" si="12"/>
        <v>1</v>
      </c>
      <c r="AI29" s="184">
        <f t="shared" si="13"/>
        <v>0.18301458466923365</v>
      </c>
      <c r="AJ29" s="120">
        <f t="shared" si="14"/>
        <v>0.18301458466923365</v>
      </c>
      <c r="AK29" s="119">
        <f t="shared" si="15"/>
        <v>0.18301458466923365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2.8310126213170235</v>
      </c>
      <c r="J30" s="231">
        <f>IF(I$32&lt;=1,I30,1-SUM(J6:J29))</f>
        <v>0.40467928393084385</v>
      </c>
      <c r="K30" s="22">
        <f t="shared" si="4"/>
        <v>0.64870199252802008</v>
      </c>
      <c r="L30" s="22">
        <f>IF(L124=L119,0,IF(K30="",0,(L119-L124)/(B119-B124)*K30))</f>
        <v>0.40236039381326383</v>
      </c>
      <c r="M30" s="175">
        <f t="shared" si="6"/>
        <v>0.40467928393084385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1.6187171357233754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0.21333346443193285</v>
      </c>
      <c r="AC30" s="188">
        <f>IF(AC79*4/$I$83+SUM(AC6:AC29)&lt;1,AC79*4/$I$83,1-SUM(AC6:AC29))</f>
        <v>0.34532653449920292</v>
      </c>
      <c r="AD30" s="122">
        <f>IF($Y30=0,0,AE30/($Y$30))</f>
        <v>0.40067500032177905</v>
      </c>
      <c r="AE30" s="188">
        <f>IF(AE79*4/$I$83+SUM(AE6:AE29)&lt;1,AE79*4/$I$83,1-SUM(AE6:AE29))</f>
        <v>0.6485794888768327</v>
      </c>
      <c r="AF30" s="122">
        <f>IF($Y30=0,0,AG30/($Y$30))</f>
        <v>0.38599153524628815</v>
      </c>
      <c r="AG30" s="188">
        <f>IF(AG79*4/$I$83+SUM(AG6:AG29)&lt;1,AG79*4/$I$83,1-SUM(AG6:AG29))</f>
        <v>0.62481111234733988</v>
      </c>
      <c r="AH30" s="123">
        <f t="shared" si="12"/>
        <v>1</v>
      </c>
      <c r="AI30" s="184">
        <f t="shared" si="13"/>
        <v>0.40467928393084385</v>
      </c>
      <c r="AJ30" s="120">
        <f t="shared" si="14"/>
        <v>0.17266326724960146</v>
      </c>
      <c r="AK30" s="119">
        <f t="shared" si="15"/>
        <v>0.63669530061208635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3.834972411112969E-3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3.4397069876813786</v>
      </c>
      <c r="J32" s="17"/>
      <c r="L32" s="22">
        <f>SUM(L6:L30)</f>
        <v>0.99616502758888703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8957.883239691655</v>
      </c>
      <c r="T32" s="234">
        <f t="shared" si="50"/>
        <v>8871.4024516851568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0.10182065288938147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2454.4</v>
      </c>
      <c r="J37" s="38">
        <f t="shared" ref="J37:J49" si="53">J91*I$83</f>
        <v>2454.3999999999996</v>
      </c>
      <c r="K37" s="40">
        <f t="shared" ref="K37:K49" si="54">(B37/B$65)</f>
        <v>5.833532305516697E-2</v>
      </c>
      <c r="L37" s="22">
        <f t="shared" ref="L37:L49" si="55">(K37*H37)</f>
        <v>5.5068544964077613E-2</v>
      </c>
      <c r="M37" s="24">
        <f t="shared" ref="M37:M49" si="56">J37/B$65</f>
        <v>5.5068544964077613E-2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2454.3999999999996</v>
      </c>
      <c r="AH37" s="123">
        <f>SUM(Z37,AB37,AD37,AF37)</f>
        <v>1</v>
      </c>
      <c r="AI37" s="112">
        <f>SUM(AA37,AC37,AE37,AG37)</f>
        <v>2454.3999999999996</v>
      </c>
      <c r="AJ37" s="148">
        <f>(AA37+AC37)</f>
        <v>0</v>
      </c>
      <c r="AK37" s="147">
        <f>(AE37+AG37)</f>
        <v>2454.3999999999996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0.68140090566700895</v>
      </c>
      <c r="AA39" s="147">
        <f t="shared" ref="AA39:AA64" si="64">$J39*Z39</f>
        <v>0</v>
      </c>
      <c r="AB39" s="122">
        <f>AB8</f>
        <v>0.318599094332991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0.68140090566700906</v>
      </c>
      <c r="AA40" s="147">
        <f t="shared" si="64"/>
        <v>0</v>
      </c>
      <c r="AB40" s="122">
        <f>AB9</f>
        <v>0.31859909433299088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302.14800000000002</v>
      </c>
      <c r="J41" s="38">
        <f t="shared" si="53"/>
        <v>302.14800000000002</v>
      </c>
      <c r="K41" s="40">
        <f t="shared" si="54"/>
        <v>4.4424592172781002E-3</v>
      </c>
      <c r="L41" s="22">
        <f t="shared" si="55"/>
        <v>6.779192765566381E-3</v>
      </c>
      <c r="M41" s="24">
        <f t="shared" si="56"/>
        <v>6.779192765566381E-3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0.68140090566700906</v>
      </c>
      <c r="AA41" s="147">
        <f t="shared" si="64"/>
        <v>205.88392084547547</v>
      </c>
      <c r="AB41" s="122">
        <f>AB11</f>
        <v>0.318599094332991</v>
      </c>
      <c r="AC41" s="147">
        <f t="shared" si="65"/>
        <v>96.264079154524566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302.14800000000002</v>
      </c>
      <c r="AJ41" s="148">
        <f t="shared" si="62"/>
        <v>302.14800000000002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774.42373926551522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1.737548423524778E-2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3385.5000000000005</v>
      </c>
      <c r="J51" s="38">
        <f t="shared" si="70"/>
        <v>3385.5000000000005</v>
      </c>
      <c r="K51" s="40">
        <f t="shared" si="71"/>
        <v>6.8431821276253565E-2</v>
      </c>
      <c r="L51" s="22">
        <f t="shared" si="72"/>
        <v>7.595932161664147E-2</v>
      </c>
      <c r="M51" s="24">
        <f t="shared" si="73"/>
        <v>7.5959321616641456E-2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9990</v>
      </c>
      <c r="J52" s="38">
        <f t="shared" si="70"/>
        <v>9990.0000000000018</v>
      </c>
      <c r="K52" s="40">
        <f t="shared" si="71"/>
        <v>0.20192996442173181</v>
      </c>
      <c r="L52" s="22">
        <f t="shared" si="72"/>
        <v>0.22414226050812233</v>
      </c>
      <c r="M52" s="24">
        <f t="shared" si="73"/>
        <v>0.22414226050812236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3346.7943482954338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7.5090895964238902E-2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50040.459809784472</v>
      </c>
      <c r="J65" s="39">
        <f>SUM(J37:J64)</f>
        <v>49281.67789734542</v>
      </c>
      <c r="K65" s="40">
        <f>SUM(K37:K64)</f>
        <v>0.99999999999999989</v>
      </c>
      <c r="L65" s="22">
        <f>SUM(L37:L64)</f>
        <v>1.1037864261214889</v>
      </c>
      <c r="M65" s="24">
        <f>SUM(M37:M64)</f>
        <v>1.1057163849393563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7462.9868732915929</v>
      </c>
      <c r="AB65" s="137"/>
      <c r="AC65" s="153">
        <f>SUM(AC37:AC64)</f>
        <v>7353.3670316006419</v>
      </c>
      <c r="AD65" s="137"/>
      <c r="AE65" s="153">
        <f>SUM(AE37:AE64)</f>
        <v>7257.1029524461173</v>
      </c>
      <c r="AF65" s="137"/>
      <c r="AG65" s="153">
        <f>SUM(AG37:AG64)</f>
        <v>9711.5029524461188</v>
      </c>
      <c r="AH65" s="137"/>
      <c r="AI65" s="153">
        <f>SUM(AI37:AI64)</f>
        <v>31784.959809784468</v>
      </c>
      <c r="AJ65" s="153">
        <f>SUM(AJ37:AJ64)</f>
        <v>14816.353904892236</v>
      </c>
      <c r="AK65" s="153">
        <f>SUM(AK37:AK64)</f>
        <v>16968.605904892236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15512.63534701414</v>
      </c>
      <c r="K72" s="40">
        <f t="shared" si="78"/>
        <v>0.46686207774304395</v>
      </c>
      <c r="L72" s="22">
        <f t="shared" si="76"/>
        <v>0.34679672052126259</v>
      </c>
      <c r="M72" s="24">
        <f t="shared" si="79"/>
        <v>0.34805176707887386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36724.060481984314</v>
      </c>
      <c r="J74" s="51">
        <f t="shared" si="75"/>
        <v>5249.5232225311192</v>
      </c>
      <c r="K74" s="40">
        <f>B74/B$76</f>
        <v>0.11442697983898133</v>
      </c>
      <c r="L74" s="22">
        <f t="shared" si="76"/>
        <v>0.11710686969049551</v>
      </c>
      <c r="M74" s="24">
        <f>J74/B$76</f>
        <v>0.11778178195075154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1119.8989756784479</v>
      </c>
      <c r="AD74" s="156"/>
      <c r="AE74" s="147">
        <f>AE30*$I$83/4</f>
        <v>2103.3527188768426</v>
      </c>
      <c r="AF74" s="156"/>
      <c r="AG74" s="147">
        <f>AG30*$I$83/4</f>
        <v>2026.2715279758286</v>
      </c>
      <c r="AH74" s="155"/>
      <c r="AI74" s="147">
        <f>SUM(AA74,AC74,AE74,AG74)</f>
        <v>5249.5232225311192</v>
      </c>
      <c r="AJ74" s="148">
        <f>(AA74+AC74)</f>
        <v>1119.8989756784479</v>
      </c>
      <c r="AK74" s="147">
        <f>(AE74+AG74)</f>
        <v>4129.6242468526707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8490.0186338618041</v>
      </c>
      <c r="AB75" s="158"/>
      <c r="AC75" s="149">
        <f>AA75+AC65-SUM(AC70,AC74)</f>
        <v>11394.386857833961</v>
      </c>
      <c r="AD75" s="158"/>
      <c r="AE75" s="149">
        <f>AC75+AE65-SUM(AE70,AE74)</f>
        <v>13219.037259453198</v>
      </c>
      <c r="AF75" s="158"/>
      <c r="AG75" s="149">
        <f>IF(SUM(AG6:AG29)+((AG65-AG70-$J$75)*4/I$83)&lt;1,0,AG65-AG70-$J$75-(1-SUM(AG6:AG29))*I$83/4)</f>
        <v>4356.1315925202507</v>
      </c>
      <c r="AH75" s="134"/>
      <c r="AI75" s="149">
        <f>AI76-SUM(AI70,AI74)</f>
        <v>13219.037259453195</v>
      </c>
      <c r="AJ75" s="151">
        <f>AJ76-SUM(AJ70,AJ74)</f>
        <v>7038.2552653137091</v>
      </c>
      <c r="AK75" s="149">
        <f>AJ75+AK76-SUM(AK70,AK74)</f>
        <v>13219.037259453196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50040.459809784465</v>
      </c>
      <c r="J76" s="51">
        <f t="shared" si="75"/>
        <v>49281.67789734542</v>
      </c>
      <c r="K76" s="40">
        <f>SUM(K70:K75)</f>
        <v>1.1441960671538112</v>
      </c>
      <c r="L76" s="22">
        <f>SUM(L70:L75)</f>
        <v>1.1037864261214891</v>
      </c>
      <c r="M76" s="24">
        <f>SUM(M70:M75)</f>
        <v>1.1057163849393565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7462.9868732915929</v>
      </c>
      <c r="AB76" s="137"/>
      <c r="AC76" s="153">
        <f>AC65</f>
        <v>7353.3670316006419</v>
      </c>
      <c r="AD76" s="137"/>
      <c r="AE76" s="153">
        <f>AE65</f>
        <v>7257.1029524461173</v>
      </c>
      <c r="AF76" s="137"/>
      <c r="AG76" s="153">
        <f>AG65</f>
        <v>9711.5029524461188</v>
      </c>
      <c r="AH76" s="137"/>
      <c r="AI76" s="153">
        <f>SUM(AA76,AC76,AE76,AG76)</f>
        <v>31784.959809784472</v>
      </c>
      <c r="AJ76" s="154">
        <f>SUM(AA76,AC76)</f>
        <v>14816.353904892236</v>
      </c>
      <c r="AK76" s="154">
        <f>SUM(AE76,AG76)</f>
        <v>16968.605904892236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15203.119999999997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4356.1315925202507</v>
      </c>
      <c r="AB78" s="112"/>
      <c r="AC78" s="112">
        <f>IF(AA75&lt;0,0,AA75)</f>
        <v>8490.0186338618041</v>
      </c>
      <c r="AD78" s="112"/>
      <c r="AE78" s="112">
        <f>AC75</f>
        <v>11394.386857833961</v>
      </c>
      <c r="AF78" s="112"/>
      <c r="AG78" s="112">
        <f>AE75</f>
        <v>13219.037259453198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8490.0186338618041</v>
      </c>
      <c r="AB79" s="112"/>
      <c r="AC79" s="112">
        <f>AA79-AA74+AC65-AC70</f>
        <v>12514.285833512407</v>
      </c>
      <c r="AD79" s="112"/>
      <c r="AE79" s="112">
        <f>AC79-AC74+AE65-AE70</f>
        <v>15322.389978330037</v>
      </c>
      <c r="AF79" s="112"/>
      <c r="AG79" s="112">
        <f>AE79-AE74+AG65-AG70</f>
        <v>19601.440379949276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0.57212121212121214</v>
      </c>
      <c r="I91" s="22">
        <f t="shared" ref="I91" si="82">(D91*H91)</f>
        <v>0.18920667503990171</v>
      </c>
      <c r="J91" s="24">
        <f>IF(I$32&lt;=1+I$131,I91,L91+J$33*(I91-L91))</f>
        <v>0.18920667503990171</v>
      </c>
      <c r="K91" s="22">
        <f t="shared" ref="K91" si="83">IF(B91="",0,B91)</f>
        <v>0.33071081972016719</v>
      </c>
      <c r="L91" s="22">
        <f t="shared" ref="L91" si="84">(K91*H91)</f>
        <v>0.18920667503990171</v>
      </c>
      <c r="M91" s="227">
        <f t="shared" si="80"/>
        <v>0.18920667503990171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0.57212121212121214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0.92484848484848492</v>
      </c>
      <c r="I95" s="22">
        <f t="shared" si="88"/>
        <v>2.3292217425829626E-2</v>
      </c>
      <c r="J95" s="24">
        <f t="shared" si="89"/>
        <v>2.3292217425829626E-2</v>
      </c>
      <c r="K95" s="22">
        <f t="shared" si="90"/>
        <v>2.5184900886381964E-2</v>
      </c>
      <c r="L95" s="22">
        <f t="shared" si="91"/>
        <v>2.3292217425829626E-2</v>
      </c>
      <c r="M95" s="227">
        <f t="shared" si="92"/>
        <v>2.3292217425829626E-2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5.9699372872553752E-2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5.9699372872553752E-2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0.67272727272727284</v>
      </c>
      <c r="I105" s="22">
        <f t="shared" si="88"/>
        <v>0.2609840280099362</v>
      </c>
      <c r="J105" s="24">
        <f t="shared" si="89"/>
        <v>0.2609840280099362</v>
      </c>
      <c r="K105" s="22">
        <f t="shared" si="90"/>
        <v>0.38794923082558075</v>
      </c>
      <c r="L105" s="22">
        <f t="shared" si="91"/>
        <v>0.2609840280099362</v>
      </c>
      <c r="M105" s="227">
        <f t="shared" si="92"/>
        <v>0.2609840280099362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0.67272727272727284</v>
      </c>
      <c r="I106" s="22">
        <f t="shared" si="88"/>
        <v>0.77011680396374615</v>
      </c>
      <c r="J106" s="24">
        <f t="shared" si="89"/>
        <v>0.77011680396374615</v>
      </c>
      <c r="K106" s="22">
        <f t="shared" si="90"/>
        <v>1.1447682221082711</v>
      </c>
      <c r="L106" s="22">
        <f t="shared" si="91"/>
        <v>0.77011680396374615</v>
      </c>
      <c r="M106" s="227">
        <f t="shared" si="92"/>
        <v>0.77011680396374615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0.25800025696028106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0.25800025696028106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3.8575574552139638</v>
      </c>
      <c r="J119" s="24">
        <f>SUM(J91:J118)</f>
        <v>3.799063891518963</v>
      </c>
      <c r="K119" s="22">
        <f>SUM(K91:K118)</f>
        <v>5.6691349666036501</v>
      </c>
      <c r="L119" s="22">
        <f>SUM(L91:L118)</f>
        <v>3.792432863022916</v>
      </c>
      <c r="M119" s="57">
        <f t="shared" si="80"/>
        <v>3.799063891518963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1.1958499654151717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1.1915378270367052</v>
      </c>
      <c r="M126" s="240">
        <f t="shared" si="93"/>
        <v>1.1958499654151717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2.8310126213170235</v>
      </c>
      <c r="J128" s="228">
        <f>(J30)</f>
        <v>0.40467928393084385</v>
      </c>
      <c r="K128" s="29">
        <f>(B128)</f>
        <v>0.64870199252802008</v>
      </c>
      <c r="L128" s="29">
        <f>IF(L124=L119,0,(L119-L124)/(B119-B124)*K128)</f>
        <v>0.40236039381326383</v>
      </c>
      <c r="M128" s="240">
        <f t="shared" si="93"/>
        <v>0.40467928393084385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3.8575574552139638</v>
      </c>
      <c r="J130" s="228">
        <f>(J119)</f>
        <v>3.799063891518963</v>
      </c>
      <c r="K130" s="29">
        <f>(B130)</f>
        <v>5.6691349666036501</v>
      </c>
      <c r="L130" s="29">
        <f>(L119)</f>
        <v>3.792432863022916</v>
      </c>
      <c r="M130" s="240">
        <f t="shared" si="93"/>
        <v>3.799063891518963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7.5080846824408451E-2</v>
      </c>
      <c r="L6" s="22">
        <f t="shared" ref="L6:L29" si="5">IF(K6="","",K6*H6)</f>
        <v>3.7540423412204225E-2</v>
      </c>
      <c r="M6" s="224">
        <f t="shared" ref="M6:M31" si="6">J6</f>
        <v>3.7540423412204225E-2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4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2.7020197696139482E-2</v>
      </c>
      <c r="J7" s="24">
        <f t="shared" si="3"/>
        <v>2.7020197696139482E-2</v>
      </c>
      <c r="K7" s="22">
        <f t="shared" si="4"/>
        <v>5.4040395392278964E-2</v>
      </c>
      <c r="L7" s="22">
        <f t="shared" si="5"/>
        <v>2.7020197696139482E-2</v>
      </c>
      <c r="M7" s="224">
        <f t="shared" si="6"/>
        <v>2.7020197696139482E-2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3798.7222256385307</v>
      </c>
      <c r="T7" s="222">
        <f>IF($B$81=0,0,(SUMIF($N$6:$N$28,$U7,M$6:M$28)+SUMIF($N$91:$N$118,$U7,M$91:M$118))*$I$83*Poor!$B$81/$B$81)</f>
        <v>3798.7222256385307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0.10808079078455793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0.10808079078455793</v>
      </c>
      <c r="AH7" s="123">
        <f t="shared" ref="AH7:AH30" si="12">SUM(Z7,AB7,AD7,AF7)</f>
        <v>1</v>
      </c>
      <c r="AI7" s="184">
        <f t="shared" ref="AI7:AI30" si="13">SUM(AA7,AC7,AE7,AG7)/4</f>
        <v>2.7020197696139482E-2</v>
      </c>
      <c r="AJ7" s="120">
        <f t="shared" ref="AJ7:AJ31" si="14">(AA7+AC7)/2</f>
        <v>0</v>
      </c>
      <c r="AK7" s="119">
        <f t="shared" ref="AK7:AK31" si="15">(AE7+AG7)/2</f>
        <v>5.4040395392278964E-2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210</v>
      </c>
      <c r="T8" s="222">
        <f>IF($B$81=0,0,(SUMIF($N$6:$N$28,$U8,M$6:M$28)+SUMIF($N$91:$N$118,$U8,M$91:M$118))*$I$83*Poor!$B$81/$B$81)</f>
        <v>210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0.56713230248998936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9.4522050414998227E-2</v>
      </c>
      <c r="AB8" s="125">
        <f>IF($Y8=0,0,AC8/$Y8)</f>
        <v>0.43286769751001059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7.2144616251668431E-2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0.12893766780821914</v>
      </c>
      <c r="J9" s="24">
        <f t="shared" si="3"/>
        <v>0.12893766780821914</v>
      </c>
      <c r="K9" s="22">
        <f t="shared" si="4"/>
        <v>0.11829143835616435</v>
      </c>
      <c r="L9" s="22">
        <f t="shared" si="5"/>
        <v>0.12893766780821914</v>
      </c>
      <c r="M9" s="224">
        <f t="shared" si="6"/>
        <v>0.12893766780821914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837.48413429336836</v>
      </c>
      <c r="T9" s="222">
        <f>IF($B$81=0,0,(SUMIF($N$6:$N$28,$U9,M$6:M$28)+SUMIF($N$91:$N$118,$U9,M$91:M$118))*$I$83*Poor!$B$81/$B$81)</f>
        <v>837.48413429336836</v>
      </c>
      <c r="U9" s="223">
        <v>3</v>
      </c>
      <c r="V9" s="56"/>
      <c r="W9" s="115"/>
      <c r="X9" s="118">
        <f>Poor!X9</f>
        <v>1</v>
      </c>
      <c r="Y9" s="184">
        <f t="shared" si="9"/>
        <v>0.51575067123287655</v>
      </c>
      <c r="Z9" s="125">
        <f>IF($Y9=0,0,AA9/$Y9)</f>
        <v>0.56713230248998925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0.29249886568705874</v>
      </c>
      <c r="AB9" s="125">
        <f>IF($Y9=0,0,AC9/$Y9)</f>
        <v>0.43286769751001075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0.22325180554581781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0.12893766780821914</v>
      </c>
      <c r="AJ9" s="120">
        <f t="shared" si="14"/>
        <v>0.25787533561643827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0.56713230248998936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8.0430350005691625E-2</v>
      </c>
      <c r="AB10" s="125">
        <f>IF($Y10=0,0,AC10/$Y10)</f>
        <v>0.4328676975100107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6.1389027329302154E-2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8082.2</v>
      </c>
      <c r="T11" s="222">
        <f>IF($B$81=0,0,(SUMIF($N$6:$N$28,$U11,M$6:M$28)+SUMIF($N$91:$N$118,$U11,M$91:M$118))*$I$83*Poor!$B$81/$B$81)</f>
        <v>8074.2063284616133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0.56713230248998936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3.1743375268790432E-2</v>
      </c>
      <c r="AB11" s="125">
        <f>IF($Y11=0,0,AC11/$Y11)</f>
        <v>0.43286769751001064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2.4228353249266858E-2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2622.2834226389814</v>
      </c>
      <c r="T13" s="222">
        <f>IF($B$81=0,0,(SUMIF($N$6:$N$28,$U13,M$6:M$28)+SUMIF($N$91:$N$118,$U13,M$91:M$118))*$I$83*Poor!$B$81/$B$81)</f>
        <v>2650.5413987994343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33984</v>
      </c>
      <c r="T14" s="222">
        <f>IF($B$81=0,0,(SUMIF($N$6:$N$28,$U14,M$6:M$28)+SUMIF($N$91:$N$118,$U14,M$91:M$118))*$I$83*Poor!$B$81/$B$81)</f>
        <v>33984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2866.0643014342891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0.12046981095748291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0.12046981095748291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0.48187924382993164</v>
      </c>
      <c r="Z17" s="156">
        <f>Poor!Z17</f>
        <v>0.29409999999999997</v>
      </c>
      <c r="AA17" s="121">
        <f t="shared" si="16"/>
        <v>0.14172068561038287</v>
      </c>
      <c r="AB17" s="156">
        <f>Poor!AB17</f>
        <v>0.17649999999999999</v>
      </c>
      <c r="AC17" s="121">
        <f t="shared" si="7"/>
        <v>8.5051686535982926E-2</v>
      </c>
      <c r="AD17" s="156">
        <f>Poor!AD17</f>
        <v>0.23530000000000001</v>
      </c>
      <c r="AE17" s="121">
        <f t="shared" si="8"/>
        <v>0.11338618607318292</v>
      </c>
      <c r="AF17" s="122">
        <f t="shared" si="10"/>
        <v>0.29410000000000003</v>
      </c>
      <c r="AG17" s="121">
        <f t="shared" si="11"/>
        <v>0.1417206856103829</v>
      </c>
      <c r="AH17" s="123">
        <f t="shared" si="12"/>
        <v>1</v>
      </c>
      <c r="AI17" s="184">
        <f t="shared" si="13"/>
        <v>0.12046981095748291</v>
      </c>
      <c r="AJ17" s="120">
        <f t="shared" si="14"/>
        <v>0.1133861860731829</v>
      </c>
      <c r="AK17" s="119">
        <f t="shared" si="15"/>
        <v>0.12755343584178291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95384.620162317718</v>
      </c>
      <c r="T23" s="179">
        <f>SUM(T7:T22)</f>
        <v>95390.948768374074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2.3362909217502004E-2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2.3362909217502004E-2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9.3451636870008015E-2</v>
      </c>
      <c r="Z27" s="156">
        <f>Poor!Z27</f>
        <v>0.25</v>
      </c>
      <c r="AA27" s="121">
        <f t="shared" si="16"/>
        <v>2.3362909217502004E-2</v>
      </c>
      <c r="AB27" s="156">
        <f>Poor!AB27</f>
        <v>0.25</v>
      </c>
      <c r="AC27" s="121">
        <f t="shared" si="7"/>
        <v>2.3362909217502004E-2</v>
      </c>
      <c r="AD27" s="156">
        <f>Poor!AD27</f>
        <v>0.25</v>
      </c>
      <c r="AE27" s="121">
        <f t="shared" si="8"/>
        <v>2.3362909217502004E-2</v>
      </c>
      <c r="AF27" s="122">
        <f t="shared" si="10"/>
        <v>0.25</v>
      </c>
      <c r="AG27" s="121">
        <f t="shared" si="11"/>
        <v>2.3362909217502004E-2</v>
      </c>
      <c r="AH27" s="123">
        <f t="shared" si="12"/>
        <v>1</v>
      </c>
      <c r="AI27" s="184">
        <f t="shared" si="13"/>
        <v>2.3362909217502004E-2</v>
      </c>
      <c r="AJ27" s="120">
        <f t="shared" si="14"/>
        <v>2.3362909217502004E-2</v>
      </c>
      <c r="AK27" s="119">
        <f t="shared" si="15"/>
        <v>2.3362909217502004E-2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0.22860902929993474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0.22860902929993474</v>
      </c>
      <c r="N29" s="229"/>
      <c r="P29" s="22"/>
      <c r="V29" s="56"/>
      <c r="W29" s="110"/>
      <c r="X29" s="118"/>
      <c r="Y29" s="184">
        <f t="shared" si="9"/>
        <v>0.91443611719973894</v>
      </c>
      <c r="Z29" s="156">
        <f>Poor!Z29</f>
        <v>0.25</v>
      </c>
      <c r="AA29" s="121">
        <f t="shared" si="16"/>
        <v>0.22860902929993474</v>
      </c>
      <c r="AB29" s="156">
        <f>Poor!AB29</f>
        <v>0.25</v>
      </c>
      <c r="AC29" s="121">
        <f t="shared" si="7"/>
        <v>0.22860902929993474</v>
      </c>
      <c r="AD29" s="156">
        <f>Poor!AD29</f>
        <v>0.25</v>
      </c>
      <c r="AE29" s="121">
        <f t="shared" si="8"/>
        <v>0.22860902929993474</v>
      </c>
      <c r="AF29" s="122">
        <f t="shared" si="10"/>
        <v>0.25</v>
      </c>
      <c r="AG29" s="121">
        <f t="shared" si="11"/>
        <v>0.22860902929993474</v>
      </c>
      <c r="AH29" s="123">
        <f t="shared" si="12"/>
        <v>1</v>
      </c>
      <c r="AI29" s="184">
        <f t="shared" si="13"/>
        <v>0.22860902929993474</v>
      </c>
      <c r="AJ29" s="120">
        <f t="shared" si="14"/>
        <v>0.22860902929993474</v>
      </c>
      <c r="AK29" s="119">
        <f t="shared" si="15"/>
        <v>0.22860902929993474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5.9207205118695789</v>
      </c>
      <c r="J30" s="231">
        <f>IF(I$32&lt;=1,I30,1-SUM(J6:J29))</f>
        <v>0.27015880864048092</v>
      </c>
      <c r="K30" s="22">
        <f t="shared" si="4"/>
        <v>0.61046637608966381</v>
      </c>
      <c r="L30" s="22">
        <f>IF(L124=L119,0,IF(K30="",0,(L119-L124)/(B119-B124)*K30))</f>
        <v>0.35546242395835553</v>
      </c>
      <c r="M30" s="175">
        <f t="shared" si="6"/>
        <v>0.27015880864048092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1.0806352345619237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0.15625420384592098</v>
      </c>
      <c r="AC30" s="188">
        <f>IF(AC79*4/$I$84+SUM(AC6:AC29)&lt;1,AC79*4/$I$84,1-SUM(AC6:AC29))</f>
        <v>0.16885379822432345</v>
      </c>
      <c r="AD30" s="122">
        <f>IF($Y30=0,0,AE30/($Y$30))</f>
        <v>0.48400672240869391</v>
      </c>
      <c r="AE30" s="188">
        <f>IF(AE79*4/$I$84+SUM(AE6:AE29)&lt;1,AE79*4/$I$84,1-SUM(AE6:AE29))</f>
        <v>0.52303471799966683</v>
      </c>
      <c r="AF30" s="122">
        <f>IF($Y30=0,0,AG30/($Y$30))</f>
        <v>0.3597390737453855</v>
      </c>
      <c r="AG30" s="188">
        <f>IF(AG79*4/$I$84+SUM(AG6:AG29)&lt;1,AG79*4/$I$84,1-SUM(AG6:AG29))</f>
        <v>0.38874671833793384</v>
      </c>
      <c r="AH30" s="123">
        <f t="shared" si="12"/>
        <v>1.0000000000000004</v>
      </c>
      <c r="AI30" s="184">
        <f t="shared" si="13"/>
        <v>0.27015880864048103</v>
      </c>
      <c r="AJ30" s="120">
        <f t="shared" si="14"/>
        <v>8.4426899112161724E-2</v>
      </c>
      <c r="AK30" s="119">
        <f t="shared" si="15"/>
        <v>0.45589071816880034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-8.2487381409580118E-2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6.5313429277812665</v>
      </c>
      <c r="J32" s="17"/>
      <c r="L32" s="22">
        <f>SUM(L6:L30)</f>
        <v>1.0824873814095801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-2.4193921121025863E-2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1510.3999999999999</v>
      </c>
      <c r="J37" s="38">
        <f>J91*I$83</f>
        <v>1510.3999999999999</v>
      </c>
      <c r="K37" s="40">
        <f>(B37/B$65)</f>
        <v>1.807727319207603E-2</v>
      </c>
      <c r="L37" s="22">
        <f t="shared" ref="L37" si="28">(K37*H37)</f>
        <v>1.706494589331977E-2</v>
      </c>
      <c r="M37" s="24">
        <f>J37/B$65</f>
        <v>1.706494589331977E-2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1510.3999999999999</v>
      </c>
      <c r="AH37" s="123">
        <f>SUM(Z37,AB37,AD37,AF37)</f>
        <v>1</v>
      </c>
      <c r="AI37" s="112">
        <f>SUM(AA37,AC37,AE37,AG37)</f>
        <v>1510.3999999999999</v>
      </c>
      <c r="AJ37" s="148">
        <f>(AA37+AC37)</f>
        <v>0</v>
      </c>
      <c r="AK37" s="147">
        <f>(AE37+AG37)</f>
        <v>1510.3999999999999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4720</v>
      </c>
      <c r="J38" s="38">
        <f t="shared" ref="J38:J64" si="32">J92*I$83</f>
        <v>4720</v>
      </c>
      <c r="K38" s="40">
        <f t="shared" ref="K38:K64" si="33">(B38/B$65)</f>
        <v>5.6491478725237597E-2</v>
      </c>
      <c r="L38" s="22">
        <f t="shared" ref="L38:L64" si="34">(K38*H38)</f>
        <v>5.3327955916624287E-2</v>
      </c>
      <c r="M38" s="24">
        <f t="shared" ref="M38:M64" si="35">J38/B$65</f>
        <v>5.3327955916624294E-2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4720</v>
      </c>
      <c r="AH38" s="123">
        <f t="shared" ref="AH38:AI58" si="37">SUM(Z38,AB38,AD38,AF38)</f>
        <v>1</v>
      </c>
      <c r="AI38" s="112">
        <f t="shared" si="37"/>
        <v>4720</v>
      </c>
      <c r="AJ38" s="148">
        <f t="shared" ref="AJ38:AJ64" si="38">(AA38+AC38)</f>
        <v>0</v>
      </c>
      <c r="AK38" s="147">
        <f t="shared" ref="AK38:AK64" si="39">(AE38+AG38)</f>
        <v>4720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1652</v>
      </c>
      <c r="J39" s="38">
        <f t="shared" si="32"/>
        <v>1313.6063284616127</v>
      </c>
      <c r="K39" s="40">
        <f t="shared" si="33"/>
        <v>1.5817614043066527E-2</v>
      </c>
      <c r="L39" s="22">
        <f t="shared" si="34"/>
        <v>1.49318276566548E-2</v>
      </c>
      <c r="M39" s="24">
        <f t="shared" si="35"/>
        <v>1.4841512791525334E-2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0.56713230248998936</v>
      </c>
      <c r="AA39" s="147">
        <f t="shared" ref="AA39:AA64" si="40">$J39*Z39</f>
        <v>744.98858162585566</v>
      </c>
      <c r="AB39" s="122">
        <f>AB8</f>
        <v>0.43286769751001059</v>
      </c>
      <c r="AC39" s="147">
        <f t="shared" ref="AC39:AC64" si="41">$J39*AB39</f>
        <v>568.61774683575698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1313.6063284616125</v>
      </c>
      <c r="AJ39" s="148">
        <f t="shared" si="38"/>
        <v>1313.6063284616125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377.59999999999997</v>
      </c>
      <c r="J40" s="38">
        <f t="shared" si="32"/>
        <v>377.59999999999997</v>
      </c>
      <c r="K40" s="40">
        <f t="shared" si="33"/>
        <v>4.5193182980190075E-3</v>
      </c>
      <c r="L40" s="22">
        <f t="shared" si="34"/>
        <v>4.2662364733299426E-3</v>
      </c>
      <c r="M40" s="24">
        <f t="shared" si="35"/>
        <v>4.2662364733299426E-3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0.56713230248998925</v>
      </c>
      <c r="AA40" s="147">
        <f t="shared" si="40"/>
        <v>214.14915742021992</v>
      </c>
      <c r="AB40" s="122">
        <f>AB9</f>
        <v>0.43286769751001075</v>
      </c>
      <c r="AC40" s="147">
        <f t="shared" si="41"/>
        <v>163.45084257978004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377.59999999999997</v>
      </c>
      <c r="AJ40" s="148">
        <f t="shared" si="38"/>
        <v>377.59999999999997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152.6</v>
      </c>
      <c r="J41" s="38">
        <f t="shared" si="32"/>
        <v>152.6</v>
      </c>
      <c r="K41" s="40">
        <f t="shared" si="33"/>
        <v>1.1298295745047519E-3</v>
      </c>
      <c r="L41" s="22">
        <f t="shared" si="34"/>
        <v>1.7241199306942514E-3</v>
      </c>
      <c r="M41" s="24">
        <f t="shared" si="35"/>
        <v>1.7241199306942514E-3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0.56713230248998936</v>
      </c>
      <c r="AA41" s="147">
        <f t="shared" si="40"/>
        <v>86.544389359972371</v>
      </c>
      <c r="AB41" s="122">
        <f>AB11</f>
        <v>0.43286769751001064</v>
      </c>
      <c r="AC41" s="147">
        <f t="shared" si="41"/>
        <v>66.055610640027624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152.6</v>
      </c>
      <c r="AJ41" s="148">
        <f t="shared" si="38"/>
        <v>152.6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210</v>
      </c>
      <c r="J45" s="38">
        <f t="shared" si="32"/>
        <v>210</v>
      </c>
      <c r="K45" s="40">
        <f t="shared" si="33"/>
        <v>1.6947443617571279E-3</v>
      </c>
      <c r="L45" s="22">
        <f t="shared" si="34"/>
        <v>2.3726421064599787E-3</v>
      </c>
      <c r="M45" s="24">
        <f t="shared" si="35"/>
        <v>2.3726421064599792E-3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52.5</v>
      </c>
      <c r="AB45" s="156">
        <f>Poor!AB45</f>
        <v>0.25</v>
      </c>
      <c r="AC45" s="147">
        <f t="shared" si="41"/>
        <v>52.5</v>
      </c>
      <c r="AD45" s="156">
        <f>Poor!AD45</f>
        <v>0.25</v>
      </c>
      <c r="AE45" s="147">
        <f t="shared" si="42"/>
        <v>52.5</v>
      </c>
      <c r="AF45" s="122">
        <f t="shared" si="29"/>
        <v>0.25</v>
      </c>
      <c r="AG45" s="147">
        <f t="shared" si="36"/>
        <v>52.5</v>
      </c>
      <c r="AH45" s="123">
        <f t="shared" si="37"/>
        <v>1</v>
      </c>
      <c r="AI45" s="112">
        <f t="shared" si="37"/>
        <v>210</v>
      </c>
      <c r="AJ45" s="148">
        <f t="shared" si="38"/>
        <v>105</v>
      </c>
      <c r="AK45" s="147">
        <f t="shared" si="39"/>
        <v>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1087.8000000000002</v>
      </c>
      <c r="J51" s="38">
        <f t="shared" si="32"/>
        <v>1087.8</v>
      </c>
      <c r="K51" s="40">
        <f t="shared" si="33"/>
        <v>1.1072329830146568E-2</v>
      </c>
      <c r="L51" s="22">
        <f t="shared" si="34"/>
        <v>1.2290286111462692E-2</v>
      </c>
      <c r="M51" s="24">
        <f t="shared" si="35"/>
        <v>1.2290286111462691E-2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271.95</v>
      </c>
      <c r="AB51" s="156">
        <f>Poor!AB56</f>
        <v>0.25</v>
      </c>
      <c r="AC51" s="147">
        <f t="shared" si="41"/>
        <v>271.95</v>
      </c>
      <c r="AD51" s="156">
        <f>Poor!AD56</f>
        <v>0.25</v>
      </c>
      <c r="AE51" s="147">
        <f t="shared" si="42"/>
        <v>271.95</v>
      </c>
      <c r="AF51" s="122">
        <f t="shared" si="29"/>
        <v>0.25</v>
      </c>
      <c r="AG51" s="147">
        <f t="shared" si="36"/>
        <v>271.95</v>
      </c>
      <c r="AH51" s="123">
        <f t="shared" si="37"/>
        <v>1</v>
      </c>
      <c r="AI51" s="112">
        <f t="shared" si="37"/>
        <v>1087.8</v>
      </c>
      <c r="AJ51" s="148">
        <f t="shared" si="38"/>
        <v>543.9</v>
      </c>
      <c r="AK51" s="147">
        <f t="shared" si="39"/>
        <v>543.9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0.40673864682171068</v>
      </c>
      <c r="L53" s="22">
        <f t="shared" si="34"/>
        <v>0.38396128259969486</v>
      </c>
      <c r="M53" s="24">
        <f t="shared" si="35"/>
        <v>0.38396128259969492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2866.0643014342891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3.2381642101927621E-2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90120.33037974684</v>
      </c>
      <c r="J65" s="39">
        <f>SUM(J37:J64)</f>
        <v>89192.001009642743</v>
      </c>
      <c r="K65" s="40">
        <f>SUM(K37:K64)</f>
        <v>0.99999999999999978</v>
      </c>
      <c r="L65" s="22">
        <f>SUM(L37:L64)</f>
        <v>1.0079653700084592</v>
      </c>
      <c r="M65" s="24">
        <f>SUM(M37:M64)</f>
        <v>1.0077176054995207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8030.1321284060487</v>
      </c>
      <c r="AB65" s="137"/>
      <c r="AC65" s="153">
        <f>SUM(AC37:AC64)</f>
        <v>7782.5742000555656</v>
      </c>
      <c r="AD65" s="137"/>
      <c r="AE65" s="153">
        <f>SUM(AE37:AE64)</f>
        <v>6984.4500000000007</v>
      </c>
      <c r="AF65" s="137"/>
      <c r="AG65" s="153">
        <f>SUM(AG37:AG64)</f>
        <v>13214.85</v>
      </c>
      <c r="AH65" s="137"/>
      <c r="AI65" s="153">
        <f>SUM(AI37:AI64)</f>
        <v>36012.006328461619</v>
      </c>
      <c r="AJ65" s="153">
        <f>SUM(AJ37:AJ64)</f>
        <v>15812.706328461614</v>
      </c>
      <c r="AK65" s="153">
        <f>SUM(AK37:AK64)</f>
        <v>20199.300000000003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26455.600000000002</v>
      </c>
      <c r="K73" s="40">
        <f>B73/B$76</f>
        <v>0.25330779060396541</v>
      </c>
      <c r="L73" s="22">
        <f t="shared" si="45"/>
        <v>0.29890319291267925</v>
      </c>
      <c r="M73" s="24">
        <f>J73/B$76</f>
        <v>0.29890319291267919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76803.931051946682</v>
      </c>
      <c r="J74" s="51">
        <f t="shared" si="44"/>
        <v>3504.515788290028</v>
      </c>
      <c r="K74" s="40">
        <f>B74/B$76</f>
        <v>5.4225008815229715E-2</v>
      </c>
      <c r="L74" s="22">
        <f t="shared" si="45"/>
        <v>5.209733707784029E-2</v>
      </c>
      <c r="M74" s="24">
        <f>J74/B$76</f>
        <v>3.9595055819289078E-2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986.53420229823416</v>
      </c>
      <c r="AD74" s="156"/>
      <c r="AE74" s="147">
        <f>AE30*$I$84/4</f>
        <v>3055.8485726840727</v>
      </c>
      <c r="AF74" s="156"/>
      <c r="AG74" s="147">
        <f>AG30*$I$84/4</f>
        <v>2271.2662534370215</v>
      </c>
      <c r="AH74" s="155"/>
      <c r="AI74" s="147">
        <f>SUM(AA74,AC74,AE74,AG74)</f>
        <v>6313.6490284193278</v>
      </c>
      <c r="AJ74" s="148">
        <f>(AA74+AC74)</f>
        <v>986.53420229823416</v>
      </c>
      <c r="AK74" s="147">
        <f>(AE74+AG74)</f>
        <v>5327.1148261210947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6158.9258935525595</v>
      </c>
      <c r="K75" s="40">
        <f>B75/B$76</f>
        <v>0.20433886472106502</v>
      </c>
      <c r="L75" s="22">
        <f t="shared" si="45"/>
        <v>5.7330849467575419E-2</v>
      </c>
      <c r="M75" s="24">
        <f>J75/B$76</f>
        <v>6.9585366217187875E-2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7167.145307347876</v>
      </c>
      <c r="AB75" s="158"/>
      <c r="AC75" s="149">
        <f>AA75+AC65-SUM(AC70,AC74)</f>
        <v>10634.08547315517</v>
      </c>
      <c r="AD75" s="158"/>
      <c r="AE75" s="149">
        <f>AC75+AE65-SUM(AE70,AE74)</f>
        <v>11233.587068521058</v>
      </c>
      <c r="AF75" s="158"/>
      <c r="AG75" s="149">
        <f>IF(SUM(AG6:AG29)+((AG65-AG70-$J$75)*4/I$83)&lt;1,0,AG65-AG70-$J$75-(1-SUM(AG6:AG29))*I$83/4)</f>
        <v>2466.1130108918669</v>
      </c>
      <c r="AH75" s="134"/>
      <c r="AI75" s="149">
        <f>AI76-SUM(AI70,AI74)</f>
        <v>16381.957972242126</v>
      </c>
      <c r="AJ75" s="151">
        <f>AJ76-SUM(AJ70,AJ74)</f>
        <v>8167.9724622633012</v>
      </c>
      <c r="AK75" s="149">
        <f>AJ75+AK76-SUM(AK70,AK74)</f>
        <v>16381.957972242129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90120.33037974684</v>
      </c>
      <c r="J76" s="51">
        <f t="shared" si="44"/>
        <v>89192.001009642743</v>
      </c>
      <c r="K76" s="40">
        <f>SUM(K70:K75)</f>
        <v>0.99999999999999978</v>
      </c>
      <c r="L76" s="22">
        <f>SUM(L70:L75)</f>
        <v>1.0079653700084596</v>
      </c>
      <c r="M76" s="24">
        <f>SUM(M70:M75)</f>
        <v>1.0077176054995207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8030.1321284060487</v>
      </c>
      <c r="AB76" s="137"/>
      <c r="AC76" s="153">
        <f>AC65</f>
        <v>7782.5742000555656</v>
      </c>
      <c r="AD76" s="137"/>
      <c r="AE76" s="153">
        <f>AE65</f>
        <v>6984.4500000000007</v>
      </c>
      <c r="AF76" s="137"/>
      <c r="AG76" s="153">
        <f>AG65</f>
        <v>13214.85</v>
      </c>
      <c r="AH76" s="137"/>
      <c r="AI76" s="153">
        <f>SUM(AA76,AC76,AE76,AG76)</f>
        <v>36012.006328461612</v>
      </c>
      <c r="AJ76" s="154">
        <f>SUM(AA76,AC76)</f>
        <v>15812.706328461614</v>
      </c>
      <c r="AK76" s="154">
        <f>SUM(AE76,AG76)</f>
        <v>20199.300000000003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15203.120000000015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2466.1130108918669</v>
      </c>
      <c r="AB78" s="112"/>
      <c r="AC78" s="112">
        <f>IF(AA75&lt;0,0,AA75)</f>
        <v>7167.145307347876</v>
      </c>
      <c r="AD78" s="112"/>
      <c r="AE78" s="112">
        <f>AC75</f>
        <v>10634.08547315517</v>
      </c>
      <c r="AF78" s="112"/>
      <c r="AG78" s="112">
        <f>AE75</f>
        <v>11233.587068521058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7167.145307347876</v>
      </c>
      <c r="AB79" s="112"/>
      <c r="AC79" s="112">
        <f>AA79-AA74+AC65-AC70</f>
        <v>11620.619675453403</v>
      </c>
      <c r="AD79" s="112"/>
      <c r="AE79" s="112">
        <f>AC79-AC74+AE65-AE70</f>
        <v>14289.435641205131</v>
      </c>
      <c r="AF79" s="112"/>
      <c r="AG79" s="112">
        <f>AE79-AE74+AG65-AG70</f>
        <v>21119.33723657102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0.57212121212121214</v>
      </c>
      <c r="I91" s="22">
        <f t="shared" ref="I91" si="52">(D91*H91)</f>
        <v>0.11643487694763183</v>
      </c>
      <c r="J91" s="24">
        <f>IF(I$32&lt;=1+I$131,I91,L91+J$33*(I91-L91))</f>
        <v>0.11643487694763183</v>
      </c>
      <c r="K91" s="22">
        <f t="shared" ref="K91" si="53">(B91)</f>
        <v>0.20351435059702597</v>
      </c>
      <c r="L91" s="22">
        <f t="shared" ref="L91" si="54">(K91*H91)</f>
        <v>0.11643487694763183</v>
      </c>
      <c r="M91" s="227">
        <f t="shared" si="49"/>
        <v>0.11643487694763183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0.57212121212121214</v>
      </c>
      <c r="I92" s="22">
        <f t="shared" ref="I92:I118" si="58">(D92*H92)</f>
        <v>0.36385899046134945</v>
      </c>
      <c r="J92" s="24">
        <f t="shared" ref="J92:J118" si="59">IF(I$32&lt;=1+I$131,I92,L92+J$33*(I92-L92))</f>
        <v>0.36385899046134945</v>
      </c>
      <c r="K92" s="22">
        <f t="shared" ref="K92:K118" si="60">(B92)</f>
        <v>0.6359823456157061</v>
      </c>
      <c r="L92" s="22">
        <f t="shared" ref="L92:L118" si="61">(K92*H92)</f>
        <v>0.36385899046134945</v>
      </c>
      <c r="M92" s="227">
        <f t="shared" ref="M92:M118" si="62">(J92)</f>
        <v>0.36385899046134945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0.57212121212121214</v>
      </c>
      <c r="I93" s="22">
        <f t="shared" si="58"/>
        <v>0.12735064666147231</v>
      </c>
      <c r="J93" s="24">
        <f t="shared" si="59"/>
        <v>0.10126429502916998</v>
      </c>
      <c r="K93" s="22">
        <f t="shared" si="60"/>
        <v>0.17807505677239771</v>
      </c>
      <c r="L93" s="22">
        <f t="shared" si="61"/>
        <v>0.10188051732917784</v>
      </c>
      <c r="M93" s="227">
        <f t="shared" si="62"/>
        <v>0.10126429502916998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0.57212121212121214</v>
      </c>
      <c r="I94" s="22">
        <f t="shared" si="58"/>
        <v>2.9108719236907957E-2</v>
      </c>
      <c r="J94" s="24">
        <f t="shared" si="59"/>
        <v>2.9108719236907957E-2</v>
      </c>
      <c r="K94" s="22">
        <f t="shared" si="60"/>
        <v>5.0878587649256492E-2</v>
      </c>
      <c r="L94" s="22">
        <f t="shared" si="61"/>
        <v>2.9108719236907957E-2</v>
      </c>
      <c r="M94" s="227">
        <f t="shared" si="62"/>
        <v>2.9108719236907957E-2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0.92484848484848492</v>
      </c>
      <c r="I95" s="22">
        <f t="shared" si="58"/>
        <v>1.1763746174661426E-2</v>
      </c>
      <c r="J95" s="24">
        <f t="shared" si="59"/>
        <v>1.1763746174661426E-2</v>
      </c>
      <c r="K95" s="22">
        <f t="shared" si="60"/>
        <v>1.2719646912314123E-2</v>
      </c>
      <c r="L95" s="22">
        <f t="shared" si="61"/>
        <v>1.1763746174661426E-2</v>
      </c>
      <c r="M95" s="227">
        <f t="shared" si="62"/>
        <v>1.1763746174661426E-2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0.84848484848484851</v>
      </c>
      <c r="I99" s="22">
        <f t="shared" si="58"/>
        <v>1.6188641524763431E-2</v>
      </c>
      <c r="J99" s="24">
        <f t="shared" si="59"/>
        <v>1.6188641524763431E-2</v>
      </c>
      <c r="K99" s="22">
        <f t="shared" si="60"/>
        <v>1.9079470368471185E-2</v>
      </c>
      <c r="L99" s="22">
        <f t="shared" si="61"/>
        <v>1.6188641524763431E-2</v>
      </c>
      <c r="M99" s="227">
        <f t="shared" si="62"/>
        <v>1.6188641524763431E-2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0.67272727272727284</v>
      </c>
      <c r="I105" s="22">
        <f t="shared" si="58"/>
        <v>8.3857163098274567E-2</v>
      </c>
      <c r="J105" s="24">
        <f t="shared" si="59"/>
        <v>8.3857163098274567E-2</v>
      </c>
      <c r="K105" s="22">
        <f t="shared" si="60"/>
        <v>0.1246525397406784</v>
      </c>
      <c r="L105" s="22">
        <f t="shared" si="61"/>
        <v>8.3857163098274567E-2</v>
      </c>
      <c r="M105" s="227">
        <f t="shared" si="62"/>
        <v>8.3857163098274567E-2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0.57212121212121214</v>
      </c>
      <c r="I107" s="22">
        <f t="shared" si="58"/>
        <v>2.6197847313217162</v>
      </c>
      <c r="J107" s="24">
        <f t="shared" si="59"/>
        <v>2.6197847313217162</v>
      </c>
      <c r="K107" s="22">
        <f t="shared" si="60"/>
        <v>4.5790728884330845</v>
      </c>
      <c r="L107" s="22">
        <f t="shared" si="61"/>
        <v>2.6197847313217162</v>
      </c>
      <c r="M107" s="227">
        <f t="shared" si="62"/>
        <v>2.6197847313217162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0.22094136934686298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0.22094136934686298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6.9472653457665192</v>
      </c>
      <c r="J119" s="24">
        <f>SUM(J91:J118)</f>
        <v>6.875701577244973</v>
      </c>
      <c r="K119" s="22">
        <f>SUM(K91:K118)</f>
        <v>11.258022625128781</v>
      </c>
      <c r="L119" s="22">
        <f>SUM(L91:L118)</f>
        <v>6.8773920853948738</v>
      </c>
      <c r="M119" s="57">
        <f t="shared" si="49"/>
        <v>6.875701577244973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2.0394296415358641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2.0394296415358641</v>
      </c>
      <c r="M127" s="57">
        <f t="shared" si="63"/>
        <v>2.0394296415358641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5.9207205118695789</v>
      </c>
      <c r="J128" s="228">
        <f>(J30)</f>
        <v>0.27015880864048092</v>
      </c>
      <c r="K128" s="22">
        <f>(B128)</f>
        <v>0.61046637608966381</v>
      </c>
      <c r="L128" s="22">
        <f>IF(L124=L119,0,(L119-L124)/(B119-B124)*K128)</f>
        <v>0.35546242395835553</v>
      </c>
      <c r="M128" s="57">
        <f t="shared" si="63"/>
        <v>0.27015880864048092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0.47478401651574131</v>
      </c>
      <c r="K129" s="29">
        <f>(B129)</f>
        <v>2.3004515622228796</v>
      </c>
      <c r="L129" s="60">
        <f>IF(SUM(L124:L128)&gt;L130,0,L130-SUM(L124:L128))</f>
        <v>0.39117090934776755</v>
      </c>
      <c r="M129" s="57">
        <f t="shared" si="63"/>
        <v>0.47478401651574131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6.9472653457665192</v>
      </c>
      <c r="J130" s="228">
        <f>(J119)</f>
        <v>6.875701577244973</v>
      </c>
      <c r="K130" s="22">
        <f>(B130)</f>
        <v>11.258022625128781</v>
      </c>
      <c r="L130" s="22">
        <f>(L119)</f>
        <v>6.8773920853948738</v>
      </c>
      <c r="M130" s="57">
        <f t="shared" si="63"/>
        <v>6.875701577244973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4.5048508094645084E-2</v>
      </c>
      <c r="J6" s="24">
        <f t="shared" ref="J6:J13" si="3">IF(I$32&lt;=1+I$131,I6,B6*H6+J$33*(I6-B6*H6))</f>
        <v>4.5048508094645084E-2</v>
      </c>
      <c r="K6" s="22">
        <f t="shared" ref="K6:K31" si="4">B6</f>
        <v>9.0097016189290169E-2</v>
      </c>
      <c r="L6" s="22">
        <f t="shared" ref="L6:L29" si="5">IF(K6="","",K6*H6)</f>
        <v>4.5048508094645084E-2</v>
      </c>
      <c r="M6" s="177">
        <f t="shared" ref="M6:M31" si="6">J6</f>
        <v>4.5048508094645084E-2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0.18019403237858034</v>
      </c>
      <c r="Z6" s="156">
        <f>Poor!Z6</f>
        <v>0.17</v>
      </c>
      <c r="AA6" s="121">
        <f>$M6*Z6*4</f>
        <v>3.063298550435866E-2</v>
      </c>
      <c r="AB6" s="156">
        <f>Poor!AB6</f>
        <v>0.17</v>
      </c>
      <c r="AC6" s="121">
        <f t="shared" ref="AC6:AC29" si="7">$M6*AB6*4</f>
        <v>3.063298550435866E-2</v>
      </c>
      <c r="AD6" s="156">
        <f>Poor!AD6</f>
        <v>0.33</v>
      </c>
      <c r="AE6" s="121">
        <f t="shared" ref="AE6:AE29" si="8">$M6*AD6*4</f>
        <v>5.9464030684931515E-2</v>
      </c>
      <c r="AF6" s="122">
        <f>1-SUM(Z6,AB6,AD6)</f>
        <v>0.32999999999999996</v>
      </c>
      <c r="AG6" s="121">
        <f>$M6*AF6*4</f>
        <v>5.9464030684931501E-2</v>
      </c>
      <c r="AH6" s="123">
        <f>SUM(Z6,AB6,AD6,AF6)</f>
        <v>1</v>
      </c>
      <c r="AI6" s="184">
        <f>SUM(AA6,AC6,AE6,AG6)/4</f>
        <v>4.5048508094645084E-2</v>
      </c>
      <c r="AJ6" s="120">
        <f>(AA6+AC6)/2</f>
        <v>3.063298550435866E-2</v>
      </c>
      <c r="AK6" s="119">
        <f>(AE6+AG6)/2</f>
        <v>5.9464030684931508E-2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6.4848474470734746E-2</v>
      </c>
      <c r="J7" s="24">
        <f t="shared" si="3"/>
        <v>6.4848474470734746E-2</v>
      </c>
      <c r="K7" s="22">
        <f t="shared" si="4"/>
        <v>0.12969694894146949</v>
      </c>
      <c r="L7" s="22">
        <f t="shared" si="5"/>
        <v>6.4848474470734746E-2</v>
      </c>
      <c r="M7" s="177">
        <f t="shared" si="6"/>
        <v>6.4848474470734746E-2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5838.2341559801262</v>
      </c>
      <c r="T7" s="222">
        <f>IF($B$81=0,0,(SUMIF($N$6:$N$28,$U7,M$6:M$28)+SUMIF($N$91:$N$118,$U7,M$91:M$118))*$I$83*Poor!$B$81/$B$81)</f>
        <v>5766.4227043623569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0.25939389788293898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0.25939389788293898</v>
      </c>
      <c r="AH7" s="123">
        <f t="shared" ref="AH7:AH30" si="12">SUM(Z7,AB7,AD7,AF7)</f>
        <v>1</v>
      </c>
      <c r="AI7" s="184">
        <f t="shared" ref="AI7:AI30" si="13">SUM(AA7,AC7,AE7,AG7)/4</f>
        <v>6.4848474470734746E-2</v>
      </c>
      <c r="AJ7" s="120">
        <f t="shared" ref="AJ7:AJ31" si="14">(AA7+AC7)/2</f>
        <v>0</v>
      </c>
      <c r="AK7" s="119">
        <f t="shared" ref="AK7:AK31" si="15">(AE7+AG7)/2</f>
        <v>0.12969694894146949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22932</v>
      </c>
      <c r="T8" s="222">
        <f>IF($B$81=0,0,(SUMIF($N$6:$N$28,$U8,M$6:M$28)+SUMIF($N$91:$N$118,$U8,M$91:M$118))*$I$83*Poor!$B$81/$B$81)</f>
        <v>22983.310025491381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0.33328713343079347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5.5547855571798907E-2</v>
      </c>
      <c r="AB8" s="125">
        <f>IF($Y8=0,0,AC8/$Y8)</f>
        <v>0.3485942048141637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5.809903413569395E-2</v>
      </c>
      <c r="AD8" s="125">
        <f>IF($Y8=0,0,AE8/$Y8)</f>
        <v>0.31811866175504283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5.3019776959173801E-2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5.6823444853746428E-2</v>
      </c>
      <c r="AK8" s="119">
        <f t="shared" si="15"/>
        <v>2.65098884795869E-2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0.63437332561643844</v>
      </c>
      <c r="J9" s="24">
        <f t="shared" si="3"/>
        <v>0.21631758762247771</v>
      </c>
      <c r="K9" s="22">
        <f t="shared" si="4"/>
        <v>0.20346127397260275</v>
      </c>
      <c r="L9" s="22">
        <f t="shared" si="5"/>
        <v>0.221772788630137</v>
      </c>
      <c r="M9" s="224">
        <f t="shared" si="6"/>
        <v>0.21631758762247771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1425.5900535833887</v>
      </c>
      <c r="T9" s="222">
        <f>IF($B$81=0,0,(SUMIF($N$6:$N$28,$U9,M$6:M$28)+SUMIF($N$91:$N$118,$U9,M$91:M$118))*$I$83*Poor!$B$81/$B$81)</f>
        <v>1425.5900535833887</v>
      </c>
      <c r="U9" s="223">
        <v>3</v>
      </c>
      <c r="V9" s="56"/>
      <c r="W9" s="115"/>
      <c r="X9" s="118">
        <f>Poor!X9</f>
        <v>1</v>
      </c>
      <c r="Y9" s="184">
        <f t="shared" si="9"/>
        <v>0.86527035048991086</v>
      </c>
      <c r="Z9" s="125">
        <f>IF($Y9=0,0,AA9/$Y9)</f>
        <v>0.33328713343079347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0.28838347475744036</v>
      </c>
      <c r="AB9" s="125">
        <f>IF($Y9=0,0,AC9/$Y9)</f>
        <v>0.34859420481416364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0.30162822977830317</v>
      </c>
      <c r="AD9" s="125">
        <f>IF($Y9=0,0,AE9/$Y9)</f>
        <v>0.31811866175504289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0.27525864595416738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0.21631758762247774</v>
      </c>
      <c r="AJ9" s="120">
        <f t="shared" si="14"/>
        <v>0.29500585226787179</v>
      </c>
      <c r="AK9" s="119">
        <f t="shared" si="15"/>
        <v>0.13762932297708369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2.9355719033978687E-2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2.9355719033978687E-2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0.11742287613591475</v>
      </c>
      <c r="Z10" s="125">
        <f>IF($Y10=0,0,AA10/$Y10)</f>
        <v>0.33328713343079347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3.9135533786538154E-2</v>
      </c>
      <c r="AB10" s="125">
        <f>IF($Y10=0,0,AC10/$Y10)</f>
        <v>0.3485942048141637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4.0932934133591239E-2</v>
      </c>
      <c r="AD10" s="125">
        <f>IF($Y10=0,0,AE10/$Y10)</f>
        <v>0.31811866175504283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3.7354408215785354E-2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2.9355719033978687E-2</v>
      </c>
      <c r="AJ10" s="120">
        <f t="shared" si="14"/>
        <v>4.0034233960064697E-2</v>
      </c>
      <c r="AK10" s="119">
        <f t="shared" si="15"/>
        <v>1.8677204107892677E-2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20792.196000000004</v>
      </c>
      <c r="T11" s="222">
        <f>IF($B$81=0,0,(SUMIF($N$6:$N$28,$U11,M$6:M$28)+SUMIF($N$91:$N$118,$U11,M$91:M$118))*$I$83*Poor!$B$81/$B$81)</f>
        <v>20807.922189631121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0.33328713343079353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8.0116842484079617E-2</v>
      </c>
      <c r="AB11" s="125">
        <f>IF($Y11=0,0,AC11/$Y11)</f>
        <v>0.3485942048141637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8.379641515251772E-2</v>
      </c>
      <c r="AD11" s="125">
        <f>IF($Y11=0,0,AE11/$Y11)</f>
        <v>0.31811866175504278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7.6470586946217126E-2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8.1956628818298669E-2</v>
      </c>
      <c r="AK11" s="119">
        <f t="shared" si="15"/>
        <v>3.8235293473108563E-2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4.5064250583439639E-3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4.5064250583439639E-3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1.8025700233375856E-2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1.2077219156361825E-2</v>
      </c>
      <c r="AF12" s="122">
        <f>1-SUM(Z12,AB12,AD12)</f>
        <v>0.32999999999999996</v>
      </c>
      <c r="AG12" s="121">
        <f>$M12*AF12*4</f>
        <v>5.9484810770140317E-3</v>
      </c>
      <c r="AH12" s="123">
        <f t="shared" si="12"/>
        <v>1</v>
      </c>
      <c r="AI12" s="184">
        <f t="shared" si="13"/>
        <v>4.5064250583439639E-3</v>
      </c>
      <c r="AJ12" s="120">
        <f t="shared" si="14"/>
        <v>0</v>
      </c>
      <c r="AK12" s="119">
        <f t="shared" si="15"/>
        <v>9.0128501166879278E-3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231091.20000000004</v>
      </c>
      <c r="T14" s="222">
        <f>IF($B$81=0,0,(SUMIF($N$6:$N$28,$U14,M$6:M$28)+SUMIF($N$91:$N$118,$U14,M$91:M$118))*$I$83*Poor!$B$81/$B$81)</f>
        <v>231091.20000000004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5744.7688236018175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363543.29666525975</v>
      </c>
      <c r="T23" s="179">
        <f>SUM(T7:T22)</f>
        <v>363523.29025236634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5.5470281407948373E-2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5.5470281407948373E-2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0.22188112563179349</v>
      </c>
      <c r="Z27" s="156">
        <f>Poor!Z27</f>
        <v>0.25</v>
      </c>
      <c r="AA27" s="121">
        <f t="shared" si="16"/>
        <v>5.5470281407948373E-2</v>
      </c>
      <c r="AB27" s="156">
        <f>Poor!AB27</f>
        <v>0.25</v>
      </c>
      <c r="AC27" s="121">
        <f t="shared" si="7"/>
        <v>5.5470281407948373E-2</v>
      </c>
      <c r="AD27" s="156">
        <f>Poor!AD27</f>
        <v>0.25</v>
      </c>
      <c r="AE27" s="121">
        <f t="shared" si="8"/>
        <v>5.5470281407948373E-2</v>
      </c>
      <c r="AF27" s="122">
        <f t="shared" si="10"/>
        <v>0.25</v>
      </c>
      <c r="AG27" s="121">
        <f t="shared" si="11"/>
        <v>5.5470281407948373E-2</v>
      </c>
      <c r="AH27" s="123">
        <f t="shared" si="12"/>
        <v>1</v>
      </c>
      <c r="AI27" s="184">
        <f t="shared" si="13"/>
        <v>5.5470281407948373E-2</v>
      </c>
      <c r="AJ27" s="120">
        <f t="shared" si="14"/>
        <v>5.5470281407948373E-2</v>
      </c>
      <c r="AK27" s="119">
        <f t="shared" si="15"/>
        <v>5.5470281407948373E-2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0.32434257617650336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0.32434257617650336</v>
      </c>
      <c r="N29" s="229"/>
      <c r="P29" s="22"/>
      <c r="V29" s="56"/>
      <c r="W29" s="110"/>
      <c r="X29" s="118"/>
      <c r="Y29" s="184">
        <f t="shared" si="9"/>
        <v>1.2973703047060134</v>
      </c>
      <c r="Z29" s="156">
        <f>Poor!Z29</f>
        <v>0.25</v>
      </c>
      <c r="AA29" s="121">
        <f t="shared" si="16"/>
        <v>0.32434257617650336</v>
      </c>
      <c r="AB29" s="156">
        <f>Poor!AB29</f>
        <v>0.25</v>
      </c>
      <c r="AC29" s="121">
        <f t="shared" si="7"/>
        <v>0.32434257617650336</v>
      </c>
      <c r="AD29" s="156">
        <f>Poor!AD29</f>
        <v>0.25</v>
      </c>
      <c r="AE29" s="121">
        <f t="shared" si="8"/>
        <v>0.32434257617650336</v>
      </c>
      <c r="AF29" s="122">
        <f t="shared" si="10"/>
        <v>0.25</v>
      </c>
      <c r="AG29" s="121">
        <f t="shared" si="11"/>
        <v>0.32434257617650336</v>
      </c>
      <c r="AH29" s="123">
        <f t="shared" si="12"/>
        <v>1</v>
      </c>
      <c r="AI29" s="184">
        <f t="shared" si="13"/>
        <v>0.32434257617650336</v>
      </c>
      <c r="AJ29" s="120">
        <f t="shared" si="14"/>
        <v>0.32434257617650336</v>
      </c>
      <c r="AK29" s="119">
        <f t="shared" si="15"/>
        <v>0.32434257617650336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26.136548877765456</v>
      </c>
      <c r="J30" s="231">
        <f>IF(I$32&lt;=1,I30,1-SUM(J6:J29))</f>
        <v>6.5763731082649102E-2</v>
      </c>
      <c r="K30" s="22">
        <f t="shared" si="4"/>
        <v>0.58156372602739725</v>
      </c>
      <c r="L30" s="22">
        <f>IF(L124=L119,0,IF(K30="",0,(L119-L124)/(B119-B124)*K30))</f>
        <v>0.34461924740730904</v>
      </c>
      <c r="M30" s="175">
        <f t="shared" si="6"/>
        <v>6.5763731082649102E-2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0.26305492433059641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0.14106686321821346</v>
      </c>
      <c r="AE30" s="188">
        <f>IF(AE79*4/$I$83+SUM(AE6:AE29)&lt;1,AE79*4/$I$83,1-SUM(AE6:AE29))</f>
        <v>3.7108333029421736E-2</v>
      </c>
      <c r="AF30" s="122">
        <f>IF($Y30=0,0,AG30/($Y$30))</f>
        <v>0.85893313678178573</v>
      </c>
      <c r="AG30" s="188">
        <f>IF(AG79*4/$I$83+SUM(AG6:AG29)&lt;1,AG79*4/$I$83,1-SUM(AG6:AG29))</f>
        <v>0.22594659130117445</v>
      </c>
      <c r="AH30" s="123">
        <f t="shared" si="12"/>
        <v>0.99999999999999922</v>
      </c>
      <c r="AI30" s="184">
        <f t="shared" si="13"/>
        <v>6.5763731082649046E-2</v>
      </c>
      <c r="AJ30" s="120">
        <f t="shared" si="14"/>
        <v>0</v>
      </c>
      <c r="AK30" s="119">
        <f t="shared" si="15"/>
        <v>0.13152746216529809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-0.28237082549365189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27.340178550675898</v>
      </c>
      <c r="J32" s="17"/>
      <c r="L32" s="22">
        <f>SUM(L6:L30)</f>
        <v>1.2823708254936519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-1.3221507290089628E-2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566.4</v>
      </c>
      <c r="J37" s="38">
        <f>J91*I$83</f>
        <v>566.4</v>
      </c>
      <c r="K37" s="40">
        <f t="shared" ref="K37:K52" si="28">(B37/B$65)</f>
        <v>1.9984417213919272E-3</v>
      </c>
      <c r="L37" s="22">
        <f t="shared" ref="L37:L52" si="29">(K37*H37)</f>
        <v>1.8865289849939791E-3</v>
      </c>
      <c r="M37" s="24">
        <f t="shared" ref="M37:M52" si="30">J37/B$65</f>
        <v>1.8865289849939793E-3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566.4</v>
      </c>
      <c r="AH37" s="123">
        <f>SUM(Z37,AB37,AD37,AF37)</f>
        <v>1</v>
      </c>
      <c r="AI37" s="112">
        <f>SUM(AA37,AC37,AE37,AG37)</f>
        <v>566.4</v>
      </c>
      <c r="AJ37" s="148">
        <f>(AA37+AC37)</f>
        <v>0</v>
      </c>
      <c r="AK37" s="147">
        <f>(AE37+AG37)</f>
        <v>566.4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11328</v>
      </c>
      <c r="J38" s="38">
        <f t="shared" ref="J38:J64" si="33">J92*I$83</f>
        <v>11328</v>
      </c>
      <c r="K38" s="40">
        <f t="shared" si="28"/>
        <v>3.9968834427838544E-2</v>
      </c>
      <c r="L38" s="22">
        <f t="shared" si="29"/>
        <v>3.7730579699879585E-2</v>
      </c>
      <c r="M38" s="24">
        <f t="shared" si="30"/>
        <v>3.7730579699879585E-2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11328</v>
      </c>
      <c r="AH38" s="123">
        <f t="shared" ref="AH38:AI58" si="35">SUM(Z38,AB38,AD38,AF38)</f>
        <v>1</v>
      </c>
      <c r="AI38" s="112">
        <f t="shared" si="35"/>
        <v>11328</v>
      </c>
      <c r="AJ38" s="148">
        <f t="shared" ref="AJ38:AJ64" si="36">(AA38+AC38)</f>
        <v>0</v>
      </c>
      <c r="AK38" s="147">
        <f t="shared" ref="AK38:AK64" si="37">(AE38+AG38)</f>
        <v>11328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2973.6</v>
      </c>
      <c r="J39" s="38">
        <f t="shared" si="33"/>
        <v>3977.9051580259365</v>
      </c>
      <c r="K39" s="40">
        <f t="shared" si="28"/>
        <v>1.398909204974349E-2</v>
      </c>
      <c r="L39" s="22">
        <f t="shared" si="29"/>
        <v>1.3205702894957854E-2</v>
      </c>
      <c r="M39" s="24">
        <f t="shared" si="30"/>
        <v>1.3249352719231965E-2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0.33328713343079347</v>
      </c>
      <c r="AA39" s="147">
        <f>$J39*Z39</f>
        <v>1325.7846071780318</v>
      </c>
      <c r="AB39" s="122">
        <f>AB8</f>
        <v>0.3485942048141637</v>
      </c>
      <c r="AC39" s="147">
        <f>$J39*AB39</f>
        <v>1386.6746853882116</v>
      </c>
      <c r="AD39" s="122">
        <f>AD8</f>
        <v>0.31811866175504283</v>
      </c>
      <c r="AE39" s="147">
        <f>$J39*AD39</f>
        <v>1265.4458654596931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3977.9051580259365</v>
      </c>
      <c r="AJ39" s="148">
        <f t="shared" si="36"/>
        <v>2712.4592925662437</v>
      </c>
      <c r="AK39" s="147">
        <f t="shared" si="37"/>
        <v>1265.4458654596931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849.59999999999991</v>
      </c>
      <c r="J40" s="38">
        <f t="shared" si="33"/>
        <v>849.6</v>
      </c>
      <c r="K40" s="40">
        <f t="shared" si="28"/>
        <v>2.9976625820878908E-3</v>
      </c>
      <c r="L40" s="22">
        <f t="shared" si="29"/>
        <v>2.8297934774909688E-3</v>
      </c>
      <c r="M40" s="24">
        <f t="shared" si="30"/>
        <v>2.8297934774909692E-3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0.33328713343079347</v>
      </c>
      <c r="AA40" s="147">
        <f>$J40*Z40</f>
        <v>283.16074856280215</v>
      </c>
      <c r="AB40" s="122">
        <f>AB9</f>
        <v>0.34859420481416364</v>
      </c>
      <c r="AC40" s="147">
        <f>$J40*AB40</f>
        <v>296.16563641011345</v>
      </c>
      <c r="AD40" s="122">
        <f>AD9</f>
        <v>0.31811866175504289</v>
      </c>
      <c r="AE40" s="147">
        <f>$J40*AD40</f>
        <v>270.27361502708442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849.59999999999991</v>
      </c>
      <c r="AJ40" s="148">
        <f t="shared" si="36"/>
        <v>579.32638497291555</v>
      </c>
      <c r="AK40" s="147">
        <f t="shared" si="37"/>
        <v>270.27361502708442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618.03</v>
      </c>
      <c r="J41" s="38">
        <f t="shared" si="33"/>
        <v>618.03000000000009</v>
      </c>
      <c r="K41" s="40">
        <f t="shared" si="28"/>
        <v>1.3489481619395509E-3</v>
      </c>
      <c r="L41" s="22">
        <f t="shared" si="29"/>
        <v>2.0584948951197549E-3</v>
      </c>
      <c r="M41" s="24">
        <f t="shared" si="30"/>
        <v>2.0584948951197549E-3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0.33328713343079353</v>
      </c>
      <c r="AA41" s="147">
        <f>$J41*Z41</f>
        <v>205.98144707423336</v>
      </c>
      <c r="AB41" s="122">
        <f>AB11</f>
        <v>0.3485942048141637</v>
      </c>
      <c r="AC41" s="147">
        <f>$J41*AB41</f>
        <v>215.44167640129763</v>
      </c>
      <c r="AD41" s="122">
        <f>AD11</f>
        <v>0.31811866175504278</v>
      </c>
      <c r="AE41" s="147">
        <f>$J41*AD41</f>
        <v>196.6068765244691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618.03000000000009</v>
      </c>
      <c r="AJ41" s="148">
        <f t="shared" si="36"/>
        <v>421.42312347553099</v>
      </c>
      <c r="AK41" s="147">
        <f t="shared" si="37"/>
        <v>196.6068765244691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1276.6590991855128</v>
      </c>
      <c r="K42" s="40">
        <f t="shared" si="28"/>
        <v>2.9976625820878908E-3</v>
      </c>
      <c r="L42" s="22">
        <f t="shared" si="29"/>
        <v>4.1967276149230464E-3</v>
      </c>
      <c r="M42" s="24">
        <f t="shared" si="30"/>
        <v>4.2522146796782718E-3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319.1647747963782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638.32954959275639</v>
      </c>
      <c r="AF42" s="122">
        <f t="shared" si="31"/>
        <v>0.25</v>
      </c>
      <c r="AG42" s="147">
        <f t="shared" si="34"/>
        <v>319.1647747963782</v>
      </c>
      <c r="AH42" s="123">
        <f t="shared" si="35"/>
        <v>1</v>
      </c>
      <c r="AI42" s="112">
        <f t="shared" si="35"/>
        <v>1276.6590991855128</v>
      </c>
      <c r="AJ42" s="148">
        <f t="shared" si="36"/>
        <v>319.1647747963782</v>
      </c>
      <c r="AK42" s="147">
        <f t="shared" si="37"/>
        <v>957.49432438913459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336</v>
      </c>
      <c r="J43" s="38">
        <f t="shared" si="33"/>
        <v>208.33409008144869</v>
      </c>
      <c r="K43" s="40">
        <f t="shared" si="28"/>
        <v>4.996104303479818E-4</v>
      </c>
      <c r="L43" s="22">
        <f t="shared" si="29"/>
        <v>6.9945460248717448E-4</v>
      </c>
      <c r="M43" s="24">
        <f t="shared" si="30"/>
        <v>6.939058960116519E-4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52.083522520362173</v>
      </c>
      <c r="AB43" s="156">
        <f>Poor!AB43</f>
        <v>0.25</v>
      </c>
      <c r="AC43" s="147">
        <f t="shared" si="39"/>
        <v>52.083522520362173</v>
      </c>
      <c r="AD43" s="156">
        <f>Poor!AD43</f>
        <v>0.25</v>
      </c>
      <c r="AE43" s="147">
        <f t="shared" si="40"/>
        <v>52.083522520362173</v>
      </c>
      <c r="AF43" s="122">
        <f t="shared" si="31"/>
        <v>0.25</v>
      </c>
      <c r="AG43" s="147">
        <f t="shared" si="34"/>
        <v>52.083522520362173</v>
      </c>
      <c r="AH43" s="123">
        <f t="shared" si="35"/>
        <v>1</v>
      </c>
      <c r="AI43" s="112">
        <f t="shared" si="35"/>
        <v>208.33409008144869</v>
      </c>
      <c r="AJ43" s="148">
        <f t="shared" si="36"/>
        <v>104.16704504072435</v>
      </c>
      <c r="AK43" s="147">
        <f t="shared" si="37"/>
        <v>104.16704504072435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2127.7651653091884</v>
      </c>
      <c r="K44" s="40">
        <f t="shared" si="28"/>
        <v>4.996104303479818E-3</v>
      </c>
      <c r="L44" s="22">
        <f t="shared" si="29"/>
        <v>6.9945460248717443E-3</v>
      </c>
      <c r="M44" s="24">
        <f t="shared" si="30"/>
        <v>7.0870244661304553E-3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531.94129132729711</v>
      </c>
      <c r="AB44" s="156">
        <f>Poor!AB44</f>
        <v>0.25</v>
      </c>
      <c r="AC44" s="147">
        <f t="shared" si="39"/>
        <v>531.94129132729711</v>
      </c>
      <c r="AD44" s="156">
        <f>Poor!AD44</f>
        <v>0.25</v>
      </c>
      <c r="AE44" s="147">
        <f t="shared" si="40"/>
        <v>531.94129132729711</v>
      </c>
      <c r="AF44" s="122">
        <f t="shared" si="31"/>
        <v>0.25</v>
      </c>
      <c r="AG44" s="147">
        <f t="shared" si="34"/>
        <v>531.94129132729711</v>
      </c>
      <c r="AH44" s="123">
        <f t="shared" si="35"/>
        <v>1</v>
      </c>
      <c r="AI44" s="112">
        <f t="shared" si="35"/>
        <v>2127.7651653091884</v>
      </c>
      <c r="AJ44" s="148">
        <f t="shared" si="36"/>
        <v>1063.8825826545942</v>
      </c>
      <c r="AK44" s="147">
        <f t="shared" si="37"/>
        <v>1063.8825826545942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210</v>
      </c>
      <c r="J45" s="38">
        <f t="shared" si="33"/>
        <v>209.99999999999997</v>
      </c>
      <c r="K45" s="40">
        <f t="shared" si="28"/>
        <v>4.996104303479818E-4</v>
      </c>
      <c r="L45" s="22">
        <f t="shared" si="29"/>
        <v>6.9945460248717448E-4</v>
      </c>
      <c r="M45" s="24">
        <f t="shared" si="30"/>
        <v>6.9945460248717448E-4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52.499999999999993</v>
      </c>
      <c r="AB45" s="156">
        <f>Poor!AB45</f>
        <v>0.25</v>
      </c>
      <c r="AC45" s="147">
        <f t="shared" si="39"/>
        <v>52.499999999999993</v>
      </c>
      <c r="AD45" s="156">
        <f>Poor!AD45</f>
        <v>0.25</v>
      </c>
      <c r="AE45" s="147">
        <f t="shared" si="40"/>
        <v>52.499999999999993</v>
      </c>
      <c r="AF45" s="122">
        <f t="shared" si="31"/>
        <v>0.25</v>
      </c>
      <c r="AG45" s="147">
        <f t="shared" si="34"/>
        <v>52.499999999999993</v>
      </c>
      <c r="AH45" s="123">
        <f t="shared" si="35"/>
        <v>1</v>
      </c>
      <c r="AI45" s="112">
        <f t="shared" si="35"/>
        <v>209.99999999999997</v>
      </c>
      <c r="AJ45" s="148">
        <f t="shared" si="36"/>
        <v>104.99999999999999</v>
      </c>
      <c r="AK45" s="147">
        <f t="shared" si="37"/>
        <v>104.99999999999999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9800</v>
      </c>
      <c r="J46" s="38">
        <f t="shared" si="33"/>
        <v>9800</v>
      </c>
      <c r="K46" s="40">
        <f t="shared" si="28"/>
        <v>2.3315153416239152E-2</v>
      </c>
      <c r="L46" s="22">
        <f t="shared" si="29"/>
        <v>3.2641214782734809E-2</v>
      </c>
      <c r="M46" s="24">
        <f t="shared" si="30"/>
        <v>3.2641214782734809E-2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2450</v>
      </c>
      <c r="AB46" s="156">
        <f>Poor!AB46</f>
        <v>0.25</v>
      </c>
      <c r="AC46" s="147">
        <f t="shared" si="39"/>
        <v>2450</v>
      </c>
      <c r="AD46" s="156">
        <f>Poor!AD46</f>
        <v>0.25</v>
      </c>
      <c r="AE46" s="147">
        <f t="shared" si="40"/>
        <v>2450</v>
      </c>
      <c r="AF46" s="122">
        <f t="shared" si="31"/>
        <v>0.25</v>
      </c>
      <c r="AG46" s="147">
        <f t="shared" si="34"/>
        <v>2450</v>
      </c>
      <c r="AH46" s="123">
        <f t="shared" si="35"/>
        <v>1</v>
      </c>
      <c r="AI46" s="112">
        <f t="shared" si="35"/>
        <v>9800</v>
      </c>
      <c r="AJ46" s="148">
        <f t="shared" si="36"/>
        <v>4900</v>
      </c>
      <c r="AK46" s="147">
        <f t="shared" si="37"/>
        <v>4900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4900</v>
      </c>
      <c r="J47" s="38">
        <f t="shared" si="33"/>
        <v>4900</v>
      </c>
      <c r="K47" s="40">
        <f t="shared" si="28"/>
        <v>1.1657576708119576E-2</v>
      </c>
      <c r="L47" s="22">
        <f t="shared" si="29"/>
        <v>1.6320607391367405E-2</v>
      </c>
      <c r="M47" s="24">
        <f t="shared" si="30"/>
        <v>1.6320607391367405E-2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1225</v>
      </c>
      <c r="AB47" s="156">
        <f>Poor!AB47</f>
        <v>0.25</v>
      </c>
      <c r="AC47" s="147">
        <f t="shared" si="39"/>
        <v>1225</v>
      </c>
      <c r="AD47" s="156">
        <f>Poor!AD47</f>
        <v>0.25</v>
      </c>
      <c r="AE47" s="147">
        <f t="shared" si="40"/>
        <v>1225</v>
      </c>
      <c r="AF47" s="122">
        <f t="shared" si="31"/>
        <v>0.25</v>
      </c>
      <c r="AG47" s="147">
        <f t="shared" si="34"/>
        <v>1225</v>
      </c>
      <c r="AH47" s="123">
        <f t="shared" si="35"/>
        <v>1</v>
      </c>
      <c r="AI47" s="112">
        <f t="shared" si="35"/>
        <v>4900</v>
      </c>
      <c r="AJ47" s="148">
        <f t="shared" si="36"/>
        <v>2450</v>
      </c>
      <c r="AK47" s="147">
        <f t="shared" si="37"/>
        <v>2450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280</v>
      </c>
      <c r="J48" s="38">
        <f t="shared" si="33"/>
        <v>280</v>
      </c>
      <c r="K48" s="40">
        <f t="shared" si="28"/>
        <v>6.6614724046397573E-4</v>
      </c>
      <c r="L48" s="22">
        <f t="shared" si="29"/>
        <v>9.3260613664956601E-4</v>
      </c>
      <c r="M48" s="24">
        <f t="shared" si="30"/>
        <v>9.3260613664956601E-4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70</v>
      </c>
      <c r="AB48" s="156">
        <f>Poor!AB48</f>
        <v>0.25</v>
      </c>
      <c r="AC48" s="147">
        <f t="shared" si="39"/>
        <v>70</v>
      </c>
      <c r="AD48" s="156">
        <f>Poor!AD48</f>
        <v>0.25</v>
      </c>
      <c r="AE48" s="147">
        <f t="shared" si="40"/>
        <v>70</v>
      </c>
      <c r="AF48" s="122">
        <f t="shared" si="31"/>
        <v>0.25</v>
      </c>
      <c r="AG48" s="147">
        <f t="shared" si="34"/>
        <v>70</v>
      </c>
      <c r="AH48" s="123">
        <f t="shared" si="35"/>
        <v>1</v>
      </c>
      <c r="AI48" s="112">
        <f t="shared" si="35"/>
        <v>280</v>
      </c>
      <c r="AJ48" s="148">
        <f t="shared" si="36"/>
        <v>140</v>
      </c>
      <c r="AK48" s="147">
        <f t="shared" si="37"/>
        <v>140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350</v>
      </c>
      <c r="J49" s="38">
        <f t="shared" si="33"/>
        <v>350</v>
      </c>
      <c r="K49" s="40">
        <f t="shared" si="28"/>
        <v>8.3268405057996967E-4</v>
      </c>
      <c r="L49" s="22">
        <f t="shared" si="29"/>
        <v>1.1657576708119575E-3</v>
      </c>
      <c r="M49" s="24">
        <f t="shared" si="30"/>
        <v>1.1657576708119575E-3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87.5</v>
      </c>
      <c r="AB49" s="156">
        <f>Poor!AB49</f>
        <v>0.25</v>
      </c>
      <c r="AC49" s="147">
        <f t="shared" si="39"/>
        <v>87.5</v>
      </c>
      <c r="AD49" s="156">
        <f>Poor!AD49</f>
        <v>0.25</v>
      </c>
      <c r="AE49" s="147">
        <f t="shared" si="40"/>
        <v>87.5</v>
      </c>
      <c r="AF49" s="122">
        <f t="shared" si="31"/>
        <v>0.25</v>
      </c>
      <c r="AG49" s="147">
        <f t="shared" si="34"/>
        <v>87.5</v>
      </c>
      <c r="AH49" s="123">
        <f t="shared" si="35"/>
        <v>1</v>
      </c>
      <c r="AI49" s="112">
        <f t="shared" si="35"/>
        <v>350</v>
      </c>
      <c r="AJ49" s="148">
        <f t="shared" si="36"/>
        <v>175</v>
      </c>
      <c r="AK49" s="147">
        <f t="shared" si="37"/>
        <v>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192576</v>
      </c>
      <c r="J53" s="38">
        <f t="shared" si="33"/>
        <v>192576.00000000003</v>
      </c>
      <c r="K53" s="40">
        <f t="shared" ref="K53:K64" si="43">(B53/B$65)</f>
        <v>0.67947018527325531</v>
      </c>
      <c r="L53" s="22">
        <f t="shared" ref="L53:L64" si="44">(K53*H53)</f>
        <v>0.64141985489795295</v>
      </c>
      <c r="M53" s="24">
        <f t="shared" ref="M53:M64" si="45">J53/B$65</f>
        <v>0.64141985489795306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4787.3073530015145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1.5945257912274295E-2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293634.36037974688</v>
      </c>
      <c r="J65" s="39">
        <f>SUM(J37:J64)</f>
        <v>296942.7312453505</v>
      </c>
      <c r="K65" s="40">
        <f>SUM(K37:K64)</f>
        <v>1</v>
      </c>
      <c r="L65" s="22">
        <f>SUM(L37:L64)</f>
        <v>0.98889411420967943</v>
      </c>
      <c r="M65" s="24">
        <f>SUM(M37:M64)</f>
        <v>0.98903790497463095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16593.116391459109</v>
      </c>
      <c r="AB65" s="137"/>
      <c r="AC65" s="153">
        <f>SUM(AC37:AC64)</f>
        <v>16357.306812047284</v>
      </c>
      <c r="AD65" s="137"/>
      <c r="AE65" s="153">
        <f>SUM(AE37:AE64)</f>
        <v>16829.680720451666</v>
      </c>
      <c r="AF65" s="137"/>
      <c r="AG65" s="153">
        <f>SUM(AG37:AG64)</f>
        <v>26672.589588644041</v>
      </c>
      <c r="AH65" s="137"/>
      <c r="AI65" s="153">
        <f>SUM(AI37:AI64)</f>
        <v>76452.693512602098</v>
      </c>
      <c r="AJ65" s="153">
        <f>SUM(AJ37:AJ64)</f>
        <v>32950.423203506391</v>
      </c>
      <c r="AK65" s="153">
        <f>SUM(AK37:AK64)</f>
        <v>43502.270309095707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282537.36093991343</v>
      </c>
      <c r="J74" s="51">
        <f>J128*I$83</f>
        <v>710.90912241518515</v>
      </c>
      <c r="K74" s="40">
        <f>B74/B$76</f>
        <v>1.26905734201907E-2</v>
      </c>
      <c r="L74" s="22">
        <f>(L128*G$37*F$9/F$7)/B$130</f>
        <v>1.2408160702056968E-2</v>
      </c>
      <c r="M74" s="24">
        <f>J74/B$76</f>
        <v>2.3678507505877117E-3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100.28571993232309</v>
      </c>
      <c r="AF74" s="156"/>
      <c r="AG74" s="147">
        <f>AG30*$I$83/4</f>
        <v>610.62340248286148</v>
      </c>
      <c r="AH74" s="155"/>
      <c r="AI74" s="147">
        <f>SUM(AA74,AC74,AE74,AG74)</f>
        <v>710.90912241518458</v>
      </c>
      <c r="AJ74" s="148">
        <f>(AA74+AC74)</f>
        <v>0</v>
      </c>
      <c r="AK74" s="147">
        <f>(AE74+AG74)</f>
        <v>710.90912241518458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201187.65601643515</v>
      </c>
      <c r="K75" s="40">
        <f>B75/B$76</f>
        <v>0.72395446065450009</v>
      </c>
      <c r="L75" s="22">
        <f>(L129*G$37*F$9/F$7)/B$130</f>
        <v>0.65991890863739877</v>
      </c>
      <c r="M75" s="24">
        <f>J75/B$76</f>
        <v>0.67010300935381928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13818.866531500744</v>
      </c>
      <c r="AB75" s="158"/>
      <c r="AC75" s="149">
        <f>AA75+AC65-SUM(AC70,AC74)</f>
        <v>27401.923483589664</v>
      </c>
      <c r="AD75" s="158"/>
      <c r="AE75" s="149">
        <f>AC75+AE65-SUM(AE70,AE74)</f>
        <v>41357.068624150641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64644.784950353453</v>
      </c>
      <c r="AJ75" s="151">
        <f>AJ76-SUM(AJ70,AJ74)</f>
        <v>27401.92348358966</v>
      </c>
      <c r="AK75" s="149">
        <f>AJ75+AK76-SUM(AK70,AK74)</f>
        <v>64644.78495035346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293634.36037974688</v>
      </c>
      <c r="J76" s="51">
        <f>J130*I$83</f>
        <v>296942.73124535044</v>
      </c>
      <c r="K76" s="40">
        <f>SUM(K70:K75)</f>
        <v>0.90648402989286547</v>
      </c>
      <c r="L76" s="22">
        <f>SUM(L70:L75)</f>
        <v>0.87854526948326106</v>
      </c>
      <c r="M76" s="24">
        <f>SUM(M70:M75)</f>
        <v>0.87868906024821225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16593.116391459109</v>
      </c>
      <c r="AB76" s="137"/>
      <c r="AC76" s="153">
        <f>AC65</f>
        <v>16357.306812047284</v>
      </c>
      <c r="AD76" s="137"/>
      <c r="AE76" s="153">
        <f>AE65</f>
        <v>16829.680720451666</v>
      </c>
      <c r="AF76" s="137"/>
      <c r="AG76" s="153">
        <f>AG65</f>
        <v>26672.589588644041</v>
      </c>
      <c r="AH76" s="137"/>
      <c r="AI76" s="153">
        <f>SUM(AA76,AC76,AE76,AG76)</f>
        <v>76452.693512602098</v>
      </c>
      <c r="AJ76" s="154">
        <f>SUM(AA76,AC76)</f>
        <v>32950.423203506391</v>
      </c>
      <c r="AK76" s="154">
        <f>SUM(AE76,AG76)</f>
        <v>43502.270309095707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13818.866531500744</v>
      </c>
      <c r="AD78" s="112"/>
      <c r="AE78" s="112">
        <f>AC75</f>
        <v>27401.923483589664</v>
      </c>
      <c r="AF78" s="112"/>
      <c r="AG78" s="112">
        <f>AE75</f>
        <v>41357.068624150641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13818.866531500744</v>
      </c>
      <c r="AB79" s="112"/>
      <c r="AC79" s="112">
        <f>AA79-AA74+AC65-AC70</f>
        <v>27401.923483589664</v>
      </c>
      <c r="AD79" s="112"/>
      <c r="AE79" s="112">
        <f>AC79-AC74+AE65-AE70</f>
        <v>41457.354344082967</v>
      </c>
      <c r="AF79" s="112"/>
      <c r="AG79" s="112">
        <f>AE79-AE74+AG65-AG70</f>
        <v>65255.408352836326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0.57212121212121214</v>
      </c>
      <c r="I91" s="22">
        <f t="shared" ref="I91" si="52">(D91*H91)</f>
        <v>5.2395694626434314E-2</v>
      </c>
      <c r="J91" s="24">
        <f>IF(I$32&lt;=1+I$131,I91,L91+J$33*(I91-L91))</f>
        <v>5.2395694626434314E-2</v>
      </c>
      <c r="K91" s="22">
        <f t="shared" ref="K91" si="53">(B91)</f>
        <v>9.1581457768661667E-2</v>
      </c>
      <c r="L91" s="22">
        <f t="shared" ref="L91" si="54">(K91*H91)</f>
        <v>5.2395694626434314E-2</v>
      </c>
      <c r="M91" s="227">
        <f t="shared" si="50"/>
        <v>5.2395694626434314E-2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0.57212121212121214</v>
      </c>
      <c r="I92" s="22">
        <f t="shared" ref="I92:I118" si="59">(D92*H92)</f>
        <v>1.0479138925286864</v>
      </c>
      <c r="J92" s="24">
        <f t="shared" ref="J92:J118" si="60">IF(I$32&lt;=1+I$131,I92,L92+J$33*(I92-L92))</f>
        <v>1.0479138925286864</v>
      </c>
      <c r="K92" s="22">
        <f t="shared" ref="K92:K118" si="61">(B92)</f>
        <v>1.8316291553732336</v>
      </c>
      <c r="L92" s="22">
        <f t="shared" ref="L92:L118" si="62">(K92*H92)</f>
        <v>1.0479138925286864</v>
      </c>
      <c r="M92" s="227">
        <f t="shared" ref="M92:M118" si="63">(J92)</f>
        <v>1.0479138925286864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0.57212121212121214</v>
      </c>
      <c r="I93" s="22">
        <f t="shared" si="59"/>
        <v>0.27507739678878018</v>
      </c>
      <c r="J93" s="24">
        <f t="shared" si="60"/>
        <v>0.36798217498736741</v>
      </c>
      <c r="K93" s="22">
        <f t="shared" si="61"/>
        <v>0.64107020438063167</v>
      </c>
      <c r="L93" s="22">
        <f t="shared" si="62"/>
        <v>0.36676986238504017</v>
      </c>
      <c r="M93" s="227">
        <f t="shared" si="63"/>
        <v>0.36798217498736741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0.57212121212121214</v>
      </c>
      <c r="I94" s="22">
        <f t="shared" si="59"/>
        <v>7.8593541939651471E-2</v>
      </c>
      <c r="J94" s="24">
        <f t="shared" si="60"/>
        <v>7.8593541939651471E-2</v>
      </c>
      <c r="K94" s="22">
        <f t="shared" si="61"/>
        <v>0.1373721866529925</v>
      </c>
      <c r="L94" s="22">
        <f t="shared" si="62"/>
        <v>7.8593541939651471E-2</v>
      </c>
      <c r="M94" s="227">
        <f t="shared" si="63"/>
        <v>7.8593541939651471E-2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0.92484848484848492</v>
      </c>
      <c r="I95" s="22">
        <f t="shared" si="59"/>
        <v>5.7171806408854525E-2</v>
      </c>
      <c r="J95" s="24">
        <f t="shared" si="60"/>
        <v>5.7171806408854525E-2</v>
      </c>
      <c r="K95" s="22">
        <f t="shared" si="61"/>
        <v>6.1817483993846629E-2</v>
      </c>
      <c r="L95" s="22">
        <f t="shared" si="62"/>
        <v>5.7171806408854525E-2</v>
      </c>
      <c r="M95" s="227">
        <f t="shared" si="63"/>
        <v>5.7171806408854525E-2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0.11809929432023808</v>
      </c>
      <c r="K96" s="22">
        <f t="shared" si="61"/>
        <v>0.1373721866529925</v>
      </c>
      <c r="L96" s="22">
        <f t="shared" si="62"/>
        <v>0.11655821897829667</v>
      </c>
      <c r="M96" s="227">
        <f t="shared" si="63"/>
        <v>0.11809929432023808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0.84848484848484851</v>
      </c>
      <c r="I97" s="22">
        <f t="shared" si="59"/>
        <v>3.1082191727545779E-2</v>
      </c>
      <c r="J97" s="24">
        <f t="shared" si="60"/>
        <v>1.927226229552197E-2</v>
      </c>
      <c r="K97" s="22">
        <f t="shared" si="61"/>
        <v>2.2895364442165417E-2</v>
      </c>
      <c r="L97" s="22">
        <f t="shared" si="62"/>
        <v>1.9426369829716111E-2</v>
      </c>
      <c r="M97" s="227">
        <f t="shared" si="63"/>
        <v>1.927226229552197E-2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0.19683215720039682</v>
      </c>
      <c r="K98" s="22">
        <f t="shared" si="61"/>
        <v>0.2289536444216542</v>
      </c>
      <c r="L98" s="22">
        <f t="shared" si="62"/>
        <v>0.19426369829716114</v>
      </c>
      <c r="M98" s="227">
        <f t="shared" si="63"/>
        <v>0.19683215720039682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0.84848484848484851</v>
      </c>
      <c r="I99" s="22">
        <f t="shared" si="59"/>
        <v>1.9426369829716111E-2</v>
      </c>
      <c r="J99" s="24">
        <f t="shared" si="60"/>
        <v>1.9426369829716111E-2</v>
      </c>
      <c r="K99" s="22">
        <f t="shared" si="61"/>
        <v>2.2895364442165417E-2</v>
      </c>
      <c r="L99" s="22">
        <f t="shared" si="62"/>
        <v>1.9426369829716111E-2</v>
      </c>
      <c r="M99" s="227">
        <f t="shared" si="63"/>
        <v>1.9426369829716111E-2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0.84848484848484851</v>
      </c>
      <c r="I100" s="22">
        <f t="shared" si="59"/>
        <v>0.9065639253867519</v>
      </c>
      <c r="J100" s="24">
        <f t="shared" si="60"/>
        <v>0.9065639253867519</v>
      </c>
      <c r="K100" s="22">
        <f t="shared" si="61"/>
        <v>1.0684503406343862</v>
      </c>
      <c r="L100" s="22">
        <f t="shared" si="62"/>
        <v>0.9065639253867519</v>
      </c>
      <c r="M100" s="227">
        <f t="shared" si="63"/>
        <v>0.9065639253867519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0.84848484848484851</v>
      </c>
      <c r="I101" s="22">
        <f t="shared" si="59"/>
        <v>0.45328196269337595</v>
      </c>
      <c r="J101" s="24">
        <f t="shared" si="60"/>
        <v>0.45328196269337595</v>
      </c>
      <c r="K101" s="22">
        <f t="shared" si="61"/>
        <v>0.53422517031719308</v>
      </c>
      <c r="L101" s="22">
        <f t="shared" si="62"/>
        <v>0.45328196269337595</v>
      </c>
      <c r="M101" s="227">
        <f t="shared" si="63"/>
        <v>0.45328196269337595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0.84848484848484851</v>
      </c>
      <c r="I102" s="22">
        <f t="shared" si="59"/>
        <v>2.5901826439621484E-2</v>
      </c>
      <c r="J102" s="24">
        <f t="shared" si="60"/>
        <v>2.5901826439621484E-2</v>
      </c>
      <c r="K102" s="22">
        <f t="shared" si="61"/>
        <v>3.052715258955389E-2</v>
      </c>
      <c r="L102" s="22">
        <f t="shared" si="62"/>
        <v>2.5901826439621484E-2</v>
      </c>
      <c r="M102" s="227">
        <f t="shared" si="63"/>
        <v>2.5901826439621484E-2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0.84848484848484851</v>
      </c>
      <c r="I103" s="22">
        <f t="shared" si="59"/>
        <v>3.2377283049526855E-2</v>
      </c>
      <c r="J103" s="24">
        <f t="shared" si="60"/>
        <v>3.2377283049526855E-2</v>
      </c>
      <c r="K103" s="22">
        <f t="shared" si="61"/>
        <v>3.8158940736942364E-2</v>
      </c>
      <c r="L103" s="22">
        <f t="shared" si="62"/>
        <v>3.2377283049526855E-2</v>
      </c>
      <c r="M103" s="227">
        <f t="shared" si="63"/>
        <v>3.2377283049526855E-2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0.57212121212121214</v>
      </c>
      <c r="I107" s="22">
        <f t="shared" si="59"/>
        <v>17.814536172987669</v>
      </c>
      <c r="J107" s="24">
        <f t="shared" si="60"/>
        <v>17.814536172987669</v>
      </c>
      <c r="K107" s="22">
        <f t="shared" si="61"/>
        <v>31.137695641344969</v>
      </c>
      <c r="L107" s="22">
        <f t="shared" si="62"/>
        <v>17.814536172987669</v>
      </c>
      <c r="M107" s="227">
        <f t="shared" si="63"/>
        <v>17.814536172987669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0.44285715775203199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0.44285715775203199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27.163093711662395</v>
      </c>
      <c r="J119" s="24">
        <f>SUM(J91:J118)</f>
        <v>27.469139597229411</v>
      </c>
      <c r="K119" s="22">
        <f>SUM(K91:K118)</f>
        <v>45.826434060271026</v>
      </c>
      <c r="L119" s="22">
        <f>SUM(L91:L118)</f>
        <v>27.465146010557582</v>
      </c>
      <c r="M119" s="57">
        <f t="shared" si="50"/>
        <v>27.469139597229411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26.136548877765456</v>
      </c>
      <c r="J128" s="228">
        <f>(J30)</f>
        <v>6.5763731082649102E-2</v>
      </c>
      <c r="K128" s="22">
        <f>(B128)</f>
        <v>0.58156372602739725</v>
      </c>
      <c r="L128" s="22">
        <f>IF(L124=L119,0,(L119-L124)/(B119-B124)*K128)</f>
        <v>0.34461924740730904</v>
      </c>
      <c r="M128" s="57">
        <f t="shared" si="90"/>
        <v>6.5763731082649102E-2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18.611170528328472</v>
      </c>
      <c r="K129" s="29">
        <f>(B129)</f>
        <v>33.176251353822522</v>
      </c>
      <c r="L129" s="60">
        <f>IF(SUM(L124:L128)&gt;L130,0,L130-SUM(L124:L128))</f>
        <v>18.328321425331985</v>
      </c>
      <c r="M129" s="57">
        <f t="shared" si="90"/>
        <v>18.611170528328472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27.163093711662395</v>
      </c>
      <c r="J130" s="228">
        <f>(J119)</f>
        <v>27.469139597229411</v>
      </c>
      <c r="K130" s="22">
        <f>(B130)</f>
        <v>45.826434060271026</v>
      </c>
      <c r="L130" s="22">
        <f>(L119)</f>
        <v>27.465146010557582</v>
      </c>
      <c r="M130" s="57">
        <f t="shared" si="90"/>
        <v>27.469139597229411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2479.7642564489815</v>
      </c>
      <c r="G72" s="109">
        <f>Poor!T7</f>
        <v>3837.3928987798586</v>
      </c>
      <c r="H72" s="109">
        <f>Middle!T7</f>
        <v>3798.7222256385307</v>
      </c>
      <c r="I72" s="109">
        <f>Rich!T7</f>
        <v>5766.4227043623569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210</v>
      </c>
      <c r="I73" s="109">
        <f>Rich!T8</f>
        <v>22983.310025491381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76.618490455458769</v>
      </c>
      <c r="H74" s="109">
        <f>Middle!T9</f>
        <v>837.48413429336836</v>
      </c>
      <c r="I74" s="109">
        <f>Rich!T9</f>
        <v>1425.5900535833887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678.01</v>
      </c>
      <c r="G76" s="109">
        <f>Poor!T11</f>
        <v>2756.5480000000002</v>
      </c>
      <c r="H76" s="109">
        <f>Middle!T11</f>
        <v>8074.2063284616133</v>
      </c>
      <c r="I76" s="109">
        <f>Rich!T11</f>
        <v>20807.922189631121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777.2343897451525</v>
      </c>
      <c r="G77" s="109">
        <f>Poor!T12</f>
        <v>774.88643971107058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6671.1000000000013</v>
      </c>
      <c r="G78" s="109">
        <f>Poor!T13</f>
        <v>13375.500000000002</v>
      </c>
      <c r="H78" s="109">
        <f>Middle!T13</f>
        <v>2650.5413987994343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33984</v>
      </c>
      <c r="I79" s="109">
        <f>Rich!T14</f>
        <v>231091.20000000004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2945.6435722300107</v>
      </c>
      <c r="G81" s="109">
        <f>Poor!T16</f>
        <v>3346.7943482954338</v>
      </c>
      <c r="H81" s="109">
        <f>Middle!T16</f>
        <v>2866.0643014342891</v>
      </c>
      <c r="I81" s="109">
        <f>Rich!T16</f>
        <v>5744.7688236018175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41322.113408638746</v>
      </c>
      <c r="G88" s="109">
        <f>Poor!T23</f>
        <v>54255.296986638088</v>
      </c>
      <c r="H88" s="109">
        <f>Middle!T23</f>
        <v>95390.948768374074</v>
      </c>
      <c r="I88" s="109">
        <f>Rich!T23</f>
        <v>363523.29025236634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21804.586029684498</v>
      </c>
      <c r="G100" s="239">
        <f t="shared" si="0"/>
        <v>8871.4024516851568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2016-06-02T06:20:20Z</dcterms:modified>
  <cp:category/>
</cp:coreProperties>
</file>